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C:\Users\maros.kvitkovsky\AppData\Local\Microsoft\Windows\INetCache\Content.Outlook\KZWDYZ3L\"/>
    </mc:Choice>
  </mc:AlternateContent>
  <bookViews>
    <workbookView xWindow="0" yWindow="0" windowWidth="28800" windowHeight="11475" tabRatio="948" firstSheet="13" activeTab="13"/>
  </bookViews>
  <sheets>
    <sheet name="HP" sheetId="20" state="hidden" r:id="rId1"/>
    <sheet name="Umývanie" sheetId="34" state="hidden" r:id="rId2"/>
    <sheet name="Poistenie" sheetId="27" state="hidden" r:id="rId3"/>
    <sheet name="Spotreby PHM" sheetId="21" state="hidden" r:id="rId4"/>
    <sheet name="Zoznam" sheetId="35" state="hidden" r:id="rId5"/>
    <sheet name="Plán obnovy" sheetId="33" state="hidden" r:id="rId6"/>
    <sheet name="Rozdiel spotrieb" sheetId="38" state="hidden" r:id="rId7"/>
    <sheet name="Faktúry-servis" sheetId="31" state="hidden" r:id="rId8"/>
    <sheet name="Karty" sheetId="37" state="hidden" r:id="rId9"/>
    <sheet name="Výber dodávateľa" sheetId="59" state="hidden" r:id="rId10"/>
    <sheet name="Autodoplnky" sheetId="62" state="hidden" r:id="rId11"/>
    <sheet name="Ubehnuté km" sheetId="61" state="hidden" r:id="rId12"/>
    <sheet name="Prehľad" sheetId="1" state="hidden" r:id="rId13"/>
    <sheet name="APZU" sheetId="63" r:id="rId14"/>
    <sheet name="KE021DO" sheetId="52" state="hidden" r:id="rId15"/>
    <sheet name="KE164JL" sheetId="55" state="hidden" r:id="rId16"/>
    <sheet name="KE298FP" sheetId="51" state="hidden" r:id="rId17"/>
    <sheet name="KE298YC" sheetId="57" state="hidden" r:id="rId18"/>
    <sheet name="KE490FJ" sheetId="50" state="hidden" r:id="rId19"/>
    <sheet name="KE502KB" sheetId="54" state="hidden" r:id="rId20"/>
    <sheet name="KE552HZ" sheetId="49" state="hidden" r:id="rId21"/>
    <sheet name="KE692FR" sheetId="56" state="hidden" r:id="rId22"/>
    <sheet name="KE747JX" sheetId="47" state="hidden" r:id="rId23"/>
    <sheet name="KE791IT" sheetId="48" state="hidden" r:id="rId24"/>
    <sheet name="KE956HU" sheetId="53" state="hidden" r:id="rId25"/>
    <sheet name="KE909KZ" sheetId="44" state="hidden" r:id="rId26"/>
    <sheet name="BL253RN" sheetId="43" state="hidden" r:id="rId27"/>
    <sheet name="KE344YO" sheetId="58" state="hidden" r:id="rId28"/>
    <sheet name="KE574LL" sheetId="41" state="hidden" r:id="rId29"/>
    <sheet name="BL028VG" sheetId="42" state="hidden" r:id="rId30"/>
    <sheet name="KE502GM" sheetId="40" state="hidden" r:id="rId31"/>
    <sheet name="KE270MZ" sheetId="60" state="hidden" r:id="rId32"/>
    <sheet name="KE574LL-Cenník" sheetId="29" state="hidden" r:id="rId33"/>
    <sheet name="Vyradené vozidlá" sheetId="24" state="hidden" r:id="rId34"/>
    <sheet name="KE169CK" sheetId="3" state="hidden" r:id="rId35"/>
    <sheet name="KE089BB" sheetId="4" state="hidden" r:id="rId36"/>
    <sheet name="KE643DF" sheetId="6" state="hidden" r:id="rId37"/>
    <sheet name="KE695DD" sheetId="2" state="hidden" r:id="rId38"/>
    <sheet name="KE297FP" sheetId="13" state="hidden" r:id="rId39"/>
    <sheet name="KE617ED" sheetId="7" state="hidden" r:id="rId40"/>
    <sheet name="KE319CP" sheetId="11" state="hidden" r:id="rId41"/>
  </sheets>
  <externalReferences>
    <externalReference r:id="rId42"/>
  </externalReferences>
  <definedNames>
    <definedName name="_xlnm.Print_Area" localSheetId="32">'KE574LL-Cenník'!$A$1:$G$56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3" l="1"/>
  <c r="G25" i="20" l="1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B25" i="20"/>
  <c r="C25" i="20"/>
  <c r="D25" i="20"/>
  <c r="E25" i="20" s="1"/>
  <c r="H25" i="20" s="1"/>
  <c r="B23" i="20"/>
  <c r="C23" i="20"/>
  <c r="D23" i="20"/>
  <c r="E23" i="20" s="1"/>
  <c r="H23" i="20" s="1"/>
  <c r="B22" i="20"/>
  <c r="C22" i="20"/>
  <c r="D22" i="20"/>
  <c r="E22" i="20" s="1"/>
  <c r="I22" i="20" s="1"/>
  <c r="B21" i="20"/>
  <c r="C21" i="20"/>
  <c r="D21" i="20"/>
  <c r="E21" i="20" s="1"/>
  <c r="B20" i="20"/>
  <c r="C20" i="20"/>
  <c r="D20" i="20"/>
  <c r="E20" i="20" s="1"/>
  <c r="I20" i="20" s="1"/>
  <c r="B5" i="20"/>
  <c r="C5" i="20"/>
  <c r="D5" i="20"/>
  <c r="E5" i="20" s="1"/>
  <c r="G5" i="20"/>
  <c r="H21" i="20" l="1"/>
  <c r="I25" i="20"/>
  <c r="I23" i="20"/>
  <c r="H22" i="20"/>
  <c r="I21" i="20"/>
  <c r="H20" i="20"/>
  <c r="I5" i="20"/>
  <c r="H5" i="20"/>
  <c r="D139" i="31"/>
  <c r="I139" i="31"/>
  <c r="J139" i="31" s="1"/>
  <c r="K139" i="31" l="1"/>
  <c r="E138" i="31"/>
  <c r="C138" i="31"/>
  <c r="D138" i="31"/>
  <c r="I138" i="31" l="1"/>
  <c r="E137" i="31"/>
  <c r="D137" i="31" s="1"/>
  <c r="C137" i="31"/>
  <c r="E136" i="31"/>
  <c r="C136" i="31"/>
  <c r="D136" i="31"/>
  <c r="I136" i="31"/>
  <c r="J136" i="31" s="1"/>
  <c r="J138" i="31" l="1"/>
  <c r="K138" i="31"/>
  <c r="I137" i="31"/>
  <c r="J137" i="31" s="1"/>
  <c r="K137" i="31"/>
  <c r="K136" i="31"/>
  <c r="K8" i="60"/>
  <c r="A4" i="34"/>
  <c r="A5" i="34" s="1"/>
  <c r="A6" i="34" s="1"/>
  <c r="A7" i="34" s="1"/>
  <c r="A8" i="34" s="1"/>
  <c r="A9" i="34" s="1"/>
  <c r="J214" i="31" l="1"/>
  <c r="K214" i="31" s="1"/>
  <c r="I214" i="31"/>
  <c r="K56" i="44" l="1"/>
  <c r="K28" i="60"/>
  <c r="K47" i="43"/>
  <c r="K55" i="44"/>
  <c r="E213" i="31" l="1"/>
  <c r="I213" i="31"/>
  <c r="J213" i="31" s="1"/>
  <c r="K213" i="31" s="1"/>
  <c r="I212" i="31" l="1"/>
  <c r="J212" i="31" s="1"/>
  <c r="K212" i="31" l="1"/>
  <c r="I211" i="31" l="1"/>
  <c r="J211" i="31" l="1"/>
  <c r="K211" i="31" s="1"/>
  <c r="E135" i="31"/>
  <c r="D135" i="31" s="1"/>
  <c r="C135" i="31"/>
  <c r="E134" i="31"/>
  <c r="C134" i="31"/>
  <c r="I134" i="31"/>
  <c r="J134" i="31" s="1"/>
  <c r="I135" i="31" l="1"/>
  <c r="J135" i="31" s="1"/>
  <c r="D134" i="31"/>
  <c r="K134" i="31"/>
  <c r="E210" i="31"/>
  <c r="C210" i="31"/>
  <c r="E208" i="31"/>
  <c r="C208" i="31"/>
  <c r="C209" i="31"/>
  <c r="E133" i="31"/>
  <c r="D133" i="31" s="1"/>
  <c r="C133" i="31"/>
  <c r="K135" i="31" l="1"/>
  <c r="I133" i="31"/>
  <c r="J133" i="31" l="1"/>
  <c r="K133" i="31" s="1"/>
  <c r="D210" i="31" l="1"/>
  <c r="I210" i="31"/>
  <c r="J210" i="31" s="1"/>
  <c r="K210" i="31" l="1"/>
  <c r="I4" i="43"/>
  <c r="E209" i="31" l="1"/>
  <c r="D209" i="31" s="1"/>
  <c r="I209" i="31" l="1"/>
  <c r="D208" i="31"/>
  <c r="I208" i="31"/>
  <c r="J208" i="31" s="1"/>
  <c r="J209" i="31" l="1"/>
  <c r="K209" i="31" s="1"/>
  <c r="K208" i="31"/>
  <c r="E132" i="31"/>
  <c r="C132" i="31"/>
  <c r="D132" i="31"/>
  <c r="I132" i="31"/>
  <c r="J132" i="31" s="1"/>
  <c r="K132" i="31" l="1"/>
  <c r="A27" i="35"/>
  <c r="G41" i="35"/>
  <c r="G4" i="35"/>
  <c r="E19" i="35"/>
  <c r="D19" i="35"/>
  <c r="C19" i="35"/>
  <c r="E18" i="35"/>
  <c r="D18" i="35"/>
  <c r="C18" i="35"/>
  <c r="E17" i="35"/>
  <c r="D17" i="35"/>
  <c r="C17" i="35"/>
  <c r="E15" i="35"/>
  <c r="D15" i="35"/>
  <c r="C15" i="35"/>
  <c r="E14" i="35"/>
  <c r="D14" i="35"/>
  <c r="C14" i="35"/>
  <c r="E13" i="35"/>
  <c r="D13" i="35"/>
  <c r="C13" i="35"/>
  <c r="E11" i="35"/>
  <c r="D11" i="35"/>
  <c r="C11" i="35"/>
  <c r="E9" i="35"/>
  <c r="D9" i="35"/>
  <c r="C9" i="35"/>
  <c r="E8" i="35"/>
  <c r="D8" i="35"/>
  <c r="C8" i="35"/>
  <c r="I24" i="1"/>
  <c r="H24" i="1"/>
  <c r="A26" i="1"/>
  <c r="A24" i="1"/>
  <c r="I23" i="1"/>
  <c r="H23" i="1"/>
  <c r="AM12" i="41" l="1"/>
  <c r="AM13" i="41" s="1"/>
  <c r="AM14" i="41" s="1"/>
  <c r="AM15" i="41" s="1"/>
  <c r="AM16" i="41" s="1"/>
  <c r="AM17" i="41" s="1"/>
  <c r="AM18" i="41" s="1"/>
  <c r="AM19" i="41" s="1"/>
  <c r="AM20" i="41" s="1"/>
  <c r="AM21" i="41" s="1"/>
  <c r="AM22" i="41" s="1"/>
  <c r="AM23" i="41" s="1"/>
  <c r="AM24" i="41" s="1"/>
  <c r="AM25" i="41" s="1"/>
  <c r="AM26" i="41" s="1"/>
  <c r="AM27" i="41" s="1"/>
  <c r="AM28" i="41" s="1"/>
  <c r="AM29" i="41" s="1"/>
  <c r="AM30" i="41" s="1"/>
  <c r="AM31" i="41" s="1"/>
  <c r="AM32" i="41" s="1"/>
  <c r="AM33" i="41" s="1"/>
  <c r="AM34" i="41" s="1"/>
  <c r="AM35" i="41" s="1"/>
  <c r="AM36" i="41" s="1"/>
  <c r="AM37" i="41" s="1"/>
  <c r="AM38" i="41" s="1"/>
  <c r="AM39" i="41" s="1"/>
  <c r="AM40" i="41" s="1"/>
  <c r="AM41" i="41" s="1"/>
  <c r="AM42" i="41" s="1"/>
  <c r="AM43" i="41" s="1"/>
  <c r="AM44" i="41" s="1"/>
  <c r="AM45" i="41" s="1"/>
  <c r="AM46" i="41" s="1"/>
  <c r="AM47" i="41" s="1"/>
  <c r="AM48" i="41" s="1"/>
  <c r="AM49" i="41" s="1"/>
  <c r="AM50" i="41" s="1"/>
  <c r="AM51" i="41" s="1"/>
  <c r="AM52" i="41" s="1"/>
  <c r="AM53" i="41" s="1"/>
  <c r="AM54" i="41" s="1"/>
  <c r="AM55" i="41" s="1"/>
  <c r="AM11" i="41"/>
  <c r="AM10" i="41"/>
  <c r="I131" i="31" l="1"/>
  <c r="J131" i="31" s="1"/>
  <c r="D131" i="31"/>
  <c r="K131" i="31" l="1"/>
  <c r="K54" i="44"/>
  <c r="K46" i="43"/>
  <c r="K30" i="42"/>
  <c r="K53" i="44"/>
  <c r="K16" i="60"/>
  <c r="K52" i="44"/>
  <c r="K61" i="47"/>
  <c r="E130" i="31" l="1"/>
  <c r="C130" i="31"/>
  <c r="I130" i="31"/>
  <c r="J130" i="31" s="1"/>
  <c r="D130" i="31" l="1"/>
  <c r="K130" i="31"/>
  <c r="E129" i="31"/>
  <c r="C129" i="31"/>
  <c r="I129" i="31"/>
  <c r="J129" i="31" s="1"/>
  <c r="D129" i="31" l="1"/>
  <c r="K129" i="31"/>
  <c r="D207" i="31"/>
  <c r="C207" i="31"/>
  <c r="I207" i="31"/>
  <c r="J207" i="31" s="1"/>
  <c r="K207" i="31" s="1"/>
  <c r="E128" i="31" l="1"/>
  <c r="I128" i="31" s="1"/>
  <c r="J128" i="31" s="1"/>
  <c r="C128" i="31"/>
  <c r="D128" i="31" l="1"/>
  <c r="K128" i="31"/>
  <c r="E127" i="31"/>
  <c r="C127" i="31"/>
  <c r="D127" i="31" l="1"/>
  <c r="I127" i="31"/>
  <c r="J127" i="31" s="1"/>
  <c r="K127" i="31" l="1"/>
  <c r="E126" i="31"/>
  <c r="C126" i="31"/>
  <c r="D126" i="31"/>
  <c r="I126" i="31"/>
  <c r="J126" i="31" s="1"/>
  <c r="K126" i="31" s="1"/>
  <c r="D125" i="31" l="1"/>
  <c r="I125" i="31"/>
  <c r="J125" i="31" s="1"/>
  <c r="K125" i="31" s="1"/>
  <c r="C660" i="63" l="1"/>
  <c r="F660" i="63" s="1"/>
  <c r="L615" i="63"/>
  <c r="F615" i="63"/>
  <c r="G618" i="63"/>
  <c r="E618" i="63"/>
  <c r="G617" i="63"/>
  <c r="G660" i="63" s="1"/>
  <c r="L614" i="63"/>
  <c r="F614" i="63"/>
  <c r="L613" i="63"/>
  <c r="F613" i="63"/>
  <c r="L612" i="63"/>
  <c r="F612" i="63"/>
  <c r="L611" i="63"/>
  <c r="F611" i="63"/>
  <c r="L610" i="63"/>
  <c r="F610" i="63"/>
  <c r="L609" i="63"/>
  <c r="F609" i="63"/>
  <c r="L608" i="63"/>
  <c r="F608" i="63"/>
  <c r="F607" i="63"/>
  <c r="F606" i="63"/>
  <c r="F605" i="63"/>
  <c r="F604" i="63"/>
  <c r="F603" i="63"/>
  <c r="D601" i="63"/>
  <c r="C659" i="63"/>
  <c r="F659" i="63" s="1"/>
  <c r="L569" i="63"/>
  <c r="F569" i="63"/>
  <c r="G572" i="63"/>
  <c r="E572" i="63"/>
  <c r="G571" i="63"/>
  <c r="G659" i="63" s="1"/>
  <c r="L568" i="63"/>
  <c r="F568" i="63"/>
  <c r="L567" i="63"/>
  <c r="F567" i="63"/>
  <c r="L566" i="63"/>
  <c r="F566" i="63"/>
  <c r="L565" i="63"/>
  <c r="F565" i="63"/>
  <c r="L564" i="63"/>
  <c r="F564" i="63"/>
  <c r="L563" i="63"/>
  <c r="F563" i="63"/>
  <c r="F562" i="63"/>
  <c r="F561" i="63"/>
  <c r="F560" i="63"/>
  <c r="F559" i="63"/>
  <c r="F558" i="63"/>
  <c r="F557" i="63"/>
  <c r="D555" i="63"/>
  <c r="C658" i="63"/>
  <c r="F658" i="63" s="1"/>
  <c r="L523" i="63"/>
  <c r="F523" i="63"/>
  <c r="G526" i="63"/>
  <c r="E526" i="63"/>
  <c r="G525" i="63"/>
  <c r="G658" i="63" s="1"/>
  <c r="L522" i="63"/>
  <c r="F522" i="63"/>
  <c r="L521" i="63"/>
  <c r="F521" i="63"/>
  <c r="L520" i="63"/>
  <c r="F520" i="63"/>
  <c r="L519" i="63"/>
  <c r="F519" i="63"/>
  <c r="L518" i="63"/>
  <c r="F518" i="63"/>
  <c r="F517" i="63"/>
  <c r="F516" i="63"/>
  <c r="F515" i="63"/>
  <c r="F514" i="63"/>
  <c r="F513" i="63"/>
  <c r="F512" i="63"/>
  <c r="F511" i="63"/>
  <c r="D509" i="63"/>
  <c r="G657" i="63"/>
  <c r="C657" i="63"/>
  <c r="F657" i="63" s="1"/>
  <c r="L477" i="63"/>
  <c r="F477" i="63"/>
  <c r="G480" i="63"/>
  <c r="E480" i="63"/>
  <c r="G479" i="63"/>
  <c r="L476" i="63"/>
  <c r="F476" i="63"/>
  <c r="L475" i="63"/>
  <c r="F475" i="63"/>
  <c r="L474" i="63"/>
  <c r="F474" i="63"/>
  <c r="L473" i="63"/>
  <c r="F473" i="63"/>
  <c r="F472" i="63"/>
  <c r="F471" i="63"/>
  <c r="F470" i="63"/>
  <c r="F469" i="63"/>
  <c r="F468" i="63"/>
  <c r="F467" i="63"/>
  <c r="F466" i="63"/>
  <c r="F465" i="63"/>
  <c r="D463" i="63"/>
  <c r="C656" i="63"/>
  <c r="F656" i="63" s="1"/>
  <c r="L431" i="63"/>
  <c r="F431" i="63"/>
  <c r="G434" i="63"/>
  <c r="E434" i="63"/>
  <c r="G433" i="63"/>
  <c r="G656" i="63" s="1"/>
  <c r="L430" i="63"/>
  <c r="F430" i="63"/>
  <c r="L429" i="63"/>
  <c r="F429" i="63"/>
  <c r="L428" i="63"/>
  <c r="F428" i="63"/>
  <c r="F427" i="63"/>
  <c r="F426" i="63"/>
  <c r="F425" i="63"/>
  <c r="F424" i="63"/>
  <c r="F423" i="63"/>
  <c r="F422" i="63"/>
  <c r="F421" i="63"/>
  <c r="F420" i="63"/>
  <c r="F419" i="63"/>
  <c r="D417" i="63"/>
  <c r="C655" i="63"/>
  <c r="F655" i="63" s="1"/>
  <c r="L385" i="63"/>
  <c r="F385" i="63"/>
  <c r="G388" i="63"/>
  <c r="E388" i="63"/>
  <c r="G387" i="63"/>
  <c r="G655" i="63" s="1"/>
  <c r="L384" i="63"/>
  <c r="F384" i="63"/>
  <c r="L383" i="63"/>
  <c r="F383" i="63"/>
  <c r="F382" i="63"/>
  <c r="F381" i="63"/>
  <c r="F380" i="63"/>
  <c r="F379" i="63"/>
  <c r="F378" i="63"/>
  <c r="F377" i="63"/>
  <c r="F376" i="63"/>
  <c r="F375" i="63"/>
  <c r="F374" i="63"/>
  <c r="F373" i="63"/>
  <c r="D371" i="63"/>
  <c r="C654" i="63"/>
  <c r="L339" i="63"/>
  <c r="F339" i="63"/>
  <c r="G342" i="63"/>
  <c r="E342" i="63"/>
  <c r="G341" i="63"/>
  <c r="G654" i="63" s="1"/>
  <c r="L338" i="63"/>
  <c r="F338" i="63"/>
  <c r="F337" i="63"/>
  <c r="F336" i="63"/>
  <c r="F335" i="63"/>
  <c r="F334" i="63"/>
  <c r="F333" i="63"/>
  <c r="F332" i="63"/>
  <c r="F331" i="63"/>
  <c r="F330" i="63"/>
  <c r="F329" i="63"/>
  <c r="F328" i="63"/>
  <c r="F327" i="63"/>
  <c r="D325" i="63"/>
  <c r="N155" i="63"/>
  <c r="N156" i="63"/>
  <c r="N110" i="63"/>
  <c r="L293" i="63"/>
  <c r="L296" i="63" s="1"/>
  <c r="P653" i="63" s="1"/>
  <c r="C653" i="63"/>
  <c r="F653" i="63" s="1"/>
  <c r="F293" i="63"/>
  <c r="G296" i="63"/>
  <c r="E296" i="63"/>
  <c r="G295" i="63"/>
  <c r="G653" i="63" s="1"/>
  <c r="F292" i="63"/>
  <c r="F291" i="63"/>
  <c r="F290" i="63"/>
  <c r="F289" i="63"/>
  <c r="F288" i="63"/>
  <c r="F287" i="63"/>
  <c r="F286" i="63"/>
  <c r="F285" i="63"/>
  <c r="F284" i="63"/>
  <c r="F283" i="63"/>
  <c r="F282" i="63"/>
  <c r="F281" i="63"/>
  <c r="D279" i="63"/>
  <c r="C652" i="63"/>
  <c r="F652" i="63" s="1"/>
  <c r="F247" i="63"/>
  <c r="L250" i="63"/>
  <c r="P652" i="63" s="1"/>
  <c r="G250" i="63"/>
  <c r="E250" i="63"/>
  <c r="G249" i="63"/>
  <c r="G652" i="63" s="1"/>
  <c r="F246" i="63"/>
  <c r="F245" i="63"/>
  <c r="F244" i="63"/>
  <c r="F243" i="63"/>
  <c r="F242" i="63"/>
  <c r="F241" i="63"/>
  <c r="F240" i="63"/>
  <c r="F239" i="63"/>
  <c r="F238" i="63"/>
  <c r="F237" i="63"/>
  <c r="F236" i="63"/>
  <c r="F235" i="63"/>
  <c r="D233" i="63"/>
  <c r="C651" i="63"/>
  <c r="F651" i="63" s="1"/>
  <c r="F201" i="63"/>
  <c r="L204" i="63"/>
  <c r="P651" i="63" s="1"/>
  <c r="G204" i="63"/>
  <c r="E204" i="63"/>
  <c r="G203" i="63"/>
  <c r="G651" i="63" s="1"/>
  <c r="F200" i="63"/>
  <c r="F199" i="63"/>
  <c r="F198" i="63"/>
  <c r="F197" i="63"/>
  <c r="F196" i="63"/>
  <c r="F195" i="63"/>
  <c r="F194" i="63"/>
  <c r="F193" i="63"/>
  <c r="F192" i="63"/>
  <c r="F191" i="63"/>
  <c r="F190" i="63"/>
  <c r="F189" i="63"/>
  <c r="D187" i="63"/>
  <c r="C649" i="63"/>
  <c r="F649" i="63" s="1"/>
  <c r="C650" i="63"/>
  <c r="F650" i="63" s="1"/>
  <c r="E663" i="63"/>
  <c r="D647" i="63"/>
  <c r="O647" i="63" s="1"/>
  <c r="F156" i="63"/>
  <c r="L159" i="63"/>
  <c r="P650" i="63" s="1"/>
  <c r="G159" i="63"/>
  <c r="E159" i="63"/>
  <c r="G158" i="63"/>
  <c r="G650" i="63" s="1"/>
  <c r="F155" i="63"/>
  <c r="F154" i="63"/>
  <c r="F153" i="63"/>
  <c r="F152" i="63"/>
  <c r="F151" i="63"/>
  <c r="F150" i="63"/>
  <c r="F149" i="63"/>
  <c r="F148" i="63"/>
  <c r="F147" i="63"/>
  <c r="F146" i="63"/>
  <c r="F145" i="63"/>
  <c r="F144" i="63"/>
  <c r="F143" i="63"/>
  <c r="D141" i="63"/>
  <c r="F110" i="63"/>
  <c r="L113" i="63"/>
  <c r="P649" i="63" s="1"/>
  <c r="G113" i="63"/>
  <c r="E113" i="63"/>
  <c r="G112" i="63"/>
  <c r="G649" i="63" s="1"/>
  <c r="F109" i="63"/>
  <c r="F108" i="63"/>
  <c r="F107" i="63"/>
  <c r="F106" i="63"/>
  <c r="F105" i="63"/>
  <c r="F104" i="63"/>
  <c r="F103" i="63"/>
  <c r="F102" i="63"/>
  <c r="F101" i="63"/>
  <c r="F100" i="63"/>
  <c r="F99" i="63"/>
  <c r="F98" i="63"/>
  <c r="F97" i="63"/>
  <c r="D95" i="63"/>
  <c r="L67" i="63"/>
  <c r="G67" i="63"/>
  <c r="E67" i="63"/>
  <c r="G66" i="63"/>
  <c r="F64" i="63"/>
  <c r="F63" i="63"/>
  <c r="F62" i="63"/>
  <c r="F61" i="63"/>
  <c r="F60" i="63"/>
  <c r="F59" i="63"/>
  <c r="F58" i="63"/>
  <c r="F57" i="63"/>
  <c r="F56" i="63"/>
  <c r="F55" i="63"/>
  <c r="F54" i="63"/>
  <c r="F53" i="63"/>
  <c r="F52" i="63"/>
  <c r="F51" i="63"/>
  <c r="D49" i="63"/>
  <c r="D4" i="63"/>
  <c r="E22" i="63"/>
  <c r="L22" i="63"/>
  <c r="P648" i="63" s="1"/>
  <c r="G21" i="63"/>
  <c r="F7" i="63"/>
  <c r="F19" i="63"/>
  <c r="F18" i="63"/>
  <c r="F17" i="63"/>
  <c r="F15" i="63"/>
  <c r="F10" i="63"/>
  <c r="F13" i="63"/>
  <c r="F12" i="63"/>
  <c r="F11" i="63"/>
  <c r="F16" i="63"/>
  <c r="F9" i="63"/>
  <c r="F14" i="63"/>
  <c r="F8" i="63"/>
  <c r="F6" i="63"/>
  <c r="D7" i="63" l="1"/>
  <c r="L572" i="63"/>
  <c r="P659" i="63" s="1"/>
  <c r="D660" i="63"/>
  <c r="D615" i="63"/>
  <c r="L618" i="63"/>
  <c r="P660" i="63" s="1"/>
  <c r="D607" i="63"/>
  <c r="D606" i="63"/>
  <c r="D605" i="63"/>
  <c r="D603" i="63"/>
  <c r="D604" i="63"/>
  <c r="D608" i="63"/>
  <c r="D609" i="63"/>
  <c r="D610" i="63"/>
  <c r="D611" i="63"/>
  <c r="D612" i="63"/>
  <c r="D613" i="63"/>
  <c r="D614" i="63"/>
  <c r="D659" i="63"/>
  <c r="D569" i="63"/>
  <c r="D557" i="63"/>
  <c r="D566" i="63"/>
  <c r="D565" i="63"/>
  <c r="D559" i="63"/>
  <c r="D564" i="63"/>
  <c r="D568" i="63"/>
  <c r="D558" i="63"/>
  <c r="D563" i="63"/>
  <c r="D567" i="63"/>
  <c r="D562" i="63"/>
  <c r="D561" i="63"/>
  <c r="D560" i="63"/>
  <c r="D658" i="63"/>
  <c r="L526" i="63"/>
  <c r="P658" i="63" s="1"/>
  <c r="D523" i="63"/>
  <c r="D514" i="63"/>
  <c r="D518" i="63"/>
  <c r="D519" i="63"/>
  <c r="D520" i="63"/>
  <c r="D521" i="63"/>
  <c r="D522" i="63"/>
  <c r="D517" i="63"/>
  <c r="D512" i="63"/>
  <c r="D516" i="63"/>
  <c r="D511" i="63"/>
  <c r="D513" i="63"/>
  <c r="D515" i="63"/>
  <c r="D657" i="63"/>
  <c r="D477" i="63"/>
  <c r="D465" i="63"/>
  <c r="L480" i="63"/>
  <c r="P657" i="63" s="1"/>
  <c r="D469" i="63"/>
  <c r="D474" i="63"/>
  <c r="D468" i="63"/>
  <c r="D473" i="63"/>
  <c r="D467" i="63"/>
  <c r="D476" i="63"/>
  <c r="D466" i="63"/>
  <c r="D475" i="63"/>
  <c r="D472" i="63"/>
  <c r="D471" i="63"/>
  <c r="D470" i="63"/>
  <c r="L434" i="63"/>
  <c r="P656" i="63" s="1"/>
  <c r="D656" i="63"/>
  <c r="D431" i="63"/>
  <c r="D419" i="63"/>
  <c r="D428" i="63"/>
  <c r="L342" i="63"/>
  <c r="P654" i="63" s="1"/>
  <c r="D423" i="63"/>
  <c r="D422" i="63"/>
  <c r="D421" i="63"/>
  <c r="D430" i="63"/>
  <c r="D420" i="63"/>
  <c r="D424" i="63"/>
  <c r="D429" i="63"/>
  <c r="D427" i="63"/>
  <c r="D426" i="63"/>
  <c r="D425" i="63"/>
  <c r="D655" i="63"/>
  <c r="L388" i="63"/>
  <c r="P655" i="63" s="1"/>
  <c r="D385" i="63"/>
  <c r="D377" i="63"/>
  <c r="D373" i="63"/>
  <c r="D376" i="63"/>
  <c r="D375" i="63"/>
  <c r="D379" i="63"/>
  <c r="D384" i="63"/>
  <c r="D374" i="63"/>
  <c r="D378" i="63"/>
  <c r="D383" i="63"/>
  <c r="D382" i="63"/>
  <c r="D381" i="63"/>
  <c r="D380" i="63"/>
  <c r="D654" i="63"/>
  <c r="F654" i="63"/>
  <c r="D339" i="63"/>
  <c r="D327" i="63"/>
  <c r="D330" i="63"/>
  <c r="D331" i="63"/>
  <c r="D329" i="63"/>
  <c r="D328" i="63"/>
  <c r="D332" i="63"/>
  <c r="D333" i="63"/>
  <c r="D334" i="63"/>
  <c r="D338" i="63"/>
  <c r="D337" i="63"/>
  <c r="D336" i="63"/>
  <c r="D335" i="63"/>
  <c r="D653" i="63"/>
  <c r="D293" i="63"/>
  <c r="D283" i="63"/>
  <c r="D282" i="63"/>
  <c r="D287" i="63"/>
  <c r="D291" i="63"/>
  <c r="D286" i="63"/>
  <c r="D290" i="63"/>
  <c r="D281" i="63"/>
  <c r="D285" i="63"/>
  <c r="D289" i="63"/>
  <c r="D284" i="63"/>
  <c r="D288" i="63"/>
  <c r="D292" i="63"/>
  <c r="D652" i="63"/>
  <c r="D247" i="63"/>
  <c r="D241" i="63"/>
  <c r="D245" i="63"/>
  <c r="D237" i="63"/>
  <c r="D236" i="63"/>
  <c r="D240" i="63"/>
  <c r="D244" i="63"/>
  <c r="D239" i="63"/>
  <c r="D243" i="63"/>
  <c r="D235" i="63"/>
  <c r="D238" i="63"/>
  <c r="D242" i="63"/>
  <c r="D246" i="63"/>
  <c r="D651" i="63"/>
  <c r="D201" i="63"/>
  <c r="D191" i="63"/>
  <c r="D190" i="63"/>
  <c r="D195" i="63"/>
  <c r="D199" i="63"/>
  <c r="D194" i="63"/>
  <c r="D198" i="63"/>
  <c r="D189" i="63"/>
  <c r="D193" i="63"/>
  <c r="D197" i="63"/>
  <c r="D192" i="63"/>
  <c r="D196" i="63"/>
  <c r="D200" i="63"/>
  <c r="G662" i="63"/>
  <c r="G663" i="63"/>
  <c r="D649" i="63"/>
  <c r="D650" i="63"/>
  <c r="D156" i="63"/>
  <c r="D147" i="63"/>
  <c r="D151" i="63"/>
  <c r="D155" i="63"/>
  <c r="D143" i="63"/>
  <c r="D146" i="63"/>
  <c r="D150" i="63"/>
  <c r="D154" i="63"/>
  <c r="D145" i="63"/>
  <c r="D149" i="63"/>
  <c r="D153" i="63"/>
  <c r="D144" i="63"/>
  <c r="D148" i="63"/>
  <c r="D152" i="63"/>
  <c r="D110" i="63"/>
  <c r="D100" i="63"/>
  <c r="D104" i="63"/>
  <c r="D108" i="63"/>
  <c r="D103" i="63"/>
  <c r="D107" i="63"/>
  <c r="D99" i="63"/>
  <c r="D98" i="63"/>
  <c r="D102" i="63"/>
  <c r="D106" i="63"/>
  <c r="D97" i="63"/>
  <c r="D101" i="63"/>
  <c r="D105" i="63"/>
  <c r="D109" i="63"/>
  <c r="D51" i="63"/>
  <c r="D55" i="63"/>
  <c r="D59" i="63"/>
  <c r="D63" i="63"/>
  <c r="D58" i="63"/>
  <c r="D62" i="63"/>
  <c r="D54" i="63"/>
  <c r="D53" i="63"/>
  <c r="D57" i="63"/>
  <c r="D61" i="63"/>
  <c r="D52" i="63"/>
  <c r="D56" i="63"/>
  <c r="D60" i="63"/>
  <c r="D64" i="63"/>
  <c r="D13" i="63"/>
  <c r="D18" i="63"/>
  <c r="D9" i="63"/>
  <c r="C1" i="63"/>
  <c r="C648" i="63" s="1"/>
  <c r="D8" i="63"/>
  <c r="D11" i="63"/>
  <c r="D15" i="63"/>
  <c r="D6" i="63"/>
  <c r="D16" i="63"/>
  <c r="D10" i="63"/>
  <c r="D19" i="63"/>
  <c r="D14" i="63"/>
  <c r="D12" i="63"/>
  <c r="D17" i="63"/>
  <c r="E124" i="31"/>
  <c r="I124" i="31" s="1"/>
  <c r="C124" i="31"/>
  <c r="D618" i="63" l="1"/>
  <c r="P663" i="63"/>
  <c r="D572" i="63"/>
  <c r="D526" i="63"/>
  <c r="D480" i="63"/>
  <c r="D434" i="63"/>
  <c r="D388" i="63"/>
  <c r="D342" i="63"/>
  <c r="D296" i="63"/>
  <c r="D250" i="63"/>
  <c r="D204" i="63"/>
  <c r="K647" i="63"/>
  <c r="V647" i="63" s="1"/>
  <c r="S647" i="63"/>
  <c r="D663" i="63"/>
  <c r="D159" i="63"/>
  <c r="D113" i="63"/>
  <c r="D67" i="63"/>
  <c r="D22" i="63"/>
  <c r="J124" i="31"/>
  <c r="K124" i="31" s="1"/>
  <c r="D124" i="31"/>
  <c r="S49" i="41"/>
  <c r="T49" i="41"/>
  <c r="Z49" i="41"/>
  <c r="AG96" i="42"/>
  <c r="AG95" i="42"/>
  <c r="AG94" i="42"/>
  <c r="AG93" i="42"/>
  <c r="AG92" i="42"/>
  <c r="AG91" i="42"/>
  <c r="AG90" i="42"/>
  <c r="AG89" i="42"/>
  <c r="AG88" i="42"/>
  <c r="AG87" i="42"/>
  <c r="AG86" i="42"/>
  <c r="AG85" i="42"/>
  <c r="AG84" i="42"/>
  <c r="AG83" i="42"/>
  <c r="AG82" i="42"/>
  <c r="AG81" i="42"/>
  <c r="AG80" i="42"/>
  <c r="AG79" i="42"/>
  <c r="AG78" i="42"/>
  <c r="AG77" i="42"/>
  <c r="AG76" i="42"/>
  <c r="AG75" i="42"/>
  <c r="AG74" i="42"/>
  <c r="AG73" i="42"/>
  <c r="AG72" i="42"/>
  <c r="AG71" i="42"/>
  <c r="AG70" i="42"/>
  <c r="AG69" i="42"/>
  <c r="AG68" i="42"/>
  <c r="AG67" i="42"/>
  <c r="AG66" i="42"/>
  <c r="AG65" i="42"/>
  <c r="AG64" i="42"/>
  <c r="AG63" i="42"/>
  <c r="AG62" i="42"/>
  <c r="AG61" i="42"/>
  <c r="AG60" i="42"/>
  <c r="AG59" i="42"/>
  <c r="AG58" i="42"/>
  <c r="AG57" i="42"/>
  <c r="AG56" i="42"/>
  <c r="AG55" i="42"/>
  <c r="AG54" i="42"/>
  <c r="AG53" i="42"/>
  <c r="AG52" i="42"/>
  <c r="AG51" i="42"/>
  <c r="AG50" i="42"/>
  <c r="AG49" i="42"/>
  <c r="AG48" i="42"/>
  <c r="AG47" i="42"/>
  <c r="AG46" i="42"/>
  <c r="AG45" i="42"/>
  <c r="AG44" i="42"/>
  <c r="AG43" i="42"/>
  <c r="AG42" i="42"/>
  <c r="AG41" i="42"/>
  <c r="AG40" i="42"/>
  <c r="AG39" i="42"/>
  <c r="AG95" i="41"/>
  <c r="AG96" i="41"/>
  <c r="AG94" i="41"/>
  <c r="AG93" i="41"/>
  <c r="AG92" i="41"/>
  <c r="AG91" i="41"/>
  <c r="AG90" i="41"/>
  <c r="AG89" i="41"/>
  <c r="AG88" i="41"/>
  <c r="AG87" i="41"/>
  <c r="AG86" i="41"/>
  <c r="AG85" i="41"/>
  <c r="AG84" i="41"/>
  <c r="AG83" i="41"/>
  <c r="AG82" i="41"/>
  <c r="AG81" i="41"/>
  <c r="AG80" i="41"/>
  <c r="AG79" i="41"/>
  <c r="AG78" i="41"/>
  <c r="AG77" i="41"/>
  <c r="AG76" i="41"/>
  <c r="AG75" i="41"/>
  <c r="AG74" i="41"/>
  <c r="AG73" i="41"/>
  <c r="AG72" i="41"/>
  <c r="AG71" i="41"/>
  <c r="AG70" i="41"/>
  <c r="AG69" i="41"/>
  <c r="AG68" i="41"/>
  <c r="AG67" i="41"/>
  <c r="AG66" i="41"/>
  <c r="AG65" i="41"/>
  <c r="AG64" i="41"/>
  <c r="AG63" i="41"/>
  <c r="AG62" i="41"/>
  <c r="AG61" i="41"/>
  <c r="AG60" i="41"/>
  <c r="AG59" i="41"/>
  <c r="AG58" i="41"/>
  <c r="AG57" i="41"/>
  <c r="AG56" i="41"/>
  <c r="AG55" i="41"/>
  <c r="AG54" i="41"/>
  <c r="AG53" i="41"/>
  <c r="AG52" i="41"/>
  <c r="AG51" i="41"/>
  <c r="AG50" i="41"/>
  <c r="AG96" i="43"/>
  <c r="AG95" i="43"/>
  <c r="AG94" i="43"/>
  <c r="AG93" i="43"/>
  <c r="AG92" i="43"/>
  <c r="AG91" i="43"/>
  <c r="AG90" i="43"/>
  <c r="AG89" i="43"/>
  <c r="AG88" i="43"/>
  <c r="AG87" i="43"/>
  <c r="AG86" i="43"/>
  <c r="AG85" i="43"/>
  <c r="AG84" i="43"/>
  <c r="AG83" i="43"/>
  <c r="AG82" i="43"/>
  <c r="AG81" i="43"/>
  <c r="AG80" i="43"/>
  <c r="AG79" i="43"/>
  <c r="AG78" i="43"/>
  <c r="AG77" i="43"/>
  <c r="AG76" i="43"/>
  <c r="AG75" i="43"/>
  <c r="AG74" i="43"/>
  <c r="AG73" i="43"/>
  <c r="AG72" i="43"/>
  <c r="AG71" i="43"/>
  <c r="AG70" i="43"/>
  <c r="AG69" i="43"/>
  <c r="AG68" i="43"/>
  <c r="AG67" i="43"/>
  <c r="AG66" i="43"/>
  <c r="AG65" i="43"/>
  <c r="AG64" i="43"/>
  <c r="AG63" i="43"/>
  <c r="AG62" i="43"/>
  <c r="AG61" i="43"/>
  <c r="AG60" i="43"/>
  <c r="AG59" i="43"/>
  <c r="AG58" i="43"/>
  <c r="AG57" i="43"/>
  <c r="AG56" i="43"/>
  <c r="AG55" i="43"/>
  <c r="AG96" i="44"/>
  <c r="AG95" i="44"/>
  <c r="AG94" i="44"/>
  <c r="AG93" i="44"/>
  <c r="AG92" i="44"/>
  <c r="AG91" i="44"/>
  <c r="AG90" i="44"/>
  <c r="AG89" i="44"/>
  <c r="AG88" i="44"/>
  <c r="AG87" i="44"/>
  <c r="AG86" i="44"/>
  <c r="AG85" i="44"/>
  <c r="AG84" i="44"/>
  <c r="AG83" i="44"/>
  <c r="AG82" i="44"/>
  <c r="AG81" i="44"/>
  <c r="AG80" i="44"/>
  <c r="AG79" i="44"/>
  <c r="AG78" i="44"/>
  <c r="AG77" i="44"/>
  <c r="AG76" i="44"/>
  <c r="AG75" i="44"/>
  <c r="AG74" i="44"/>
  <c r="AG73" i="44"/>
  <c r="AG72" i="44"/>
  <c r="AG71" i="44"/>
  <c r="AG70" i="44"/>
  <c r="AG69" i="44"/>
  <c r="AG68" i="44"/>
  <c r="AG67" i="44"/>
  <c r="AG66" i="44"/>
  <c r="AG65" i="44"/>
  <c r="AG64" i="44"/>
  <c r="AG63" i="44"/>
  <c r="AG62" i="44"/>
  <c r="AG61" i="44"/>
  <c r="AG60" i="44"/>
  <c r="AG59" i="44"/>
  <c r="AG58" i="44"/>
  <c r="AG96" i="53"/>
  <c r="AG95" i="53"/>
  <c r="AG94" i="53"/>
  <c r="AG93" i="53"/>
  <c r="AG92" i="53"/>
  <c r="AG91" i="53"/>
  <c r="AG90" i="53"/>
  <c r="AG89" i="53"/>
  <c r="AG88" i="53"/>
  <c r="AG87" i="53"/>
  <c r="AG86" i="53"/>
  <c r="AG85" i="53"/>
  <c r="AG84" i="53"/>
  <c r="AG83" i="53"/>
  <c r="AG82" i="53"/>
  <c r="AG81" i="53"/>
  <c r="AG80" i="53"/>
  <c r="AG79" i="53"/>
  <c r="AG78" i="53"/>
  <c r="AG77" i="53"/>
  <c r="AG76" i="53"/>
  <c r="AG75" i="53"/>
  <c r="AG74" i="53"/>
  <c r="AG73" i="53"/>
  <c r="AG72" i="53"/>
  <c r="AG71" i="53"/>
  <c r="AG70" i="53"/>
  <c r="AG69" i="53"/>
  <c r="AG68" i="53"/>
  <c r="AG67" i="53"/>
  <c r="AG96" i="48"/>
  <c r="AG95" i="48"/>
  <c r="AG94" i="48"/>
  <c r="AG93" i="48"/>
  <c r="AG92" i="48"/>
  <c r="AG91" i="48"/>
  <c r="AG90" i="48"/>
  <c r="AG89" i="48"/>
  <c r="AG88" i="48"/>
  <c r="AG87" i="48"/>
  <c r="AG86" i="48"/>
  <c r="AG85" i="48"/>
  <c r="AG84" i="48"/>
  <c r="AG83" i="48"/>
  <c r="AG82" i="48"/>
  <c r="AG81" i="48"/>
  <c r="AG80" i="48"/>
  <c r="AG79" i="48"/>
  <c r="AG78" i="48"/>
  <c r="AG77" i="48"/>
  <c r="AG76" i="48"/>
  <c r="AG75" i="48"/>
  <c r="AG74" i="48"/>
  <c r="AG73" i="48"/>
  <c r="AG72" i="48"/>
  <c r="AG71" i="48"/>
  <c r="AG70" i="48"/>
  <c r="AG69" i="48"/>
  <c r="AG68" i="48"/>
  <c r="AG67" i="48"/>
  <c r="AG96" i="47"/>
  <c r="AG95" i="47"/>
  <c r="AG94" i="47"/>
  <c r="AG93" i="47"/>
  <c r="AG92" i="47"/>
  <c r="AG91" i="47"/>
  <c r="AG90" i="47"/>
  <c r="AG89" i="47"/>
  <c r="AG88" i="47"/>
  <c r="AG87" i="47"/>
  <c r="AG86" i="47"/>
  <c r="AG85" i="47"/>
  <c r="AG84" i="47"/>
  <c r="AG83" i="47"/>
  <c r="AG82" i="47"/>
  <c r="AG81" i="47"/>
  <c r="AG80" i="47"/>
  <c r="AG79" i="47"/>
  <c r="AG78" i="47"/>
  <c r="AG77" i="47"/>
  <c r="AG76" i="47"/>
  <c r="AG75" i="47"/>
  <c r="AG74" i="47"/>
  <c r="AG73" i="47"/>
  <c r="AG72" i="47"/>
  <c r="AG71" i="47"/>
  <c r="AG70" i="47"/>
  <c r="AG69" i="47"/>
  <c r="AG68" i="47"/>
  <c r="AG67" i="47"/>
  <c r="AG96" i="56"/>
  <c r="AG95" i="56"/>
  <c r="AG94" i="56"/>
  <c r="AG93" i="56"/>
  <c r="AG92" i="56"/>
  <c r="AG91" i="56"/>
  <c r="AG90" i="56"/>
  <c r="AG89" i="56"/>
  <c r="AG88" i="56"/>
  <c r="AG87" i="56"/>
  <c r="AG86" i="56"/>
  <c r="AG85" i="56"/>
  <c r="AG84" i="56"/>
  <c r="AG83" i="56"/>
  <c r="AG82" i="56"/>
  <c r="AG81" i="56"/>
  <c r="AG80" i="56"/>
  <c r="AG79" i="56"/>
  <c r="AG78" i="56"/>
  <c r="AG77" i="56"/>
  <c r="AG76" i="56"/>
  <c r="AG75" i="56"/>
  <c r="AG74" i="56"/>
  <c r="AG73" i="56"/>
  <c r="AG72" i="56"/>
  <c r="AG71" i="56"/>
  <c r="AG70" i="56"/>
  <c r="AG69" i="56"/>
  <c r="AG68" i="56"/>
  <c r="AG67" i="56"/>
  <c r="AG96" i="49"/>
  <c r="AG95" i="49"/>
  <c r="AG94" i="49"/>
  <c r="AG93" i="49"/>
  <c r="AG92" i="49"/>
  <c r="AG91" i="49"/>
  <c r="AG90" i="49"/>
  <c r="AG89" i="49"/>
  <c r="AG88" i="49"/>
  <c r="AG87" i="49"/>
  <c r="AG86" i="49"/>
  <c r="AG85" i="49"/>
  <c r="AG84" i="49"/>
  <c r="AG83" i="49"/>
  <c r="AG82" i="49"/>
  <c r="AG81" i="49"/>
  <c r="AG80" i="49"/>
  <c r="AG79" i="49"/>
  <c r="AG78" i="49"/>
  <c r="AG77" i="49"/>
  <c r="AG76" i="49"/>
  <c r="AG75" i="49"/>
  <c r="AG74" i="49"/>
  <c r="AG73" i="49"/>
  <c r="AG72" i="49"/>
  <c r="AG71" i="49"/>
  <c r="AG70" i="49"/>
  <c r="AG69" i="49"/>
  <c r="AG68" i="49"/>
  <c r="AG67" i="49"/>
  <c r="AG96" i="54"/>
  <c r="AG95" i="54"/>
  <c r="AG94" i="54"/>
  <c r="AG93" i="54"/>
  <c r="AG92" i="54"/>
  <c r="AG91" i="54"/>
  <c r="AG90" i="54"/>
  <c r="AG89" i="54"/>
  <c r="AG88" i="54"/>
  <c r="AG87" i="54"/>
  <c r="AG86" i="54"/>
  <c r="AG85" i="54"/>
  <c r="AG84" i="54"/>
  <c r="AG83" i="54"/>
  <c r="AG82" i="54"/>
  <c r="AG81" i="54"/>
  <c r="AG80" i="54"/>
  <c r="AG79" i="54"/>
  <c r="AG78" i="54"/>
  <c r="AG77" i="54"/>
  <c r="AG76" i="54"/>
  <c r="AG75" i="54"/>
  <c r="AG74" i="54"/>
  <c r="AG73" i="54"/>
  <c r="AG72" i="54"/>
  <c r="AG71" i="54"/>
  <c r="AG70" i="54"/>
  <c r="AG69" i="54"/>
  <c r="AG68" i="54"/>
  <c r="AG67" i="54"/>
  <c r="AG96" i="50"/>
  <c r="AG95" i="50"/>
  <c r="AG94" i="50"/>
  <c r="AG93" i="50"/>
  <c r="AG92" i="50"/>
  <c r="AG91" i="50"/>
  <c r="AG90" i="50"/>
  <c r="AG89" i="50"/>
  <c r="AG88" i="50"/>
  <c r="AG87" i="50"/>
  <c r="AG86" i="50"/>
  <c r="AG85" i="50"/>
  <c r="AG84" i="50"/>
  <c r="AG83" i="50"/>
  <c r="AG82" i="50"/>
  <c r="AG81" i="50"/>
  <c r="AG80" i="50"/>
  <c r="AG79" i="50"/>
  <c r="AG78" i="50"/>
  <c r="AG77" i="50"/>
  <c r="AG76" i="50"/>
  <c r="AG75" i="50"/>
  <c r="AG74" i="50"/>
  <c r="AG73" i="50"/>
  <c r="AG72" i="50"/>
  <c r="AG71" i="50"/>
  <c r="AG70" i="50"/>
  <c r="AG69" i="50"/>
  <c r="AG68" i="50"/>
  <c r="AG67" i="50"/>
  <c r="AG96" i="55"/>
  <c r="AG95" i="55"/>
  <c r="AG94" i="55"/>
  <c r="AG93" i="55"/>
  <c r="AG92" i="55"/>
  <c r="AG91" i="55"/>
  <c r="AG90" i="55"/>
  <c r="AG89" i="55"/>
  <c r="AG88" i="55"/>
  <c r="AG87" i="55"/>
  <c r="AG86" i="55"/>
  <c r="AG85" i="55"/>
  <c r="AG84" i="55"/>
  <c r="AG83" i="55"/>
  <c r="AG82" i="55"/>
  <c r="AG81" i="55"/>
  <c r="AG80" i="55"/>
  <c r="AG79" i="55"/>
  <c r="AG78" i="55"/>
  <c r="AG77" i="55"/>
  <c r="AG76" i="55"/>
  <c r="AG75" i="55"/>
  <c r="AG74" i="55"/>
  <c r="AG73" i="55"/>
  <c r="AG72" i="55"/>
  <c r="AG71" i="55"/>
  <c r="AG70" i="55"/>
  <c r="AG69" i="55"/>
  <c r="AG68" i="55"/>
  <c r="AG67" i="55"/>
  <c r="AG96" i="52"/>
  <c r="AG95" i="52"/>
  <c r="AG94" i="52"/>
  <c r="AG93" i="52"/>
  <c r="AG92" i="52"/>
  <c r="AG91" i="52"/>
  <c r="AG90" i="52"/>
  <c r="AG89" i="52"/>
  <c r="AG88" i="52"/>
  <c r="AG87" i="52"/>
  <c r="AG86" i="52"/>
  <c r="AG85" i="52"/>
  <c r="AG84" i="52"/>
  <c r="AG83" i="52"/>
  <c r="AG82" i="52"/>
  <c r="AG81" i="52"/>
  <c r="AG80" i="52"/>
  <c r="AG79" i="52"/>
  <c r="AG78" i="52"/>
  <c r="AG77" i="52"/>
  <c r="AG76" i="52"/>
  <c r="AG75" i="52"/>
  <c r="AG74" i="52"/>
  <c r="AG73" i="52"/>
  <c r="AG72" i="52"/>
  <c r="AG71" i="52"/>
  <c r="AG70" i="52"/>
  <c r="AG82" i="60" l="1"/>
  <c r="AG81" i="60"/>
  <c r="AG80" i="60"/>
  <c r="AG79" i="60"/>
  <c r="AG78" i="60"/>
  <c r="AG77" i="60"/>
  <c r="AG76" i="60"/>
  <c r="AG75" i="60"/>
  <c r="AG74" i="60"/>
  <c r="AG73" i="60"/>
  <c r="AG72" i="60"/>
  <c r="AG71" i="60"/>
  <c r="AG70" i="60"/>
  <c r="AG69" i="60"/>
  <c r="AG68" i="60"/>
  <c r="AG67" i="60"/>
  <c r="AG66" i="60"/>
  <c r="AG65" i="60"/>
  <c r="AG64" i="60"/>
  <c r="AG63" i="60"/>
  <c r="AG62" i="60"/>
  <c r="AG61" i="60"/>
  <c r="AG60" i="60"/>
  <c r="AG59" i="60"/>
  <c r="AG58" i="60"/>
  <c r="AG57" i="60"/>
  <c r="AG56" i="60"/>
  <c r="AG55" i="60"/>
  <c r="AG54" i="60"/>
  <c r="AG53" i="60"/>
  <c r="AG52" i="60"/>
  <c r="AG51" i="60"/>
  <c r="AG50" i="60"/>
  <c r="AG49" i="60"/>
  <c r="AG48" i="60"/>
  <c r="AG47" i="60"/>
  <c r="AG46" i="60"/>
  <c r="AG45" i="60"/>
  <c r="AG44" i="60"/>
  <c r="AG43" i="60"/>
  <c r="AG42" i="60"/>
  <c r="AG41" i="60"/>
  <c r="AG40" i="60"/>
  <c r="AG39" i="60"/>
  <c r="AG38" i="60"/>
  <c r="AG37" i="60"/>
  <c r="AG36" i="60"/>
  <c r="AG35" i="60"/>
  <c r="AG34" i="60"/>
  <c r="AG33" i="60"/>
  <c r="AG32" i="60"/>
  <c r="AG31" i="60"/>
  <c r="AG30" i="60"/>
  <c r="AG29" i="60"/>
  <c r="AG28" i="60"/>
  <c r="AG27" i="60"/>
  <c r="AG26" i="60"/>
  <c r="AG25" i="60"/>
  <c r="AG24" i="60"/>
  <c r="AG23" i="60"/>
  <c r="AG22" i="60"/>
  <c r="S48" i="41" l="1"/>
  <c r="T48" i="41"/>
  <c r="Z48" i="41"/>
  <c r="E123" i="31" l="1"/>
  <c r="D123" i="31"/>
  <c r="I123" i="31"/>
  <c r="J123" i="31" s="1"/>
  <c r="K123" i="31" l="1"/>
  <c r="E122" i="31"/>
  <c r="D122" i="31" s="1"/>
  <c r="C122" i="31"/>
  <c r="I122" i="31" l="1"/>
  <c r="J122" i="31" s="1"/>
  <c r="E121" i="31"/>
  <c r="I121" i="31" s="1"/>
  <c r="C121" i="31"/>
  <c r="K122" i="31" l="1"/>
  <c r="J121" i="31"/>
  <c r="K121" i="31" s="1"/>
  <c r="D121" i="31"/>
  <c r="C5" i="62"/>
  <c r="C15" i="62"/>
  <c r="C14" i="62"/>
  <c r="C13" i="62"/>
  <c r="C11" i="62"/>
  <c r="C10" i="62"/>
  <c r="C8" i="62"/>
  <c r="C7" i="62"/>
  <c r="C6" i="62"/>
  <c r="G16" i="59" l="1"/>
  <c r="C11" i="59" l="1"/>
  <c r="C7" i="59" l="1"/>
  <c r="C6" i="59" l="1"/>
  <c r="C5" i="59" l="1"/>
  <c r="X18" i="1" l="1"/>
  <c r="D120" i="31" l="1"/>
  <c r="I120" i="31"/>
  <c r="J120" i="31" s="1"/>
  <c r="K120" i="31" l="1"/>
  <c r="E119" i="31"/>
  <c r="C119" i="31"/>
  <c r="I119" i="31"/>
  <c r="J119" i="31" s="1"/>
  <c r="D119" i="31" l="1"/>
  <c r="K119" i="31"/>
  <c r="S47" i="41"/>
  <c r="T47" i="41"/>
  <c r="Z47" i="41"/>
  <c r="AC49" i="38" l="1"/>
  <c r="AC24" i="38"/>
  <c r="E118" i="31"/>
  <c r="D118" i="31" s="1"/>
  <c r="I118" i="31"/>
  <c r="C118" i="31"/>
  <c r="J118" i="31" l="1"/>
  <c r="K118" i="31" s="1"/>
  <c r="S46" i="41"/>
  <c r="T46" i="41"/>
  <c r="Z46" i="41"/>
  <c r="E117" i="31" l="1"/>
  <c r="C117" i="31"/>
  <c r="I117" i="31"/>
  <c r="D117" i="31" l="1"/>
  <c r="J117" i="31"/>
  <c r="K117" i="31" s="1"/>
  <c r="AB49" i="38"/>
  <c r="AB24" i="38"/>
  <c r="S45" i="41"/>
  <c r="T45" i="41"/>
  <c r="Z45" i="41"/>
  <c r="AA49" i="38" l="1"/>
  <c r="AA24" i="38"/>
  <c r="S44" i="41"/>
  <c r="T44" i="41"/>
  <c r="Z44" i="41"/>
  <c r="Z49" i="38" l="1"/>
  <c r="Z24" i="38"/>
  <c r="S43" i="41" l="1"/>
  <c r="T43" i="41"/>
  <c r="Z43" i="41"/>
  <c r="E23" i="27" l="1"/>
  <c r="A23" i="27"/>
  <c r="E22" i="27"/>
  <c r="AB20" i="1" l="1"/>
  <c r="E116" i="31"/>
  <c r="D116" i="31" s="1"/>
  <c r="C116" i="31"/>
  <c r="I116" i="31"/>
  <c r="J116" i="31" s="1"/>
  <c r="K116" i="31" l="1"/>
  <c r="E115" i="31"/>
  <c r="D115" i="31" s="1"/>
  <c r="C115" i="31"/>
  <c r="I115" i="31"/>
  <c r="J115" i="31" l="1"/>
  <c r="K115" i="31" s="1"/>
  <c r="C114" i="31"/>
  <c r="D114" i="31"/>
  <c r="I114" i="31"/>
  <c r="J114" i="31" s="1"/>
  <c r="K114" i="31" l="1"/>
  <c r="C113" i="31"/>
  <c r="I113" i="31"/>
  <c r="J113" i="31" s="1"/>
  <c r="D113" i="31" l="1"/>
  <c r="K113" i="31"/>
  <c r="I206" i="31"/>
  <c r="F205" i="31"/>
  <c r="I205" i="31" s="1"/>
  <c r="J205" i="31" s="1"/>
  <c r="E205" i="31"/>
  <c r="J206" i="31" l="1"/>
  <c r="K206" i="31" s="1"/>
  <c r="K205" i="31"/>
  <c r="Y49" i="38" l="1"/>
  <c r="Y24" i="38"/>
  <c r="E112" i="31" l="1"/>
  <c r="C112" i="31"/>
  <c r="E111" i="31"/>
  <c r="D111" i="31" s="1"/>
  <c r="C111" i="31"/>
  <c r="I111" i="31"/>
  <c r="J111" i="31" s="1"/>
  <c r="D110" i="31"/>
  <c r="E110" i="31"/>
  <c r="C110" i="31"/>
  <c r="I110" i="31"/>
  <c r="J110" i="31" s="1"/>
  <c r="D112" i="31" l="1"/>
  <c r="I112" i="31"/>
  <c r="K111" i="31"/>
  <c r="K110" i="31"/>
  <c r="S42" i="41"/>
  <c r="T42" i="41"/>
  <c r="Z42" i="41"/>
  <c r="J112" i="31" l="1"/>
  <c r="K112" i="31" s="1"/>
  <c r="I50" i="56"/>
  <c r="I44" i="44"/>
  <c r="I51" i="47"/>
  <c r="I38" i="43"/>
  <c r="I38" i="41" l="1"/>
  <c r="I51" i="50" l="1"/>
  <c r="E109" i="31" l="1"/>
  <c r="C109" i="31"/>
  <c r="D109" i="31"/>
  <c r="I109" i="31"/>
  <c r="J109" i="31" l="1"/>
  <c r="K109" i="31" s="1"/>
  <c r="X49" i="38"/>
  <c r="X27" i="38"/>
  <c r="X24" i="38"/>
  <c r="E108" i="31" l="1"/>
  <c r="C108" i="31"/>
  <c r="D108" i="31"/>
  <c r="I108" i="31"/>
  <c r="J108" i="31" s="1"/>
  <c r="E107" i="31"/>
  <c r="C107" i="31"/>
  <c r="D107" i="31"/>
  <c r="I107" i="31"/>
  <c r="J107" i="31" s="1"/>
  <c r="K108" i="31" l="1"/>
  <c r="K107" i="31"/>
  <c r="S41" i="41"/>
  <c r="T41" i="41"/>
  <c r="Z41" i="41"/>
  <c r="E106" i="31" l="1"/>
  <c r="D106" i="31" s="1"/>
  <c r="I106" i="31" l="1"/>
  <c r="D105" i="31"/>
  <c r="I105" i="31"/>
  <c r="J105" i="31" s="1"/>
  <c r="D104" i="31"/>
  <c r="I104" i="31"/>
  <c r="J104" i="31" s="1"/>
  <c r="C103" i="31"/>
  <c r="E103" i="31"/>
  <c r="I103" i="31" s="1"/>
  <c r="K105" i="31" l="1"/>
  <c r="J106" i="31"/>
  <c r="K106" i="31" s="1"/>
  <c r="K104" i="31"/>
  <c r="J103" i="31"/>
  <c r="K103" i="31" s="1"/>
  <c r="D103" i="31"/>
  <c r="E102" i="31"/>
  <c r="D102" i="31" s="1"/>
  <c r="C102" i="31"/>
  <c r="I102" i="31" l="1"/>
  <c r="J102" i="31" s="1"/>
  <c r="E101" i="31"/>
  <c r="C101" i="31"/>
  <c r="D101" i="31" s="1"/>
  <c r="I101" i="31"/>
  <c r="K102" i="31" l="1"/>
  <c r="J101" i="31"/>
  <c r="K101" i="31" s="1"/>
  <c r="W49" i="38"/>
  <c r="W27" i="38"/>
  <c r="W24" i="38"/>
  <c r="D100" i="31" l="1"/>
  <c r="I100" i="31"/>
  <c r="J100" i="31" s="1"/>
  <c r="K100" i="31" s="1"/>
  <c r="D99" i="31"/>
  <c r="I99" i="31"/>
  <c r="J99" i="31" s="1"/>
  <c r="K99" i="31" l="1"/>
  <c r="E98" i="31"/>
  <c r="C98" i="31"/>
  <c r="D98" i="31" s="1"/>
  <c r="I98" i="31"/>
  <c r="J98" i="31" s="1"/>
  <c r="K98" i="31" s="1"/>
  <c r="F4" i="50" l="1"/>
  <c r="S40" i="41" l="1"/>
  <c r="T40" i="41"/>
  <c r="Z40" i="41"/>
  <c r="D97" i="31" l="1"/>
  <c r="I97" i="31"/>
  <c r="J97" i="31" l="1"/>
  <c r="K97" i="31" s="1"/>
  <c r="E96" i="31"/>
  <c r="C96" i="31"/>
  <c r="D96" i="31"/>
  <c r="I96" i="31"/>
  <c r="J96" i="31" s="1"/>
  <c r="K96" i="31" l="1"/>
  <c r="AX1" i="1"/>
  <c r="AW34" i="1" s="1"/>
  <c r="AV34" i="1"/>
  <c r="K32" i="48" l="1"/>
  <c r="K23" i="47"/>
  <c r="K48" i="44"/>
  <c r="K12" i="42"/>
  <c r="K47" i="44"/>
  <c r="K13" i="40"/>
  <c r="I32" i="33" l="1"/>
  <c r="E95" i="31" l="1"/>
  <c r="C95" i="31"/>
  <c r="I95" i="31"/>
  <c r="J95" i="31" s="1"/>
  <c r="D95" i="31" l="1"/>
  <c r="K95" i="31"/>
  <c r="C204" i="31"/>
  <c r="E204" i="31"/>
  <c r="I204" i="31" l="1"/>
  <c r="D204" i="31"/>
  <c r="J204" i="31"/>
  <c r="K204" i="31" s="1"/>
  <c r="V49" i="38"/>
  <c r="V27" i="38"/>
  <c r="V24" i="38"/>
  <c r="S39" i="41" l="1"/>
  <c r="T39" i="41"/>
  <c r="Z39" i="41"/>
  <c r="E94" i="31" l="1"/>
  <c r="C94" i="31"/>
  <c r="I94" i="31"/>
  <c r="J94" i="31" l="1"/>
  <c r="K94" i="31" s="1"/>
  <c r="D94" i="31"/>
  <c r="K31" i="43"/>
  <c r="F93" i="31" l="1"/>
  <c r="I93" i="31" s="1"/>
  <c r="E93" i="31"/>
  <c r="C93" i="31"/>
  <c r="J93" i="31" l="1"/>
  <c r="K93" i="31" s="1"/>
  <c r="D93" i="31"/>
  <c r="E92" i="31"/>
  <c r="C92" i="31"/>
  <c r="I92" i="31"/>
  <c r="J92" i="31" s="1"/>
  <c r="K92" i="31" s="1"/>
  <c r="D92" i="31" l="1"/>
  <c r="K22" i="47" l="1"/>
  <c r="K46" i="44"/>
  <c r="K21" i="47"/>
  <c r="I203" i="31"/>
  <c r="J203" i="31" s="1"/>
  <c r="K203" i="31" l="1"/>
  <c r="H44" i="29" l="1"/>
  <c r="U49" i="38" l="1"/>
  <c r="C32" i="38"/>
  <c r="U27" i="38"/>
  <c r="U24" i="38"/>
  <c r="C7" i="38"/>
  <c r="S38" i="41"/>
  <c r="T38" i="41"/>
  <c r="Z38" i="41"/>
  <c r="I40" i="44" l="1"/>
  <c r="I50" i="47"/>
  <c r="I36" i="43"/>
  <c r="I10" i="60"/>
  <c r="I18" i="42"/>
  <c r="I51" i="49"/>
  <c r="I50" i="50"/>
  <c r="W29" i="1" l="1"/>
  <c r="V39" i="1" l="1"/>
  <c r="V46" i="1"/>
  <c r="K1" i="52"/>
  <c r="K1" i="60"/>
  <c r="F4" i="60"/>
  <c r="F4" i="42"/>
  <c r="F4" i="41"/>
  <c r="F4" i="44"/>
  <c r="F4" i="53"/>
  <c r="F4" i="47"/>
  <c r="F4" i="48"/>
  <c r="F4" i="56"/>
  <c r="F4" i="49"/>
  <c r="F4" i="54"/>
  <c r="F4" i="51"/>
  <c r="F4" i="55"/>
  <c r="F4" i="52"/>
  <c r="D91" i="31" l="1"/>
  <c r="I91" i="31"/>
  <c r="J91" i="31" s="1"/>
  <c r="K91" i="31" s="1"/>
  <c r="I202" i="31" l="1"/>
  <c r="J202" i="31"/>
  <c r="K202" i="31"/>
  <c r="I50" i="29" l="1"/>
  <c r="H50" i="29"/>
  <c r="H51" i="29"/>
  <c r="I51" i="29" s="1"/>
  <c r="H49" i="29"/>
  <c r="I49" i="29" s="1"/>
  <c r="I44" i="29" l="1"/>
  <c r="E89" i="31" l="1"/>
  <c r="I89" i="31" s="1"/>
  <c r="J89" i="31" s="1"/>
  <c r="C89" i="31"/>
  <c r="E90" i="31"/>
  <c r="C90" i="31"/>
  <c r="I90" i="31"/>
  <c r="J90" i="31" s="1"/>
  <c r="D89" i="31" l="1"/>
  <c r="D90" i="31"/>
  <c r="K90" i="31"/>
  <c r="K89" i="31"/>
  <c r="R35" i="1"/>
  <c r="K45" i="44" l="1"/>
  <c r="K30" i="43"/>
  <c r="K44" i="44"/>
  <c r="K12" i="40"/>
  <c r="E88" i="31" l="1"/>
  <c r="C88" i="31"/>
  <c r="D88" i="31"/>
  <c r="I88" i="31"/>
  <c r="J88" i="31" l="1"/>
  <c r="K88" i="31" s="1"/>
  <c r="I4" i="40"/>
  <c r="K1" i="42"/>
  <c r="K1" i="41"/>
  <c r="K1" i="43"/>
  <c r="K1" i="44"/>
  <c r="K1" i="53"/>
  <c r="K1" i="47"/>
  <c r="K1" i="48"/>
  <c r="K1" i="56"/>
  <c r="K1" i="49"/>
  <c r="K1" i="54"/>
  <c r="K1" i="50"/>
  <c r="K1" i="51"/>
  <c r="K1" i="55"/>
  <c r="K1" i="40"/>
  <c r="T49" i="38" l="1"/>
  <c r="C42" i="38"/>
  <c r="C40" i="38"/>
  <c r="B40" i="38"/>
  <c r="A40" i="38"/>
  <c r="T24" i="38"/>
  <c r="C15" i="38"/>
  <c r="T27" i="38"/>
  <c r="S27" i="38"/>
  <c r="S37" i="41" l="1"/>
  <c r="T37" i="41"/>
  <c r="Z37" i="41"/>
  <c r="I4" i="60" l="1"/>
  <c r="D24" i="34" l="1"/>
  <c r="U31" i="1" l="1"/>
  <c r="I13" i="31"/>
  <c r="J13" i="31" s="1"/>
  <c r="F13" i="31"/>
  <c r="E13" i="31"/>
  <c r="D13" i="31"/>
  <c r="C13" i="31"/>
  <c r="K13" i="31" l="1"/>
  <c r="F27" i="20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U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E18" i="27" l="1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J20" i="27"/>
  <c r="I20" i="27"/>
  <c r="H20" i="27"/>
  <c r="G20" i="27"/>
  <c r="F20" i="27"/>
  <c r="H3" i="24" l="1"/>
  <c r="A20" i="21"/>
  <c r="AB22" i="1" l="1"/>
  <c r="Y22" i="1"/>
  <c r="J22" i="1"/>
  <c r="G22" i="1"/>
  <c r="I22" i="1" s="1"/>
  <c r="F22" i="1"/>
  <c r="C22" i="1"/>
  <c r="B22" i="1"/>
  <c r="B20" i="27" s="1"/>
  <c r="M9" i="60"/>
  <c r="S8" i="60"/>
  <c r="AH85" i="60"/>
  <c r="AK82" i="60"/>
  <c r="AK81" i="60"/>
  <c r="AK80" i="60"/>
  <c r="AK79" i="60"/>
  <c r="AK78" i="60"/>
  <c r="AK77" i="60"/>
  <c r="AK76" i="60"/>
  <c r="AK75" i="60"/>
  <c r="AK74" i="60"/>
  <c r="AK73" i="60"/>
  <c r="AK72" i="60"/>
  <c r="AK71" i="60"/>
  <c r="AK70" i="60"/>
  <c r="AK69" i="60"/>
  <c r="AK68" i="60"/>
  <c r="AK67" i="60"/>
  <c r="AK66" i="60"/>
  <c r="AK65" i="60"/>
  <c r="AK64" i="60"/>
  <c r="AK63" i="60"/>
  <c r="AK62" i="60"/>
  <c r="AK61" i="60"/>
  <c r="AK60" i="60"/>
  <c r="AK59" i="60"/>
  <c r="AK58" i="60"/>
  <c r="AK57" i="60"/>
  <c r="AK56" i="60"/>
  <c r="AK55" i="60"/>
  <c r="AK54" i="60"/>
  <c r="AK53" i="60"/>
  <c r="AK52" i="60"/>
  <c r="AK51" i="60"/>
  <c r="AK50" i="60"/>
  <c r="AK49" i="60"/>
  <c r="AK48" i="60"/>
  <c r="AK47" i="60"/>
  <c r="AK46" i="60"/>
  <c r="AK45" i="60"/>
  <c r="AK44" i="60"/>
  <c r="AK43" i="60"/>
  <c r="AK42" i="60"/>
  <c r="AK41" i="60"/>
  <c r="AK40" i="60"/>
  <c r="AK39" i="60"/>
  <c r="AK38" i="60"/>
  <c r="AK37" i="60"/>
  <c r="AK36" i="60"/>
  <c r="AK35" i="60"/>
  <c r="AK34" i="60"/>
  <c r="AK33" i="60"/>
  <c r="AK32" i="60"/>
  <c r="AK31" i="60"/>
  <c r="AK30" i="60"/>
  <c r="AK29" i="60"/>
  <c r="AK28" i="60"/>
  <c r="AK27" i="60"/>
  <c r="AK26" i="60"/>
  <c r="AK25" i="60"/>
  <c r="AK24" i="60"/>
  <c r="AK23" i="60"/>
  <c r="AK22" i="60"/>
  <c r="AK21" i="60"/>
  <c r="AK20" i="60"/>
  <c r="AK19" i="60"/>
  <c r="AK18" i="60"/>
  <c r="AK17" i="60"/>
  <c r="AK16" i="60"/>
  <c r="AK15" i="60"/>
  <c r="AK14" i="60"/>
  <c r="AK13" i="60"/>
  <c r="AK12" i="60"/>
  <c r="AK11" i="60"/>
  <c r="AK10" i="60"/>
  <c r="AK9" i="60"/>
  <c r="I8" i="60"/>
  <c r="AK8" i="60"/>
  <c r="AL72" i="60" s="1"/>
  <c r="AJ8" i="60"/>
  <c r="AE8" i="60"/>
  <c r="AB8" i="60"/>
  <c r="AB6" i="60" s="1"/>
  <c r="Y8" i="60"/>
  <c r="V8" i="60"/>
  <c r="Q8" i="60"/>
  <c r="O8" i="60"/>
  <c r="M8" i="60"/>
  <c r="F8" i="60"/>
  <c r="C8" i="60"/>
  <c r="C6" i="60" s="1"/>
  <c r="B8" i="60"/>
  <c r="B7" i="60" s="1"/>
  <c r="J7" i="60"/>
  <c r="C20" i="27" l="1"/>
  <c r="C20" i="21"/>
  <c r="AS51" i="1"/>
  <c r="B20" i="33"/>
  <c r="H22" i="1"/>
  <c r="D20" i="27"/>
  <c r="E20" i="27" s="1"/>
  <c r="V6" i="60"/>
  <c r="Q6" i="60"/>
  <c r="K22" i="1"/>
  <c r="L22" i="1" s="1"/>
  <c r="AR51" i="1"/>
  <c r="B10" i="35"/>
  <c r="A20" i="33"/>
  <c r="B20" i="21"/>
  <c r="AC22" i="1"/>
  <c r="AE5" i="60"/>
  <c r="AE3" i="60" s="1"/>
  <c r="AO22" i="1" s="1"/>
  <c r="M6" i="60"/>
  <c r="AK22" i="1" s="1"/>
  <c r="I6" i="60"/>
  <c r="AI22" i="1" s="1"/>
  <c r="Y6" i="60"/>
  <c r="AE6" i="60"/>
  <c r="S6" i="60"/>
  <c r="K6" i="60"/>
  <c r="AJ22" i="1" s="1"/>
  <c r="AL9" i="60"/>
  <c r="AL13" i="60"/>
  <c r="AL17" i="60"/>
  <c r="AL30" i="60"/>
  <c r="AL56" i="60"/>
  <c r="AL20" i="60"/>
  <c r="AL24" i="60"/>
  <c r="AL28" i="60"/>
  <c r="AL38" i="60"/>
  <c r="AL11" i="60"/>
  <c r="AL15" i="60"/>
  <c r="AL81" i="60"/>
  <c r="AL77" i="60"/>
  <c r="AL73" i="60"/>
  <c r="AL69" i="60"/>
  <c r="AL65" i="60"/>
  <c r="AL61" i="60"/>
  <c r="AL57" i="60"/>
  <c r="AL53" i="60"/>
  <c r="AL49" i="60"/>
  <c r="AL45" i="60"/>
  <c r="AL82" i="60"/>
  <c r="AL78" i="60"/>
  <c r="AL74" i="60"/>
  <c r="AL70" i="60"/>
  <c r="AL66" i="60"/>
  <c r="AL62" i="60"/>
  <c r="AL58" i="60"/>
  <c r="AL54" i="60"/>
  <c r="AL50" i="60"/>
  <c r="AL46" i="60"/>
  <c r="AL43" i="60"/>
  <c r="AL41" i="60"/>
  <c r="AL39" i="60"/>
  <c r="AL37" i="60"/>
  <c r="AL35" i="60"/>
  <c r="AL33" i="60"/>
  <c r="AL29" i="60"/>
  <c r="AL79" i="60"/>
  <c r="AL75" i="60"/>
  <c r="AL71" i="60"/>
  <c r="AL67" i="60"/>
  <c r="AL63" i="60"/>
  <c r="AL59" i="60"/>
  <c r="AL55" i="60"/>
  <c r="AL51" i="60"/>
  <c r="AL47" i="60"/>
  <c r="AL21" i="60"/>
  <c r="AL25" i="60"/>
  <c r="AL36" i="60"/>
  <c r="AL44" i="60"/>
  <c r="AL60" i="60"/>
  <c r="AL76" i="60"/>
  <c r="AG22" i="1"/>
  <c r="F6" i="60"/>
  <c r="AH22" i="1" s="1"/>
  <c r="O6" i="60"/>
  <c r="AL22" i="1" s="1"/>
  <c r="AL10" i="60"/>
  <c r="AL12" i="60"/>
  <c r="AL14" i="60"/>
  <c r="AL16" i="60"/>
  <c r="AL18" i="60"/>
  <c r="AL22" i="60"/>
  <c r="AL26" i="60"/>
  <c r="AL34" i="60"/>
  <c r="AL42" i="60"/>
  <c r="AL48" i="60"/>
  <c r="AL64" i="60"/>
  <c r="AL80" i="60"/>
  <c r="AG84" i="60"/>
  <c r="AG85" i="60"/>
  <c r="AL19" i="60"/>
  <c r="AL23" i="60"/>
  <c r="AL27" i="60"/>
  <c r="AL31" i="60"/>
  <c r="AL32" i="60"/>
  <c r="AL40" i="60"/>
  <c r="AL52" i="60"/>
  <c r="AL68" i="60"/>
  <c r="I87" i="31"/>
  <c r="E87" i="31"/>
  <c r="D87" i="31"/>
  <c r="C87" i="31"/>
  <c r="M22" i="1" l="1"/>
  <c r="H5" i="60"/>
  <c r="AD33" i="1" s="1"/>
  <c r="J87" i="31"/>
  <c r="K87" i="31" s="1"/>
  <c r="M4" i="1"/>
  <c r="BF22" i="1" l="1"/>
  <c r="S49" i="38"/>
  <c r="S24" i="38"/>
  <c r="D85" i="60" l="1"/>
  <c r="AO11" i="42"/>
  <c r="AO10" i="42"/>
  <c r="AO57" i="42"/>
  <c r="AO56" i="42"/>
  <c r="AO55" i="42"/>
  <c r="AO54" i="42"/>
  <c r="AO53" i="42"/>
  <c r="AO52" i="42"/>
  <c r="AO51" i="42"/>
  <c r="AO50" i="42"/>
  <c r="AO49" i="42"/>
  <c r="AO48" i="42"/>
  <c r="AO47" i="42"/>
  <c r="AO46" i="42"/>
  <c r="AO45" i="42"/>
  <c r="AO44" i="42"/>
  <c r="AO43" i="42"/>
  <c r="AO42" i="42"/>
  <c r="AO41" i="42"/>
  <c r="AO40" i="42"/>
  <c r="AO39" i="42"/>
  <c r="AO38" i="42"/>
  <c r="AO37" i="42"/>
  <c r="AO36" i="42"/>
  <c r="AO35" i="42"/>
  <c r="AO34" i="42"/>
  <c r="AO33" i="42"/>
  <c r="AO32" i="42"/>
  <c r="AO31" i="42"/>
  <c r="AO30" i="42"/>
  <c r="AO29" i="42"/>
  <c r="AO28" i="42"/>
  <c r="AO27" i="42"/>
  <c r="AO26" i="42"/>
  <c r="AO25" i="42"/>
  <c r="AO24" i="42"/>
  <c r="AO23" i="42"/>
  <c r="AO22" i="42"/>
  <c r="AO21" i="42"/>
  <c r="AO20" i="42"/>
  <c r="AO19" i="42"/>
  <c r="AO18" i="42"/>
  <c r="AO17" i="42"/>
  <c r="AO16" i="42"/>
  <c r="AO15" i="42"/>
  <c r="AO14" i="42"/>
  <c r="AO13" i="42"/>
  <c r="AO12" i="42"/>
  <c r="AM11" i="42"/>
  <c r="AM12" i="42" s="1"/>
  <c r="AM13" i="42" s="1"/>
  <c r="AM14" i="42" s="1"/>
  <c r="AM15" i="42" s="1"/>
  <c r="AM16" i="42" s="1"/>
  <c r="AM17" i="42" s="1"/>
  <c r="AM18" i="42" s="1"/>
  <c r="AM19" i="42" s="1"/>
  <c r="AM20" i="42" s="1"/>
  <c r="AM21" i="42" s="1"/>
  <c r="AM22" i="42" s="1"/>
  <c r="AM23" i="42" s="1"/>
  <c r="AM24" i="42" s="1"/>
  <c r="AM25" i="42" s="1"/>
  <c r="AM26" i="42" s="1"/>
  <c r="AM27" i="42" s="1"/>
  <c r="AM28" i="42" s="1"/>
  <c r="AM29" i="42" s="1"/>
  <c r="AM30" i="42" s="1"/>
  <c r="AM31" i="42" s="1"/>
  <c r="AM32" i="42" s="1"/>
  <c r="AM33" i="42" s="1"/>
  <c r="AM34" i="42" s="1"/>
  <c r="AM35" i="42" s="1"/>
  <c r="AM36" i="42" s="1"/>
  <c r="AM37" i="42" s="1"/>
  <c r="AM38" i="42" s="1"/>
  <c r="AM39" i="42" s="1"/>
  <c r="AM40" i="42" s="1"/>
  <c r="AM41" i="42" s="1"/>
  <c r="AM42" i="42" s="1"/>
  <c r="AM43" i="42" s="1"/>
  <c r="AM44" i="42" s="1"/>
  <c r="AM45" i="42" s="1"/>
  <c r="AM46" i="42" s="1"/>
  <c r="AM47" i="42" s="1"/>
  <c r="AM48" i="42" s="1"/>
  <c r="AM49" i="42" s="1"/>
  <c r="AM50" i="42" s="1"/>
  <c r="AM51" i="42" s="1"/>
  <c r="AM52" i="42" s="1"/>
  <c r="AM53" i="42" s="1"/>
  <c r="AM54" i="42" s="1"/>
  <c r="AM55" i="42" s="1"/>
  <c r="AM56" i="42" s="1"/>
  <c r="AM57" i="42" s="1"/>
  <c r="AP8" i="42" s="1"/>
  <c r="AN10" i="42" s="1"/>
  <c r="AN11" i="42" s="1"/>
  <c r="AO57" i="43"/>
  <c r="AO56" i="43"/>
  <c r="AO55" i="43"/>
  <c r="AO54" i="43"/>
  <c r="AO53" i="43"/>
  <c r="AO52" i="43"/>
  <c r="AO51" i="43"/>
  <c r="AO50" i="43"/>
  <c r="AO49" i="43"/>
  <c r="AO48" i="43"/>
  <c r="AO47" i="43"/>
  <c r="AO46" i="43"/>
  <c r="AO45" i="43"/>
  <c r="AO44" i="43"/>
  <c r="AO43" i="43"/>
  <c r="AO42" i="43"/>
  <c r="AO41" i="43"/>
  <c r="AO40" i="43"/>
  <c r="AO39" i="43"/>
  <c r="AO38" i="43"/>
  <c r="AO37" i="43"/>
  <c r="AO36" i="43"/>
  <c r="AO35" i="43"/>
  <c r="AO34" i="43"/>
  <c r="AO33" i="43"/>
  <c r="AO32" i="43"/>
  <c r="AO31" i="43"/>
  <c r="AO30" i="43"/>
  <c r="AO29" i="43"/>
  <c r="AO28" i="43"/>
  <c r="AO27" i="43"/>
  <c r="AO26" i="43"/>
  <c r="AO25" i="43"/>
  <c r="AO24" i="43"/>
  <c r="AO23" i="43"/>
  <c r="AO22" i="43"/>
  <c r="AO21" i="43"/>
  <c r="AO20" i="43"/>
  <c r="AO19" i="43"/>
  <c r="AO18" i="43"/>
  <c r="AO17" i="43"/>
  <c r="AO16" i="43"/>
  <c r="AO15" i="43"/>
  <c r="AO14" i="43"/>
  <c r="AO13" i="43"/>
  <c r="AO12" i="43"/>
  <c r="AO11" i="43"/>
  <c r="AO10" i="43"/>
  <c r="AM12" i="43"/>
  <c r="AM13" i="43" s="1"/>
  <c r="AM14" i="43" s="1"/>
  <c r="AM15" i="43" s="1"/>
  <c r="AM16" i="43" s="1"/>
  <c r="AM17" i="43" s="1"/>
  <c r="AM18" i="43" s="1"/>
  <c r="AM19" i="43" s="1"/>
  <c r="AM20" i="43" s="1"/>
  <c r="AM21" i="43" s="1"/>
  <c r="AM22" i="43" s="1"/>
  <c r="AM23" i="43" s="1"/>
  <c r="AM24" i="43" s="1"/>
  <c r="AM25" i="43" s="1"/>
  <c r="AM26" i="43" s="1"/>
  <c r="AM27" i="43" s="1"/>
  <c r="AM28" i="43" s="1"/>
  <c r="AM29" i="43" s="1"/>
  <c r="AM30" i="43" s="1"/>
  <c r="AM31" i="43" s="1"/>
  <c r="AM32" i="43" s="1"/>
  <c r="AM33" i="43" s="1"/>
  <c r="AM34" i="43" s="1"/>
  <c r="AM35" i="43" s="1"/>
  <c r="AM36" i="43" s="1"/>
  <c r="AM37" i="43" s="1"/>
  <c r="AM38" i="43" s="1"/>
  <c r="AM39" i="43" s="1"/>
  <c r="AM40" i="43" s="1"/>
  <c r="AM41" i="43" s="1"/>
  <c r="AM42" i="43" s="1"/>
  <c r="AM43" i="43" s="1"/>
  <c r="AM44" i="43" s="1"/>
  <c r="AM45" i="43" s="1"/>
  <c r="AM46" i="43" s="1"/>
  <c r="AM47" i="43" s="1"/>
  <c r="AM48" i="43" s="1"/>
  <c r="AM49" i="43" s="1"/>
  <c r="AM50" i="43" s="1"/>
  <c r="AM51" i="43" s="1"/>
  <c r="AM52" i="43" s="1"/>
  <c r="AM53" i="43" s="1"/>
  <c r="AM54" i="43" s="1"/>
  <c r="AM55" i="43" s="1"/>
  <c r="AM56" i="43" s="1"/>
  <c r="AM57" i="43" s="1"/>
  <c r="AP8" i="43" s="1"/>
  <c r="AN10" i="43" s="1"/>
  <c r="AN11" i="43" s="1"/>
  <c r="AM11" i="43"/>
  <c r="S36" i="41"/>
  <c r="T36" i="41"/>
  <c r="Z36" i="41"/>
  <c r="AN12" i="42" l="1"/>
  <c r="AN13" i="42" s="1"/>
  <c r="AP11" i="42"/>
  <c r="AP12" i="42"/>
  <c r="AP10" i="42"/>
  <c r="AN12" i="43"/>
  <c r="AN13" i="43" s="1"/>
  <c r="AP11" i="43"/>
  <c r="AP10" i="43"/>
  <c r="AP12" i="43"/>
  <c r="E86" i="31"/>
  <c r="C86" i="31"/>
  <c r="I86" i="31"/>
  <c r="AN14" i="42" l="1"/>
  <c r="AP13" i="42"/>
  <c r="AN14" i="43"/>
  <c r="AP13" i="43"/>
  <c r="J86" i="31"/>
  <c r="K86" i="31" s="1"/>
  <c r="D86" i="31"/>
  <c r="AN15" i="42" l="1"/>
  <c r="AP14" i="42"/>
  <c r="AN15" i="43"/>
  <c r="AP14" i="43"/>
  <c r="K43" i="44"/>
  <c r="K29" i="43"/>
  <c r="K29" i="41"/>
  <c r="K31" i="48"/>
  <c r="K28" i="43"/>
  <c r="AN16" i="42" l="1"/>
  <c r="AP15" i="42"/>
  <c r="AN16" i="43"/>
  <c r="AP15" i="43"/>
  <c r="AN17" i="42" l="1"/>
  <c r="AP16" i="42"/>
  <c r="AN17" i="43"/>
  <c r="AP16" i="43"/>
  <c r="I38" i="48"/>
  <c r="I35" i="41"/>
  <c r="I39" i="47"/>
  <c r="I49" i="47"/>
  <c r="I37" i="51"/>
  <c r="I49" i="51"/>
  <c r="I49" i="52"/>
  <c r="I49" i="50"/>
  <c r="I49" i="49"/>
  <c r="I25" i="43"/>
  <c r="I34" i="43"/>
  <c r="I49" i="48"/>
  <c r="I30" i="44"/>
  <c r="I10" i="42"/>
  <c r="AN18" i="42" l="1"/>
  <c r="AP17" i="42"/>
  <c r="AN18" i="43"/>
  <c r="AP17" i="43"/>
  <c r="I9" i="42"/>
  <c r="AN19" i="42" l="1"/>
  <c r="AP18" i="42"/>
  <c r="AN19" i="43"/>
  <c r="AP18" i="43"/>
  <c r="C99" i="55" l="1"/>
  <c r="C85" i="60"/>
  <c r="AN20" i="42"/>
  <c r="AP19" i="42"/>
  <c r="AN20" i="43"/>
  <c r="AP19" i="43"/>
  <c r="K148" i="31"/>
  <c r="I201" i="31"/>
  <c r="J201" i="31" s="1"/>
  <c r="K201" i="31" s="1"/>
  <c r="I200" i="31"/>
  <c r="AB88" i="60" l="1"/>
  <c r="Q88" i="60"/>
  <c r="I88" i="60"/>
  <c r="AH84" i="60"/>
  <c r="Y88" i="60"/>
  <c r="O88" i="60"/>
  <c r="F88" i="60"/>
  <c r="J87" i="60"/>
  <c r="V88" i="60"/>
  <c r="M88" i="60"/>
  <c r="C88" i="60"/>
  <c r="S88" i="60"/>
  <c r="K88" i="60"/>
  <c r="B88" i="60"/>
  <c r="AE88" i="60"/>
  <c r="AN21" i="42"/>
  <c r="AP20" i="42"/>
  <c r="AN21" i="43"/>
  <c r="AP20" i="43"/>
  <c r="K200" i="31"/>
  <c r="J200" i="31"/>
  <c r="AR22" i="1" l="1"/>
  <c r="AS22" i="1"/>
  <c r="AT22" i="1"/>
  <c r="AW22" i="1"/>
  <c r="AX22" i="1"/>
  <c r="AV22" i="1"/>
  <c r="AU22" i="1"/>
  <c r="S86" i="60"/>
  <c r="S89" i="60" s="1"/>
  <c r="K86" i="60"/>
  <c r="K89" i="60" s="1"/>
  <c r="Y86" i="60"/>
  <c r="Y89" i="60" s="1"/>
  <c r="AE86" i="60"/>
  <c r="AE89" i="60" s="1"/>
  <c r="C86" i="60"/>
  <c r="C89" i="60" s="1"/>
  <c r="F86" i="60"/>
  <c r="B87" i="60"/>
  <c r="M86" i="60"/>
  <c r="M89" i="60" s="1"/>
  <c r="O86" i="60"/>
  <c r="O89" i="60" s="1"/>
  <c r="Q86" i="60"/>
  <c r="Q89" i="60" s="1"/>
  <c r="AE92" i="60"/>
  <c r="V86" i="60"/>
  <c r="AB86" i="60"/>
  <c r="I86" i="60"/>
  <c r="AN22" i="42"/>
  <c r="AP21" i="42"/>
  <c r="AN22" i="43"/>
  <c r="AP21" i="43"/>
  <c r="C9" i="59"/>
  <c r="F89" i="60" l="1"/>
  <c r="AE90" i="60"/>
  <c r="BA22" i="1"/>
  <c r="V89" i="60"/>
  <c r="AB89" i="60"/>
  <c r="I89" i="60"/>
  <c r="AN23" i="42"/>
  <c r="AP22" i="42"/>
  <c r="AN23" i="43"/>
  <c r="AP22" i="43"/>
  <c r="E85" i="31"/>
  <c r="I85" i="31" s="1"/>
  <c r="J85" i="31" s="1"/>
  <c r="K85" i="31" s="1"/>
  <c r="C85" i="31"/>
  <c r="AN24" i="42" l="1"/>
  <c r="AP23" i="42"/>
  <c r="AN24" i="43"/>
  <c r="AP23" i="43"/>
  <c r="D85" i="31"/>
  <c r="C8" i="59"/>
  <c r="AN25" i="42" l="1"/>
  <c r="AP24" i="42"/>
  <c r="AN25" i="43"/>
  <c r="AP24" i="43"/>
  <c r="R49" i="38"/>
  <c r="R27" i="38"/>
  <c r="R24" i="38"/>
  <c r="AN26" i="42" l="1"/>
  <c r="AP25" i="42"/>
  <c r="AN26" i="43"/>
  <c r="AP25" i="43"/>
  <c r="S35" i="41"/>
  <c r="T35" i="41"/>
  <c r="Z35" i="41"/>
  <c r="AN27" i="42" l="1"/>
  <c r="AP26" i="42"/>
  <c r="AN27" i="43"/>
  <c r="AP26" i="43"/>
  <c r="C10" i="59"/>
  <c r="AN28" i="42" l="1"/>
  <c r="AP27" i="42"/>
  <c r="AN28" i="43"/>
  <c r="AP27" i="43"/>
  <c r="E83" i="31"/>
  <c r="D83" i="31" s="1"/>
  <c r="C83" i="31"/>
  <c r="K20" i="47"/>
  <c r="K27" i="43"/>
  <c r="AN29" i="42" l="1"/>
  <c r="AP28" i="42"/>
  <c r="AN29" i="43"/>
  <c r="AP28" i="43"/>
  <c r="I83" i="31"/>
  <c r="AN30" i="42" l="1"/>
  <c r="AP29" i="42"/>
  <c r="AN30" i="43"/>
  <c r="AP29" i="43"/>
  <c r="J83" i="31"/>
  <c r="K83" i="31" s="1"/>
  <c r="F199" i="31"/>
  <c r="E199" i="31"/>
  <c r="D199" i="31" s="1"/>
  <c r="C199" i="31"/>
  <c r="I199" i="31"/>
  <c r="J199" i="31" s="1"/>
  <c r="AN31" i="42" l="1"/>
  <c r="AP30" i="42"/>
  <c r="AN31" i="43"/>
  <c r="AP30" i="43"/>
  <c r="K199" i="31"/>
  <c r="C198" i="31"/>
  <c r="E198" i="31"/>
  <c r="AN32" i="42" l="1"/>
  <c r="AP31" i="42"/>
  <c r="AN32" i="43"/>
  <c r="AP31" i="43"/>
  <c r="I197" i="31"/>
  <c r="J197" i="31" s="1"/>
  <c r="K197" i="31" s="1"/>
  <c r="AN33" i="42" l="1"/>
  <c r="AP32" i="42"/>
  <c r="AN33" i="43"/>
  <c r="AP32" i="43"/>
  <c r="I198" i="31"/>
  <c r="J198" i="31"/>
  <c r="K198" i="31" s="1"/>
  <c r="I196" i="31"/>
  <c r="K196" i="31" s="1"/>
  <c r="J196" i="31"/>
  <c r="I195" i="31"/>
  <c r="J195" i="31"/>
  <c r="I194" i="31"/>
  <c r="J194" i="31" s="1"/>
  <c r="I193" i="31"/>
  <c r="J193" i="31"/>
  <c r="K193" i="31" s="1"/>
  <c r="I192" i="31"/>
  <c r="J192" i="31"/>
  <c r="K192" i="31" s="1"/>
  <c r="I191" i="31"/>
  <c r="J191" i="31" s="1"/>
  <c r="K191" i="31" s="1"/>
  <c r="AN34" i="42" l="1"/>
  <c r="AP33" i="42"/>
  <c r="AN34" i="43"/>
  <c r="AP33" i="43"/>
  <c r="K195" i="31"/>
  <c r="K194" i="31"/>
  <c r="I190" i="31"/>
  <c r="F189" i="31"/>
  <c r="E189" i="31"/>
  <c r="C189" i="31" s="1"/>
  <c r="I188" i="31"/>
  <c r="F188" i="31"/>
  <c r="E188" i="31"/>
  <c r="C188" i="31"/>
  <c r="AN35" i="42" l="1"/>
  <c r="AP34" i="42"/>
  <c r="AN35" i="43"/>
  <c r="AP34" i="43"/>
  <c r="J188" i="31"/>
  <c r="K188" i="31" s="1"/>
  <c r="J190" i="31"/>
  <c r="K190" i="31" s="1"/>
  <c r="I189" i="31"/>
  <c r="J189" i="31" s="1"/>
  <c r="K189" i="31" s="1"/>
  <c r="S34" i="41"/>
  <c r="T34" i="41"/>
  <c r="Z34" i="41"/>
  <c r="AN36" i="42" l="1"/>
  <c r="AP35" i="42"/>
  <c r="AN36" i="43"/>
  <c r="AP35" i="43"/>
  <c r="Q49" i="38"/>
  <c r="Q27" i="38"/>
  <c r="Q24" i="38"/>
  <c r="AN37" i="42" l="1"/>
  <c r="AP36" i="42"/>
  <c r="AN37" i="43"/>
  <c r="AP36" i="43"/>
  <c r="C84" i="31"/>
  <c r="D84" i="31" s="1"/>
  <c r="I84" i="31"/>
  <c r="J84" i="31" s="1"/>
  <c r="AN38" i="42" l="1"/>
  <c r="AP37" i="42"/>
  <c r="AN38" i="43"/>
  <c r="AP37" i="43"/>
  <c r="K84" i="31"/>
  <c r="G19" i="1"/>
  <c r="F19" i="1"/>
  <c r="H19" i="1" s="1"/>
  <c r="C19" i="1"/>
  <c r="B19" i="1"/>
  <c r="I19" i="1"/>
  <c r="C103" i="58"/>
  <c r="AH99" i="58"/>
  <c r="AG99" i="58"/>
  <c r="AG98" i="58"/>
  <c r="AL96" i="58"/>
  <c r="AM96" i="58" s="1"/>
  <c r="AL95" i="58"/>
  <c r="AL94" i="58"/>
  <c r="AM93" i="58"/>
  <c r="AL93" i="58"/>
  <c r="AL92" i="58"/>
  <c r="AM92" i="58" s="1"/>
  <c r="AL91" i="58"/>
  <c r="AL90" i="58"/>
  <c r="AM89" i="58"/>
  <c r="AL89" i="58"/>
  <c r="AL88" i="58"/>
  <c r="AM88" i="58" s="1"/>
  <c r="AL87" i="58"/>
  <c r="AL86" i="58"/>
  <c r="AM85" i="58"/>
  <c r="AL85" i="58"/>
  <c r="AL84" i="58"/>
  <c r="AM84" i="58" s="1"/>
  <c r="AL83" i="58"/>
  <c r="AL82" i="58"/>
  <c r="AM81" i="58"/>
  <c r="AL81" i="58"/>
  <c r="AL80" i="58"/>
  <c r="AM80" i="58" s="1"/>
  <c r="AL79" i="58"/>
  <c r="AL78" i="58"/>
  <c r="AM77" i="58"/>
  <c r="AL77" i="58"/>
  <c r="AL76" i="58"/>
  <c r="AM76" i="58" s="1"/>
  <c r="AL75" i="58"/>
  <c r="AL74" i="58"/>
  <c r="AM73" i="58"/>
  <c r="AL73" i="58"/>
  <c r="AL72" i="58"/>
  <c r="AM72" i="58" s="1"/>
  <c r="AL71" i="58"/>
  <c r="AL70" i="58"/>
  <c r="AM69" i="58"/>
  <c r="AL69" i="58"/>
  <c r="AL68" i="58"/>
  <c r="AM68" i="58" s="1"/>
  <c r="AL67" i="58"/>
  <c r="AL66" i="58"/>
  <c r="AM65" i="58"/>
  <c r="AL65" i="58"/>
  <c r="AL64" i="58"/>
  <c r="AM64" i="58" s="1"/>
  <c r="AL63" i="58"/>
  <c r="AL62" i="58"/>
  <c r="AM61" i="58"/>
  <c r="AL61" i="58"/>
  <c r="AL60" i="58"/>
  <c r="AM60" i="58" s="1"/>
  <c r="AL59" i="58"/>
  <c r="AL58" i="58"/>
  <c r="AM57" i="58"/>
  <c r="AL57" i="58"/>
  <c r="AL56" i="58"/>
  <c r="AM56" i="58" s="1"/>
  <c r="AL55" i="58"/>
  <c r="AL54" i="58"/>
  <c r="AM53" i="58"/>
  <c r="AL53" i="58"/>
  <c r="AL52" i="58"/>
  <c r="AM52" i="58" s="1"/>
  <c r="AL51" i="58"/>
  <c r="AL50" i="58"/>
  <c r="AM49" i="58"/>
  <c r="AL49" i="58"/>
  <c r="AL48" i="58"/>
  <c r="AM48" i="58" s="1"/>
  <c r="AL47" i="58"/>
  <c r="AL46" i="58"/>
  <c r="AM45" i="58"/>
  <c r="AL45" i="58"/>
  <c r="AL44" i="58"/>
  <c r="AM44" i="58" s="1"/>
  <c r="AL43" i="58"/>
  <c r="AL42" i="58"/>
  <c r="AM41" i="58"/>
  <c r="AL41" i="58"/>
  <c r="AL40" i="58"/>
  <c r="AM40" i="58" s="1"/>
  <c r="AL39" i="58"/>
  <c r="AM38" i="58"/>
  <c r="AL38" i="58"/>
  <c r="AM37" i="58"/>
  <c r="AL37" i="58"/>
  <c r="AL36" i="58"/>
  <c r="AM36" i="58" s="1"/>
  <c r="AL35" i="58"/>
  <c r="AM34" i="58"/>
  <c r="AL34" i="58"/>
  <c r="AM33" i="58"/>
  <c r="AL33" i="58"/>
  <c r="AL32" i="58"/>
  <c r="AM32" i="58" s="1"/>
  <c r="AL31" i="58"/>
  <c r="AM30" i="58"/>
  <c r="AL30" i="58"/>
  <c r="AM29" i="58"/>
  <c r="AL29" i="58"/>
  <c r="AL28" i="58"/>
  <c r="AM28" i="58" s="1"/>
  <c r="AL27" i="58"/>
  <c r="AM26" i="58"/>
  <c r="AL26" i="58"/>
  <c r="AM25" i="58"/>
  <c r="AL25" i="58"/>
  <c r="AL24" i="58"/>
  <c r="AM24" i="58" s="1"/>
  <c r="AL23" i="58"/>
  <c r="AM22" i="58"/>
  <c r="AL22" i="58"/>
  <c r="AM21" i="58"/>
  <c r="AL21" i="58"/>
  <c r="AL20" i="58"/>
  <c r="AM19" i="58"/>
  <c r="AL19" i="58"/>
  <c r="AL18" i="58"/>
  <c r="AM17" i="58"/>
  <c r="AL17" i="58"/>
  <c r="AL16" i="58"/>
  <c r="AM15" i="58"/>
  <c r="AL15" i="58"/>
  <c r="AL14" i="58"/>
  <c r="AM13" i="58"/>
  <c r="AL13" i="58"/>
  <c r="AL12" i="58"/>
  <c r="AM11" i="58"/>
  <c r="AL11" i="58"/>
  <c r="AL10" i="58"/>
  <c r="AM9" i="58"/>
  <c r="AL9" i="58"/>
  <c r="AL8" i="58"/>
  <c r="AM94" i="58" s="1"/>
  <c r="AK8" i="58"/>
  <c r="AJ8" i="58"/>
  <c r="AE8" i="58"/>
  <c r="AB8" i="58"/>
  <c r="Y8" i="58"/>
  <c r="V8" i="58"/>
  <c r="S8" i="58"/>
  <c r="Q8" i="58"/>
  <c r="O8" i="58"/>
  <c r="M8" i="58"/>
  <c r="K8" i="58"/>
  <c r="I8" i="58"/>
  <c r="F8" i="58"/>
  <c r="C8" i="58"/>
  <c r="B8" i="58"/>
  <c r="J7" i="58"/>
  <c r="I4" i="58"/>
  <c r="G8" i="1"/>
  <c r="I8" i="1" s="1"/>
  <c r="F8" i="1"/>
  <c r="C8" i="1"/>
  <c r="B8" i="1"/>
  <c r="AH99" i="57"/>
  <c r="AL96" i="57"/>
  <c r="AL95" i="57"/>
  <c r="AL94" i="57"/>
  <c r="AL93" i="57"/>
  <c r="AL92" i="57"/>
  <c r="AL91" i="57"/>
  <c r="AL90" i="57"/>
  <c r="AL89" i="57"/>
  <c r="AL88" i="57"/>
  <c r="AL87" i="57"/>
  <c r="AL86" i="57"/>
  <c r="AL85" i="57"/>
  <c r="AL84" i="57"/>
  <c r="AL83" i="57"/>
  <c r="AL82" i="57"/>
  <c r="AL81" i="57"/>
  <c r="AL80" i="57"/>
  <c r="AL79" i="57"/>
  <c r="AL78" i="57"/>
  <c r="AL77" i="57"/>
  <c r="AL76" i="57"/>
  <c r="AL75" i="57"/>
  <c r="AL74" i="57"/>
  <c r="AL73" i="57"/>
  <c r="AL72" i="57"/>
  <c r="AL71" i="57"/>
  <c r="AL70" i="57"/>
  <c r="AL69" i="57"/>
  <c r="AL68" i="57"/>
  <c r="AL67" i="57"/>
  <c r="AL66" i="57"/>
  <c r="AL65" i="57"/>
  <c r="AL64" i="57"/>
  <c r="AL63" i="57"/>
  <c r="AL62" i="57"/>
  <c r="AL61" i="57"/>
  <c r="AL60" i="57"/>
  <c r="AL59" i="57"/>
  <c r="AL58" i="57"/>
  <c r="AL57" i="57"/>
  <c r="AL56" i="57"/>
  <c r="AL55" i="57"/>
  <c r="AL54" i="57"/>
  <c r="AL53" i="57"/>
  <c r="AL52" i="57"/>
  <c r="AL51" i="57"/>
  <c r="AL50" i="57"/>
  <c r="AL49" i="57"/>
  <c r="AM49" i="57" s="1"/>
  <c r="AL48" i="57"/>
  <c r="AL47" i="57"/>
  <c r="AM47" i="57" s="1"/>
  <c r="AL46" i="57"/>
  <c r="AL45" i="57"/>
  <c r="AL44" i="57"/>
  <c r="AL43" i="57"/>
  <c r="AM43" i="57" s="1"/>
  <c r="AL42" i="57"/>
  <c r="AL41" i="57"/>
  <c r="AM41" i="57" s="1"/>
  <c r="AL40" i="57"/>
  <c r="AL39" i="57"/>
  <c r="AM39" i="57" s="1"/>
  <c r="AL38" i="57"/>
  <c r="AL37" i="57"/>
  <c r="AL36" i="57"/>
  <c r="AL35" i="57"/>
  <c r="AM35" i="57" s="1"/>
  <c r="AL34" i="57"/>
  <c r="AL33" i="57"/>
  <c r="AM33" i="57" s="1"/>
  <c r="AL32" i="57"/>
  <c r="AL31" i="57"/>
  <c r="AM31" i="57" s="1"/>
  <c r="AL30" i="57"/>
  <c r="AL29" i="57"/>
  <c r="AL28" i="57"/>
  <c r="AL27" i="57"/>
  <c r="AM27" i="57" s="1"/>
  <c r="AL26" i="57"/>
  <c r="AL25" i="57"/>
  <c r="AM25" i="57" s="1"/>
  <c r="AL24" i="57"/>
  <c r="AL23" i="57"/>
  <c r="AM23" i="57" s="1"/>
  <c r="AL22" i="57"/>
  <c r="AL21" i="57"/>
  <c r="AL20" i="57"/>
  <c r="AL19" i="57"/>
  <c r="AM19" i="57" s="1"/>
  <c r="AL18" i="57"/>
  <c r="AL17" i="57"/>
  <c r="AM17" i="57" s="1"/>
  <c r="AL16" i="57"/>
  <c r="AL15" i="57"/>
  <c r="AM15" i="57" s="1"/>
  <c r="AL14" i="57"/>
  <c r="AL13" i="57"/>
  <c r="AL12" i="57"/>
  <c r="AL11" i="57"/>
  <c r="AM11" i="57" s="1"/>
  <c r="AL10" i="57"/>
  <c r="AL9" i="57"/>
  <c r="AM9" i="57" s="1"/>
  <c r="AL8" i="57"/>
  <c r="AM45" i="57" s="1"/>
  <c r="AK8" i="57"/>
  <c r="AJ8" i="57"/>
  <c r="AE8" i="57"/>
  <c r="AB8" i="57"/>
  <c r="Y8" i="57"/>
  <c r="V8" i="57"/>
  <c r="S8" i="57"/>
  <c r="Q8" i="57"/>
  <c r="O8" i="57"/>
  <c r="M8" i="57"/>
  <c r="K8" i="57"/>
  <c r="I8" i="57"/>
  <c r="F8" i="57"/>
  <c r="C8" i="57"/>
  <c r="B8" i="57"/>
  <c r="J7" i="57"/>
  <c r="I4" i="57"/>
  <c r="AN39" i="42" l="1"/>
  <c r="AP38" i="42"/>
  <c r="AN39" i="43"/>
  <c r="AP38" i="43"/>
  <c r="AM10" i="58"/>
  <c r="AM12" i="58"/>
  <c r="AM14" i="58"/>
  <c r="AM16" i="58"/>
  <c r="AM18" i="58"/>
  <c r="AM20" i="58"/>
  <c r="AM23" i="58"/>
  <c r="AM27" i="58"/>
  <c r="AM31" i="58"/>
  <c r="AM35" i="58"/>
  <c r="AM39" i="58"/>
  <c r="AM43" i="58"/>
  <c r="AM47" i="58"/>
  <c r="AM51" i="58"/>
  <c r="AM55" i="58"/>
  <c r="AM59" i="58"/>
  <c r="AM63" i="58"/>
  <c r="AM67" i="58"/>
  <c r="AM71" i="58"/>
  <c r="AM75" i="58"/>
  <c r="AM79" i="58"/>
  <c r="AM83" i="58"/>
  <c r="AM87" i="58"/>
  <c r="AM91" i="58"/>
  <c r="AM95" i="58"/>
  <c r="AE5" i="58"/>
  <c r="H5" i="58" s="1"/>
  <c r="BF19" i="1" s="1"/>
  <c r="AM42" i="58"/>
  <c r="AM46" i="58"/>
  <c r="AM50" i="58"/>
  <c r="AM54" i="58"/>
  <c r="AM58" i="58"/>
  <c r="AM62" i="58"/>
  <c r="AM66" i="58"/>
  <c r="AM70" i="58"/>
  <c r="AM74" i="58"/>
  <c r="AM78" i="58"/>
  <c r="AM82" i="58"/>
  <c r="AM86" i="58"/>
  <c r="AM90" i="58"/>
  <c r="AE5" i="57"/>
  <c r="H5" i="57" s="1"/>
  <c r="BF8" i="1" s="1"/>
  <c r="AM21" i="57"/>
  <c r="AM37" i="57"/>
  <c r="AM48" i="57"/>
  <c r="AM14" i="57"/>
  <c r="AM22" i="57"/>
  <c r="AM30" i="57"/>
  <c r="AM38" i="57"/>
  <c r="AM46" i="57"/>
  <c r="AM53" i="57"/>
  <c r="AM57" i="57"/>
  <c r="AM61" i="57"/>
  <c r="AM65" i="57"/>
  <c r="AM69" i="57"/>
  <c r="AM73" i="57"/>
  <c r="AM77" i="57"/>
  <c r="AM81" i="57"/>
  <c r="AM83" i="57"/>
  <c r="AM87" i="57"/>
  <c r="AM89" i="57"/>
  <c r="AM91" i="57"/>
  <c r="AM93" i="57"/>
  <c r="AM95" i="57"/>
  <c r="AM12" i="57"/>
  <c r="AM20" i="57"/>
  <c r="AM28" i="57"/>
  <c r="AM36" i="57"/>
  <c r="AM16" i="57"/>
  <c r="AM24" i="57"/>
  <c r="AM29" i="57"/>
  <c r="AM40" i="57"/>
  <c r="AM51" i="57"/>
  <c r="AM55" i="57"/>
  <c r="AM59" i="57"/>
  <c r="AM63" i="57"/>
  <c r="AM67" i="57"/>
  <c r="AM71" i="57"/>
  <c r="AM75" i="57"/>
  <c r="AM79" i="57"/>
  <c r="AM85" i="57"/>
  <c r="AM44" i="57"/>
  <c r="AM10" i="57"/>
  <c r="AM18" i="57"/>
  <c r="AM26" i="57"/>
  <c r="AM34" i="57"/>
  <c r="AM42" i="57"/>
  <c r="AM50" i="57"/>
  <c r="AM52" i="57"/>
  <c r="AM54" i="57"/>
  <c r="AM56" i="57"/>
  <c r="AM58" i="57"/>
  <c r="AM60" i="57"/>
  <c r="AM62" i="57"/>
  <c r="AM64" i="57"/>
  <c r="AM66" i="57"/>
  <c r="AM68" i="57"/>
  <c r="AM70" i="57"/>
  <c r="AM72" i="57"/>
  <c r="AM74" i="57"/>
  <c r="AM76" i="57"/>
  <c r="AM78" i="57"/>
  <c r="AM80" i="57"/>
  <c r="AM82" i="57"/>
  <c r="AM84" i="57"/>
  <c r="AM86" i="57"/>
  <c r="AM88" i="57"/>
  <c r="AM90" i="57"/>
  <c r="AM92" i="57"/>
  <c r="AM94" i="57"/>
  <c r="AM96" i="57"/>
  <c r="AM13" i="57"/>
  <c r="AM32" i="57"/>
  <c r="AG98" i="57"/>
  <c r="AG99" i="57"/>
  <c r="J12" i="1"/>
  <c r="K12" i="1" s="1"/>
  <c r="G12" i="1"/>
  <c r="I12" i="1" s="1"/>
  <c r="F12" i="1"/>
  <c r="C12" i="1"/>
  <c r="B12" i="1"/>
  <c r="AH99" i="56"/>
  <c r="AL96" i="56"/>
  <c r="AL95" i="56"/>
  <c r="AL94" i="56"/>
  <c r="AL93" i="56"/>
  <c r="AL92" i="56"/>
  <c r="AL91" i="56"/>
  <c r="AL90" i="56"/>
  <c r="AL89" i="56"/>
  <c r="AL88" i="56"/>
  <c r="AL87" i="56"/>
  <c r="AL86" i="56"/>
  <c r="AL85" i="56"/>
  <c r="AL84" i="56"/>
  <c r="AL83" i="56"/>
  <c r="AL82" i="56"/>
  <c r="AL81" i="56"/>
  <c r="AL80" i="56"/>
  <c r="AL79" i="56"/>
  <c r="AL78" i="56"/>
  <c r="AL77" i="56"/>
  <c r="AL76" i="56"/>
  <c r="AL75" i="56"/>
  <c r="AL74" i="56"/>
  <c r="AL73" i="56"/>
  <c r="AL72" i="56"/>
  <c r="AL71" i="56"/>
  <c r="AL70" i="56"/>
  <c r="AL69" i="56"/>
  <c r="AL68" i="56"/>
  <c r="AL67" i="56"/>
  <c r="AL66" i="56"/>
  <c r="AL65" i="56"/>
  <c r="AL64" i="56"/>
  <c r="AL63" i="56"/>
  <c r="AL62" i="56"/>
  <c r="AL61" i="56"/>
  <c r="AL60" i="56"/>
  <c r="AL59" i="56"/>
  <c r="AL58" i="56"/>
  <c r="AL57" i="56"/>
  <c r="AL56" i="56"/>
  <c r="AL55" i="56"/>
  <c r="AL54" i="56"/>
  <c r="AL53" i="56"/>
  <c r="AL52" i="56"/>
  <c r="AL51" i="56"/>
  <c r="AL50" i="56"/>
  <c r="AL49" i="56"/>
  <c r="AL48" i="56"/>
  <c r="AL47" i="56"/>
  <c r="AL46" i="56"/>
  <c r="AL45" i="56"/>
  <c r="AL44" i="56"/>
  <c r="AL43" i="56"/>
  <c r="AL42" i="56"/>
  <c r="AL41" i="56"/>
  <c r="AL40" i="56"/>
  <c r="AL39" i="56"/>
  <c r="AL38" i="56"/>
  <c r="AL37" i="56"/>
  <c r="AL36" i="56"/>
  <c r="AL35" i="56"/>
  <c r="AL34" i="56"/>
  <c r="AL33" i="56"/>
  <c r="AL32" i="56"/>
  <c r="AL31" i="56"/>
  <c r="AL30" i="56"/>
  <c r="AL29" i="56"/>
  <c r="AL28" i="56"/>
  <c r="AL27" i="56"/>
  <c r="AL26" i="56"/>
  <c r="AL25" i="56"/>
  <c r="AL24" i="56"/>
  <c r="AL23" i="56"/>
  <c r="AL22" i="56"/>
  <c r="AL21" i="56"/>
  <c r="AL20" i="56"/>
  <c r="AL19" i="56"/>
  <c r="AL18" i="56"/>
  <c r="AL17" i="56"/>
  <c r="AL16" i="56"/>
  <c r="AL15" i="56"/>
  <c r="AL14" i="56"/>
  <c r="AL13" i="56"/>
  <c r="AL12" i="56"/>
  <c r="AL11" i="56"/>
  <c r="AL10" i="56"/>
  <c r="AL9" i="56"/>
  <c r="AL8" i="56"/>
  <c r="AM96" i="56" s="1"/>
  <c r="AK8" i="56"/>
  <c r="AJ8" i="56"/>
  <c r="AE8" i="56"/>
  <c r="AB8" i="56"/>
  <c r="Y8" i="56"/>
  <c r="V8" i="56"/>
  <c r="S8" i="56"/>
  <c r="Q8" i="56"/>
  <c r="O8" i="56"/>
  <c r="M8" i="56"/>
  <c r="K8" i="56"/>
  <c r="I8" i="56"/>
  <c r="F8" i="56"/>
  <c r="C8" i="56"/>
  <c r="C6" i="56" s="1"/>
  <c r="B8" i="56"/>
  <c r="B7" i="56" s="1"/>
  <c r="J7" i="56"/>
  <c r="I4" i="56"/>
  <c r="AN40" i="42" l="1"/>
  <c r="AP39" i="42"/>
  <c r="AN40" i="43"/>
  <c r="AP39" i="43"/>
  <c r="AM9" i="56"/>
  <c r="AM17" i="56"/>
  <c r="AM41" i="56"/>
  <c r="AM25" i="56"/>
  <c r="AM33" i="56"/>
  <c r="AM49" i="56"/>
  <c r="AM19" i="56"/>
  <c r="AM23" i="56"/>
  <c r="AM31" i="56"/>
  <c r="AM39" i="56"/>
  <c r="AM47" i="56"/>
  <c r="AM11" i="56"/>
  <c r="AM15" i="56"/>
  <c r="AE5" i="56"/>
  <c r="H5" i="56" s="1"/>
  <c r="BF12" i="1" s="1"/>
  <c r="AM27" i="56"/>
  <c r="AM35" i="56"/>
  <c r="AC12" i="1"/>
  <c r="AM43" i="56"/>
  <c r="AM13" i="56"/>
  <c r="AM21" i="56"/>
  <c r="AM29" i="56"/>
  <c r="AM37" i="56"/>
  <c r="AM45" i="56"/>
  <c r="AG98" i="56"/>
  <c r="AE6" i="56"/>
  <c r="AG12" i="1"/>
  <c r="S6" i="56"/>
  <c r="I6" i="56"/>
  <c r="AI12" i="1" s="1"/>
  <c r="F6" i="56"/>
  <c r="AH12" i="1" s="1"/>
  <c r="Y6" i="56"/>
  <c r="V6" i="56"/>
  <c r="M6" i="56"/>
  <c r="AK12" i="1" s="1"/>
  <c r="O6" i="56"/>
  <c r="AL12" i="1" s="1"/>
  <c r="AG99" i="56"/>
  <c r="AB6" i="56"/>
  <c r="Q6" i="56"/>
  <c r="K6" i="56"/>
  <c r="AJ12" i="1" s="1"/>
  <c r="AM10" i="56"/>
  <c r="AM12" i="56"/>
  <c r="AM14" i="56"/>
  <c r="AM16" i="56"/>
  <c r="AM18" i="56"/>
  <c r="AM20" i="56"/>
  <c r="AM22" i="56"/>
  <c r="AM24" i="56"/>
  <c r="AM26" i="56"/>
  <c r="AM28" i="56"/>
  <c r="AM30" i="56"/>
  <c r="AM32" i="56"/>
  <c r="AM34" i="56"/>
  <c r="AM36" i="56"/>
  <c r="AM38" i="56"/>
  <c r="AM40" i="56"/>
  <c r="AM42" i="56"/>
  <c r="AM44" i="56"/>
  <c r="AM46" i="56"/>
  <c r="AM48" i="56"/>
  <c r="AM50" i="56"/>
  <c r="AM51" i="56"/>
  <c r="AM52" i="56"/>
  <c r="AM53" i="56"/>
  <c r="AM54" i="56"/>
  <c r="AM55" i="56"/>
  <c r="AM56" i="56"/>
  <c r="AM57" i="56"/>
  <c r="AM58" i="56"/>
  <c r="AM59" i="56"/>
  <c r="AM60" i="56"/>
  <c r="AM61" i="56"/>
  <c r="AM62" i="56"/>
  <c r="AM63" i="56"/>
  <c r="AM64" i="56"/>
  <c r="AM65" i="56"/>
  <c r="AM66" i="56"/>
  <c r="AM67" i="56"/>
  <c r="AM68" i="56"/>
  <c r="AM69" i="56"/>
  <c r="AM70" i="56"/>
  <c r="AM71" i="56"/>
  <c r="AM72" i="56"/>
  <c r="AM73" i="56"/>
  <c r="AM74" i="56"/>
  <c r="AM75" i="56"/>
  <c r="AM76" i="56"/>
  <c r="AM77" i="56"/>
  <c r="AM78" i="56"/>
  <c r="AM79" i="56"/>
  <c r="AM80" i="56"/>
  <c r="AM81" i="56"/>
  <c r="AM82" i="56"/>
  <c r="AM83" i="56"/>
  <c r="AM84" i="56"/>
  <c r="AM85" i="56"/>
  <c r="AM86" i="56"/>
  <c r="AM87" i="56"/>
  <c r="AM88" i="56"/>
  <c r="AM89" i="56"/>
  <c r="AM90" i="56"/>
  <c r="AM91" i="56"/>
  <c r="AM92" i="56"/>
  <c r="AM93" i="56"/>
  <c r="AM94" i="56"/>
  <c r="AM95" i="56"/>
  <c r="J5" i="1"/>
  <c r="K5" i="1" s="1"/>
  <c r="G5" i="1"/>
  <c r="I5" i="1" s="1"/>
  <c r="F5" i="1"/>
  <c r="C5" i="1"/>
  <c r="B5" i="1"/>
  <c r="AH99" i="55"/>
  <c r="AL96" i="55"/>
  <c r="AL95" i="55"/>
  <c r="AL94" i="55"/>
  <c r="AL93" i="55"/>
  <c r="AL92" i="55"/>
  <c r="AL91" i="55"/>
  <c r="AL90" i="55"/>
  <c r="AL89" i="55"/>
  <c r="AL88" i="55"/>
  <c r="AL87" i="55"/>
  <c r="AL86" i="55"/>
  <c r="AL85" i="55"/>
  <c r="AL84" i="55"/>
  <c r="AL83" i="55"/>
  <c r="AL82" i="55"/>
  <c r="AL81" i="55"/>
  <c r="AL80" i="55"/>
  <c r="AL79" i="55"/>
  <c r="AL78" i="55"/>
  <c r="AL77" i="55"/>
  <c r="AL76" i="55"/>
  <c r="AL75" i="55"/>
  <c r="AL74" i="55"/>
  <c r="AL73" i="55"/>
  <c r="AL72" i="55"/>
  <c r="AL71" i="55"/>
  <c r="AL70" i="55"/>
  <c r="AL69" i="55"/>
  <c r="AL68" i="55"/>
  <c r="AL67" i="55"/>
  <c r="AL66" i="55"/>
  <c r="AL65" i="55"/>
  <c r="AL64" i="55"/>
  <c r="AL63" i="55"/>
  <c r="AL62" i="55"/>
  <c r="AL61" i="55"/>
  <c r="AL60" i="55"/>
  <c r="AL59" i="55"/>
  <c r="AL58" i="55"/>
  <c r="AL57" i="55"/>
  <c r="AL56" i="55"/>
  <c r="AL55" i="55"/>
  <c r="AL54" i="55"/>
  <c r="AL53" i="55"/>
  <c r="AL52" i="55"/>
  <c r="AL51" i="55"/>
  <c r="AL50" i="55"/>
  <c r="AL49" i="55"/>
  <c r="AL48" i="55"/>
  <c r="AL47" i="55"/>
  <c r="AL46" i="55"/>
  <c r="AL45" i="55"/>
  <c r="AL44" i="55"/>
  <c r="AL43" i="55"/>
  <c r="AL42" i="55"/>
  <c r="AL41" i="55"/>
  <c r="AL40" i="55"/>
  <c r="AL39" i="55"/>
  <c r="AL38" i="55"/>
  <c r="AL37" i="55"/>
  <c r="AL36" i="55"/>
  <c r="AL35" i="55"/>
  <c r="AL34" i="55"/>
  <c r="AL33" i="55"/>
  <c r="AL32" i="55"/>
  <c r="AL31" i="55"/>
  <c r="AL30" i="55"/>
  <c r="AL29" i="55"/>
  <c r="AL28" i="55"/>
  <c r="AL27" i="55"/>
  <c r="AL26" i="55"/>
  <c r="AL25" i="55"/>
  <c r="AL24" i="55"/>
  <c r="AL23" i="55"/>
  <c r="AL22" i="55"/>
  <c r="AL21" i="55"/>
  <c r="AL20" i="55"/>
  <c r="AL19" i="55"/>
  <c r="AL18" i="55"/>
  <c r="AL17" i="55"/>
  <c r="AL16" i="55"/>
  <c r="AL15" i="55"/>
  <c r="AL14" i="55"/>
  <c r="AL13" i="55"/>
  <c r="AL12" i="55"/>
  <c r="AL11" i="55"/>
  <c r="AL10" i="55"/>
  <c r="AL9" i="55"/>
  <c r="AL8" i="55"/>
  <c r="AM96" i="55" s="1"/>
  <c r="AK8" i="55"/>
  <c r="AJ8" i="55"/>
  <c r="AE8" i="55"/>
  <c r="AB8" i="55"/>
  <c r="Y8" i="55"/>
  <c r="V8" i="55"/>
  <c r="S8" i="55"/>
  <c r="Q8" i="55"/>
  <c r="O8" i="55"/>
  <c r="M8" i="55"/>
  <c r="K8" i="55"/>
  <c r="I8" i="55"/>
  <c r="F8" i="55"/>
  <c r="C8" i="55"/>
  <c r="C6" i="55" s="1"/>
  <c r="B8" i="55"/>
  <c r="B7" i="55" s="1"/>
  <c r="J7" i="55"/>
  <c r="I4" i="55"/>
  <c r="C24" i="33" l="1"/>
  <c r="H24" i="33"/>
  <c r="AN41" i="42"/>
  <c r="AP40" i="42"/>
  <c r="AN41" i="43"/>
  <c r="AP40" i="43"/>
  <c r="L5" i="1"/>
  <c r="AE3" i="56"/>
  <c r="AO12" i="1" s="1"/>
  <c r="AM9" i="55"/>
  <c r="AM33" i="55"/>
  <c r="AM49" i="55"/>
  <c r="AM17" i="55"/>
  <c r="AM25" i="55"/>
  <c r="AM41" i="55"/>
  <c r="AM11" i="55"/>
  <c r="AM19" i="55"/>
  <c r="AM27" i="55"/>
  <c r="AM35" i="55"/>
  <c r="AM43" i="55"/>
  <c r="AG98" i="55"/>
  <c r="AE5" i="55"/>
  <c r="H5" i="55" s="1"/>
  <c r="BF5" i="1" s="1"/>
  <c r="AM29" i="55"/>
  <c r="AM45" i="55"/>
  <c r="AC5" i="1"/>
  <c r="J149" i="63" s="1"/>
  <c r="AM15" i="55"/>
  <c r="AM23" i="55"/>
  <c r="AM31" i="55"/>
  <c r="AM39" i="55"/>
  <c r="AM47" i="55"/>
  <c r="AM13" i="55"/>
  <c r="AM21" i="55"/>
  <c r="AM37" i="55"/>
  <c r="Y6" i="55"/>
  <c r="Q6" i="55"/>
  <c r="AB6" i="55"/>
  <c r="AG99" i="55"/>
  <c r="F6" i="55"/>
  <c r="AH5" i="1" s="1"/>
  <c r="I6" i="55"/>
  <c r="AI5" i="1" s="1"/>
  <c r="K6" i="55"/>
  <c r="AJ5" i="1" s="1"/>
  <c r="S6" i="55"/>
  <c r="AE6" i="55"/>
  <c r="O6" i="55"/>
  <c r="AL5" i="1" s="1"/>
  <c r="AG5" i="1"/>
  <c r="M6" i="55"/>
  <c r="AK5" i="1" s="1"/>
  <c r="V6" i="55"/>
  <c r="AM10" i="55"/>
  <c r="AM12" i="55"/>
  <c r="AM14" i="55"/>
  <c r="AM16" i="55"/>
  <c r="AM18" i="55"/>
  <c r="AM20" i="55"/>
  <c r="AM22" i="55"/>
  <c r="AM24" i="55"/>
  <c r="AM26" i="55"/>
  <c r="AM28" i="55"/>
  <c r="AM30" i="55"/>
  <c r="AM32" i="55"/>
  <c r="AM34" i="55"/>
  <c r="AM36" i="55"/>
  <c r="AM38" i="55"/>
  <c r="AM40" i="55"/>
  <c r="AM42" i="55"/>
  <c r="AM44" i="55"/>
  <c r="AM46" i="55"/>
  <c r="AM48" i="55"/>
  <c r="AM50" i="55"/>
  <c r="AM51" i="55"/>
  <c r="AM52" i="55"/>
  <c r="AM53" i="55"/>
  <c r="AM54" i="55"/>
  <c r="AM55" i="55"/>
  <c r="AM56" i="55"/>
  <c r="AM57" i="55"/>
  <c r="AM58" i="55"/>
  <c r="AM59" i="55"/>
  <c r="AM60" i="55"/>
  <c r="AM61" i="55"/>
  <c r="AM62" i="55"/>
  <c r="AM63" i="55"/>
  <c r="AM64" i="55"/>
  <c r="AM65" i="55"/>
  <c r="AM66" i="55"/>
  <c r="AM67" i="55"/>
  <c r="AM68" i="55"/>
  <c r="AM69" i="55"/>
  <c r="AM70" i="55"/>
  <c r="AM71" i="55"/>
  <c r="AM72" i="55"/>
  <c r="AM73" i="55"/>
  <c r="AM74" i="55"/>
  <c r="AM75" i="55"/>
  <c r="AM76" i="55"/>
  <c r="AM77" i="55"/>
  <c r="AM78" i="55"/>
  <c r="AM79" i="55"/>
  <c r="AM80" i="55"/>
  <c r="AM81" i="55"/>
  <c r="AM82" i="55"/>
  <c r="AM83" i="55"/>
  <c r="AM84" i="55"/>
  <c r="AM85" i="55"/>
  <c r="AM86" i="55"/>
  <c r="AM87" i="55"/>
  <c r="AM88" i="55"/>
  <c r="AM89" i="55"/>
  <c r="AM90" i="55"/>
  <c r="AM91" i="55"/>
  <c r="AM92" i="55"/>
  <c r="AM93" i="55"/>
  <c r="AM94" i="55"/>
  <c r="AM95" i="55"/>
  <c r="J6" i="1"/>
  <c r="K6" i="1" s="1"/>
  <c r="G6" i="1"/>
  <c r="I6" i="1" s="1"/>
  <c r="F6" i="1"/>
  <c r="C6" i="1"/>
  <c r="B6" i="1"/>
  <c r="AH99" i="54"/>
  <c r="AL96" i="54"/>
  <c r="AL95" i="54"/>
  <c r="AL94" i="54"/>
  <c r="AL93" i="54"/>
  <c r="AL92" i="54"/>
  <c r="AL91" i="54"/>
  <c r="AL90" i="54"/>
  <c r="AL89" i="54"/>
  <c r="AL88" i="54"/>
  <c r="AL87" i="54"/>
  <c r="AL86" i="54"/>
  <c r="AL85" i="54"/>
  <c r="AL84" i="54"/>
  <c r="AL83" i="54"/>
  <c r="AL82" i="54"/>
  <c r="AL81" i="54"/>
  <c r="AL80" i="54"/>
  <c r="AL79" i="54"/>
  <c r="AL78" i="54"/>
  <c r="AL77" i="54"/>
  <c r="AL76" i="54"/>
  <c r="AL75" i="54"/>
  <c r="AL74" i="54"/>
  <c r="AL73" i="54"/>
  <c r="AL72" i="54"/>
  <c r="AL71" i="54"/>
  <c r="AL70" i="54"/>
  <c r="AL69" i="54"/>
  <c r="AL68" i="54"/>
  <c r="AL67" i="54"/>
  <c r="AL66" i="54"/>
  <c r="AL65" i="54"/>
  <c r="AL64" i="54"/>
  <c r="AL63" i="54"/>
  <c r="AL62" i="54"/>
  <c r="AL61" i="54"/>
  <c r="AL60" i="54"/>
  <c r="AL59" i="54"/>
  <c r="AL58" i="54"/>
  <c r="AL57" i="54"/>
  <c r="AL56" i="54"/>
  <c r="AL55" i="54"/>
  <c r="AL54" i="54"/>
  <c r="AL53" i="54"/>
  <c r="AL52" i="54"/>
  <c r="AL51" i="54"/>
  <c r="AL50" i="54"/>
  <c r="AL49" i="54"/>
  <c r="AL48" i="54"/>
  <c r="AL47" i="54"/>
  <c r="AL46" i="54"/>
  <c r="AL45" i="54"/>
  <c r="AL44" i="54"/>
  <c r="AL43" i="54"/>
  <c r="AL42" i="54"/>
  <c r="AL41" i="54"/>
  <c r="AL40" i="54"/>
  <c r="AL39" i="54"/>
  <c r="AL38" i="54"/>
  <c r="AL37" i="54"/>
  <c r="AL36" i="54"/>
  <c r="AL35" i="54"/>
  <c r="AL34" i="54"/>
  <c r="AL33" i="54"/>
  <c r="AL32" i="54"/>
  <c r="AL31" i="54"/>
  <c r="AL30" i="54"/>
  <c r="AL29" i="54"/>
  <c r="AL28" i="54"/>
  <c r="AL27" i="54"/>
  <c r="AL26" i="54"/>
  <c r="AL25" i="54"/>
  <c r="AL24" i="54"/>
  <c r="AL23" i="54"/>
  <c r="AL22" i="54"/>
  <c r="AL21" i="54"/>
  <c r="AL20" i="54"/>
  <c r="AL19" i="54"/>
  <c r="AL18" i="54"/>
  <c r="AL17" i="54"/>
  <c r="AL16" i="54"/>
  <c r="AL15" i="54"/>
  <c r="AL14" i="54"/>
  <c r="AL13" i="54"/>
  <c r="AL12" i="54"/>
  <c r="AL11" i="54"/>
  <c r="AL10" i="54"/>
  <c r="AL9" i="54"/>
  <c r="AL8" i="54"/>
  <c r="AM45" i="54" s="1"/>
  <c r="AK8" i="54"/>
  <c r="AJ8" i="54"/>
  <c r="AE8" i="54"/>
  <c r="AB8" i="54"/>
  <c r="Y8" i="54"/>
  <c r="V8" i="54"/>
  <c r="S8" i="54"/>
  <c r="Q8" i="54"/>
  <c r="O8" i="54"/>
  <c r="M8" i="54"/>
  <c r="K8" i="54"/>
  <c r="I8" i="54"/>
  <c r="F8" i="54"/>
  <c r="C8" i="54"/>
  <c r="C6" i="54" s="1"/>
  <c r="B8" i="54"/>
  <c r="B7" i="54" s="1"/>
  <c r="J7" i="54"/>
  <c r="I4" i="54"/>
  <c r="J14" i="63" l="1"/>
  <c r="J328" i="63"/>
  <c r="J193" i="63"/>
  <c r="J59" i="63"/>
  <c r="J238" i="63"/>
  <c r="J104" i="63"/>
  <c r="J283" i="63"/>
  <c r="H283" i="63"/>
  <c r="I283" i="63" s="1"/>
  <c r="N283" i="63" s="1"/>
  <c r="H328" i="63"/>
  <c r="H610" i="63" s="1"/>
  <c r="I610" i="63" s="1"/>
  <c r="H193" i="63"/>
  <c r="I193" i="63" s="1"/>
  <c r="N193" i="63" s="1"/>
  <c r="H238" i="63"/>
  <c r="I238" i="63" s="1"/>
  <c r="N238" i="63" s="1"/>
  <c r="H104" i="63"/>
  <c r="I104" i="63" s="1"/>
  <c r="H149" i="63"/>
  <c r="I149" i="63" s="1"/>
  <c r="N149" i="63" s="1"/>
  <c r="H14" i="63"/>
  <c r="I14" i="63" s="1"/>
  <c r="N14" i="63" s="1"/>
  <c r="H59" i="63"/>
  <c r="I59" i="63" s="1"/>
  <c r="N59" i="63" s="1"/>
  <c r="AE3" i="55"/>
  <c r="AO5" i="1" s="1"/>
  <c r="H25" i="33"/>
  <c r="C25" i="33"/>
  <c r="C6" i="33"/>
  <c r="AN42" i="42"/>
  <c r="AP41" i="42"/>
  <c r="AN42" i="43"/>
  <c r="AP41" i="43"/>
  <c r="AM15" i="54"/>
  <c r="AM19" i="54"/>
  <c r="AM23" i="54"/>
  <c r="AM27" i="54"/>
  <c r="AM31" i="54"/>
  <c r="AM39" i="54"/>
  <c r="AM43" i="54"/>
  <c r="AM47" i="54"/>
  <c r="AM11" i="54"/>
  <c r="AM35" i="54"/>
  <c r="AE5" i="54"/>
  <c r="H5" i="54" s="1"/>
  <c r="BF6" i="1" s="1"/>
  <c r="AM25" i="54"/>
  <c r="AM41" i="54"/>
  <c r="AG98" i="54"/>
  <c r="AM9" i="54"/>
  <c r="AM17" i="54"/>
  <c r="AM33" i="54"/>
  <c r="AM49" i="54"/>
  <c r="L6" i="1"/>
  <c r="AM13" i="54"/>
  <c r="AM14" i="54"/>
  <c r="AM30" i="54"/>
  <c r="AM38" i="54"/>
  <c r="AM46" i="54"/>
  <c r="AM51" i="54"/>
  <c r="AM53" i="54"/>
  <c r="AM57" i="54"/>
  <c r="AM61" i="54"/>
  <c r="AM65" i="54"/>
  <c r="AM67" i="54"/>
  <c r="AM71" i="54"/>
  <c r="AM73" i="54"/>
  <c r="AM75" i="54"/>
  <c r="AM77" i="54"/>
  <c r="AM79" i="54"/>
  <c r="AM81" i="54"/>
  <c r="AM83" i="54"/>
  <c r="AM85" i="54"/>
  <c r="AM87" i="54"/>
  <c r="AM91" i="54"/>
  <c r="AM93" i="54"/>
  <c r="AM95" i="54"/>
  <c r="AM28" i="54"/>
  <c r="AM36" i="54"/>
  <c r="AM22" i="54"/>
  <c r="AM55" i="54"/>
  <c r="AM59" i="54"/>
  <c r="AM63" i="54"/>
  <c r="AM69" i="54"/>
  <c r="AM89" i="54"/>
  <c r="AM12" i="54"/>
  <c r="AM20" i="54"/>
  <c r="AM44" i="54"/>
  <c r="AM10" i="54"/>
  <c r="AM18" i="54"/>
  <c r="AM26" i="54"/>
  <c r="AM34" i="54"/>
  <c r="AM42" i="54"/>
  <c r="AM50" i="54"/>
  <c r="AM52" i="54"/>
  <c r="AM54" i="54"/>
  <c r="AM56" i="54"/>
  <c r="AM58" i="54"/>
  <c r="AM60" i="54"/>
  <c r="AM62" i="54"/>
  <c r="AM64" i="54"/>
  <c r="AM66" i="54"/>
  <c r="AM68" i="54"/>
  <c r="AM70" i="54"/>
  <c r="AM72" i="54"/>
  <c r="AM74" i="54"/>
  <c r="AM76" i="54"/>
  <c r="AM78" i="54"/>
  <c r="AM80" i="54"/>
  <c r="AM82" i="54"/>
  <c r="AM84" i="54"/>
  <c r="AM86" i="54"/>
  <c r="AM88" i="54"/>
  <c r="AM90" i="54"/>
  <c r="AM92" i="54"/>
  <c r="AM94" i="54"/>
  <c r="AM96" i="54"/>
  <c r="AM16" i="54"/>
  <c r="AM21" i="54"/>
  <c r="AM24" i="54"/>
  <c r="AM29" i="54"/>
  <c r="AM32" i="54"/>
  <c r="AM37" i="54"/>
  <c r="AM40" i="54"/>
  <c r="AM48" i="54"/>
  <c r="AE3" i="54"/>
  <c r="AO6" i="1" s="1"/>
  <c r="AG99" i="54"/>
  <c r="AB6" i="54"/>
  <c r="Q6" i="54"/>
  <c r="I6" i="54"/>
  <c r="AI6" i="1" s="1"/>
  <c r="V6" i="54"/>
  <c r="M6" i="54"/>
  <c r="AK6" i="1" s="1"/>
  <c r="AG6" i="1"/>
  <c r="O6" i="54"/>
  <c r="AL6" i="1" s="1"/>
  <c r="AE6" i="54"/>
  <c r="K6" i="54"/>
  <c r="AJ6" i="1" s="1"/>
  <c r="Y6" i="54"/>
  <c r="F6" i="54"/>
  <c r="AH6" i="1" s="1"/>
  <c r="S6" i="54"/>
  <c r="AC6" i="1"/>
  <c r="J61" i="63" s="1"/>
  <c r="J26" i="1"/>
  <c r="K26" i="1" s="1"/>
  <c r="G26" i="1"/>
  <c r="I26" i="1" s="1"/>
  <c r="F26" i="1"/>
  <c r="C26" i="1"/>
  <c r="B26" i="1"/>
  <c r="AH99" i="53"/>
  <c r="AL96" i="53"/>
  <c r="AL95" i="53"/>
  <c r="AL94" i="53"/>
  <c r="AL93" i="53"/>
  <c r="AL92" i="53"/>
  <c r="AL91" i="53"/>
  <c r="AL90" i="53"/>
  <c r="AL89" i="53"/>
  <c r="AL88" i="53"/>
  <c r="AL87" i="53"/>
  <c r="AL86" i="53"/>
  <c r="AL85" i="53"/>
  <c r="AL84" i="53"/>
  <c r="AL83" i="53"/>
  <c r="AL82" i="53"/>
  <c r="AL81" i="53"/>
  <c r="AL80" i="53"/>
  <c r="AL79" i="53"/>
  <c r="AL78" i="53"/>
  <c r="AL77" i="53"/>
  <c r="AL76" i="53"/>
  <c r="AL75" i="53"/>
  <c r="AL74" i="53"/>
  <c r="AL73" i="53"/>
  <c r="AL72" i="53"/>
  <c r="AL71" i="53"/>
  <c r="AL70" i="53"/>
  <c r="AL69" i="53"/>
  <c r="AL68" i="53"/>
  <c r="AL67" i="53"/>
  <c r="AL66" i="53"/>
  <c r="AL65" i="53"/>
  <c r="AL64" i="53"/>
  <c r="AL63" i="53"/>
  <c r="AL62" i="53"/>
  <c r="AL61" i="53"/>
  <c r="AL60" i="53"/>
  <c r="AL59" i="53"/>
  <c r="AL58" i="53"/>
  <c r="AL57" i="53"/>
  <c r="AL56" i="53"/>
  <c r="AL55" i="53"/>
  <c r="AL54" i="53"/>
  <c r="AL53" i="53"/>
  <c r="AL52" i="53"/>
  <c r="AL51" i="53"/>
  <c r="AL50" i="53"/>
  <c r="AL49" i="53"/>
  <c r="AL48" i="53"/>
  <c r="AL47" i="53"/>
  <c r="AL46" i="53"/>
  <c r="AL45" i="53"/>
  <c r="AL44" i="53"/>
  <c r="AL43" i="53"/>
  <c r="AL42" i="53"/>
  <c r="AL41" i="53"/>
  <c r="AL40" i="53"/>
  <c r="AL39" i="53"/>
  <c r="AL38" i="53"/>
  <c r="AL37" i="53"/>
  <c r="AL36" i="53"/>
  <c r="AL35" i="53"/>
  <c r="AL34" i="53"/>
  <c r="AL33" i="53"/>
  <c r="AL32" i="53"/>
  <c r="AL31" i="53"/>
  <c r="AL30" i="53"/>
  <c r="AL29" i="53"/>
  <c r="AL28" i="53"/>
  <c r="AL27" i="53"/>
  <c r="AL26" i="53"/>
  <c r="AL25" i="53"/>
  <c r="AL24" i="53"/>
  <c r="AL23" i="53"/>
  <c r="AL22" i="53"/>
  <c r="AL21" i="53"/>
  <c r="AL20" i="53"/>
  <c r="AL19" i="53"/>
  <c r="AL18" i="53"/>
  <c r="AL17" i="53"/>
  <c r="AL16" i="53"/>
  <c r="AL15" i="53"/>
  <c r="AL14" i="53"/>
  <c r="AL13" i="53"/>
  <c r="AL12" i="53"/>
  <c r="AL11" i="53"/>
  <c r="AL10" i="53"/>
  <c r="AL9" i="53"/>
  <c r="AL8" i="53"/>
  <c r="AM96" i="53" s="1"/>
  <c r="AK8" i="53"/>
  <c r="AJ8" i="53"/>
  <c r="AE8" i="53"/>
  <c r="AB8" i="53"/>
  <c r="Y8" i="53"/>
  <c r="V8" i="53"/>
  <c r="S8" i="53"/>
  <c r="Q8" i="53"/>
  <c r="O8" i="53"/>
  <c r="M8" i="53"/>
  <c r="K8" i="53"/>
  <c r="I8" i="53"/>
  <c r="F8" i="53"/>
  <c r="C8" i="53"/>
  <c r="C6" i="53" s="1"/>
  <c r="B8" i="53"/>
  <c r="B7" i="53" s="1"/>
  <c r="J7" i="53"/>
  <c r="I4" i="53"/>
  <c r="J106" i="63" l="1"/>
  <c r="J195" i="63"/>
  <c r="J375" i="63"/>
  <c r="J330" i="63"/>
  <c r="J151" i="63"/>
  <c r="J240" i="63"/>
  <c r="J16" i="63"/>
  <c r="J565" i="63"/>
  <c r="J610" i="63"/>
  <c r="K610" i="63" s="1"/>
  <c r="J475" i="63"/>
  <c r="J385" i="63"/>
  <c r="J520" i="63"/>
  <c r="J430" i="63"/>
  <c r="J285" i="63"/>
  <c r="J420" i="63"/>
  <c r="N610" i="63"/>
  <c r="M610" i="63"/>
  <c r="H565" i="63"/>
  <c r="I565" i="63" s="1"/>
  <c r="H475" i="63"/>
  <c r="I475" i="63" s="1"/>
  <c r="N475" i="63" s="1"/>
  <c r="H520" i="63"/>
  <c r="I520" i="63" s="1"/>
  <c r="H430" i="63"/>
  <c r="I430" i="63" s="1"/>
  <c r="K430" i="63" s="1"/>
  <c r="H375" i="63"/>
  <c r="I375" i="63" s="1"/>
  <c r="H420" i="63"/>
  <c r="H612" i="63" s="1"/>
  <c r="I612" i="63" s="1"/>
  <c r="I328" i="63"/>
  <c r="N328" i="63" s="1"/>
  <c r="H385" i="63"/>
  <c r="K283" i="63"/>
  <c r="M283" i="63"/>
  <c r="H285" i="63"/>
  <c r="I285" i="63" s="1"/>
  <c r="N285" i="63" s="1"/>
  <c r="H330" i="63"/>
  <c r="I330" i="63" s="1"/>
  <c r="K193" i="63"/>
  <c r="M104" i="63"/>
  <c r="N104" i="63"/>
  <c r="K14" i="63"/>
  <c r="M193" i="63"/>
  <c r="H195" i="63"/>
  <c r="I195" i="63" s="1"/>
  <c r="N195" i="63" s="1"/>
  <c r="H240" i="63"/>
  <c r="I240" i="63" s="1"/>
  <c r="N240" i="63" s="1"/>
  <c r="M238" i="63"/>
  <c r="K238" i="63"/>
  <c r="K104" i="63"/>
  <c r="K149" i="63"/>
  <c r="M149" i="63"/>
  <c r="H106" i="63"/>
  <c r="I106" i="63" s="1"/>
  <c r="H151" i="63"/>
  <c r="I151" i="63" s="1"/>
  <c r="N151" i="63" s="1"/>
  <c r="M14" i="63"/>
  <c r="M59" i="63"/>
  <c r="K59" i="63"/>
  <c r="H16" i="63"/>
  <c r="I16" i="63" s="1"/>
  <c r="N16" i="63" s="1"/>
  <c r="H61" i="63"/>
  <c r="I61" i="63" s="1"/>
  <c r="N61" i="63" s="1"/>
  <c r="AN43" i="42"/>
  <c r="AP42" i="42"/>
  <c r="AN43" i="43"/>
  <c r="AP42" i="43"/>
  <c r="AM49" i="53"/>
  <c r="AM27" i="53"/>
  <c r="AM31" i="53"/>
  <c r="AM17" i="53"/>
  <c r="AM25" i="53"/>
  <c r="AM35" i="53"/>
  <c r="AM39" i="53"/>
  <c r="AM11" i="53"/>
  <c r="AM15" i="53"/>
  <c r="AM33" i="53"/>
  <c r="AM43" i="53"/>
  <c r="AM47" i="53"/>
  <c r="AM9" i="53"/>
  <c r="AM19" i="53"/>
  <c r="AM23" i="53"/>
  <c r="AM41" i="53"/>
  <c r="L26" i="1"/>
  <c r="AB6" i="53"/>
  <c r="AE5" i="53"/>
  <c r="AE3" i="53" s="1"/>
  <c r="AO26" i="1" s="1"/>
  <c r="AM13" i="53"/>
  <c r="AM21" i="53"/>
  <c r="AM29" i="53"/>
  <c r="AM37" i="53"/>
  <c r="AM45" i="53"/>
  <c r="AG98" i="53"/>
  <c r="I6" i="53"/>
  <c r="AI26" i="1" s="1"/>
  <c r="V6" i="53"/>
  <c r="Q6" i="53"/>
  <c r="AG26" i="1"/>
  <c r="M6" i="53"/>
  <c r="AK26" i="1" s="1"/>
  <c r="AE6" i="53"/>
  <c r="S6" i="53"/>
  <c r="AG99" i="53"/>
  <c r="K6" i="53"/>
  <c r="AJ26" i="1" s="1"/>
  <c r="AC26" i="1"/>
  <c r="F6" i="53"/>
  <c r="AH26" i="1" s="1"/>
  <c r="O6" i="53"/>
  <c r="AL26" i="1" s="1"/>
  <c r="Y6" i="53"/>
  <c r="AM10" i="53"/>
  <c r="AM12" i="53"/>
  <c r="AM14" i="53"/>
  <c r="AM16" i="53"/>
  <c r="AM18" i="53"/>
  <c r="AM20" i="53"/>
  <c r="AM22" i="53"/>
  <c r="AM24" i="53"/>
  <c r="AM26" i="53"/>
  <c r="AM28" i="53"/>
  <c r="AM30" i="53"/>
  <c r="AM32" i="53"/>
  <c r="AM34" i="53"/>
  <c r="AM36" i="53"/>
  <c r="AM38" i="53"/>
  <c r="AM40" i="53"/>
  <c r="AM42" i="53"/>
  <c r="AM44" i="53"/>
  <c r="AM46" i="53"/>
  <c r="AM48" i="53"/>
  <c r="AM50" i="53"/>
  <c r="AM51" i="53"/>
  <c r="AM52" i="53"/>
  <c r="AM53" i="53"/>
  <c r="AM54" i="53"/>
  <c r="AM55" i="53"/>
  <c r="AM56" i="53"/>
  <c r="AM57" i="53"/>
  <c r="AM58" i="53"/>
  <c r="AM59" i="53"/>
  <c r="AM60" i="53"/>
  <c r="AM61" i="53"/>
  <c r="AM62" i="53"/>
  <c r="AM63" i="53"/>
  <c r="AM64" i="53"/>
  <c r="AM65" i="53"/>
  <c r="AM66" i="53"/>
  <c r="AM67" i="53"/>
  <c r="AM68" i="53"/>
  <c r="AM69" i="53"/>
  <c r="AM70" i="53"/>
  <c r="AM71" i="53"/>
  <c r="AM72" i="53"/>
  <c r="AM73" i="53"/>
  <c r="AM74" i="53"/>
  <c r="AM75" i="53"/>
  <c r="AM76" i="53"/>
  <c r="AM77" i="53"/>
  <c r="AM78" i="53"/>
  <c r="AM79" i="53"/>
  <c r="AM80" i="53"/>
  <c r="AM81" i="53"/>
  <c r="AM82" i="53"/>
  <c r="AM83" i="53"/>
  <c r="AM84" i="53"/>
  <c r="AM85" i="53"/>
  <c r="AM86" i="53"/>
  <c r="AM87" i="53"/>
  <c r="AM88" i="53"/>
  <c r="AM89" i="53"/>
  <c r="AM90" i="53"/>
  <c r="AM91" i="53"/>
  <c r="AM92" i="53"/>
  <c r="AM93" i="53"/>
  <c r="AM94" i="53"/>
  <c r="AM95" i="53"/>
  <c r="K375" i="63" l="1"/>
  <c r="K565" i="63"/>
  <c r="J522" i="63"/>
  <c r="J477" i="63"/>
  <c r="J567" i="63"/>
  <c r="J612" i="63"/>
  <c r="K612" i="63" s="1"/>
  <c r="N612" i="63"/>
  <c r="M612" i="63"/>
  <c r="M565" i="63"/>
  <c r="N565" i="63"/>
  <c r="H567" i="63"/>
  <c r="I567" i="63" s="1"/>
  <c r="K475" i="63"/>
  <c r="M475" i="63"/>
  <c r="H522" i="63"/>
  <c r="I522" i="63" s="1"/>
  <c r="M522" i="63" s="1"/>
  <c r="N520" i="63"/>
  <c r="M520" i="63"/>
  <c r="K520" i="63"/>
  <c r="I420" i="63"/>
  <c r="N420" i="63" s="1"/>
  <c r="H477" i="63"/>
  <c r="M430" i="63"/>
  <c r="N430" i="63"/>
  <c r="M375" i="63"/>
  <c r="N375" i="63"/>
  <c r="K328" i="63"/>
  <c r="M328" i="63"/>
  <c r="M285" i="63"/>
  <c r="K285" i="63"/>
  <c r="N330" i="63"/>
  <c r="M330" i="63"/>
  <c r="K330" i="63"/>
  <c r="K195" i="63"/>
  <c r="K106" i="63"/>
  <c r="N106" i="63"/>
  <c r="M16" i="63"/>
  <c r="M195" i="63"/>
  <c r="M240" i="63"/>
  <c r="K240" i="63"/>
  <c r="M151" i="63"/>
  <c r="K151" i="63"/>
  <c r="M106" i="63"/>
  <c r="K61" i="63"/>
  <c r="M61" i="63"/>
  <c r="K16" i="63"/>
  <c r="H5" i="53"/>
  <c r="BF26" i="1" s="1"/>
  <c r="AN44" i="42"/>
  <c r="AP43" i="42"/>
  <c r="AN44" i="43"/>
  <c r="AP43" i="43"/>
  <c r="J9" i="1"/>
  <c r="G9" i="1"/>
  <c r="I9" i="1" s="1"/>
  <c r="F9" i="1"/>
  <c r="C9" i="1"/>
  <c r="B9" i="1"/>
  <c r="K567" i="63" l="1"/>
  <c r="N567" i="63"/>
  <c r="M567" i="63"/>
  <c r="N522" i="63"/>
  <c r="K522" i="63"/>
  <c r="K420" i="63"/>
  <c r="M420" i="63"/>
  <c r="C11" i="33"/>
  <c r="F11" i="33" s="1"/>
  <c r="K9" i="1"/>
  <c r="L9" i="1" s="1"/>
  <c r="H11" i="33"/>
  <c r="AN45" i="42"/>
  <c r="AP44" i="42"/>
  <c r="AN45" i="43"/>
  <c r="AP44" i="43"/>
  <c r="AH99" i="52"/>
  <c r="AL96" i="52"/>
  <c r="AL95" i="52"/>
  <c r="AL94" i="52"/>
  <c r="AL93" i="52"/>
  <c r="AL92" i="52"/>
  <c r="AL91" i="52"/>
  <c r="AL90" i="52"/>
  <c r="AL89" i="52"/>
  <c r="AL88" i="52"/>
  <c r="AL87" i="52"/>
  <c r="AL86" i="52"/>
  <c r="AL85" i="52"/>
  <c r="AL84" i="52"/>
  <c r="AL83" i="52"/>
  <c r="AL82" i="52"/>
  <c r="AL81" i="52"/>
  <c r="AL80" i="52"/>
  <c r="AL79" i="52"/>
  <c r="AL78" i="52"/>
  <c r="AL77" i="52"/>
  <c r="AL76" i="52"/>
  <c r="AL75" i="52"/>
  <c r="AL74" i="52"/>
  <c r="AL73" i="52"/>
  <c r="AL72" i="52"/>
  <c r="AL71" i="52"/>
  <c r="AL70" i="52"/>
  <c r="AL69" i="52"/>
  <c r="AL68" i="52"/>
  <c r="AL67" i="52"/>
  <c r="AL66" i="52"/>
  <c r="AL65" i="52"/>
  <c r="AL64" i="52"/>
  <c r="AL63" i="52"/>
  <c r="AL62" i="52"/>
  <c r="AL61" i="52"/>
  <c r="AL60" i="52"/>
  <c r="AL59" i="52"/>
  <c r="AL58" i="52"/>
  <c r="AL57" i="52"/>
  <c r="AL56" i="52"/>
  <c r="AL55" i="52"/>
  <c r="AL54" i="52"/>
  <c r="AL53" i="52"/>
  <c r="AL52" i="52"/>
  <c r="AL51" i="52"/>
  <c r="AL50" i="52"/>
  <c r="AL49" i="52"/>
  <c r="AL48" i="52"/>
  <c r="AL47" i="52"/>
  <c r="AL46" i="52"/>
  <c r="AL45" i="52"/>
  <c r="AL44" i="52"/>
  <c r="AL43" i="52"/>
  <c r="AL42" i="52"/>
  <c r="AL41" i="52"/>
  <c r="AL40" i="52"/>
  <c r="AL39" i="52"/>
  <c r="AL38" i="52"/>
  <c r="AL37" i="52"/>
  <c r="AL36" i="52"/>
  <c r="AL35" i="52"/>
  <c r="AL34" i="52"/>
  <c r="AL33" i="52"/>
  <c r="AL32" i="52"/>
  <c r="AL31" i="52"/>
  <c r="AL30" i="52"/>
  <c r="AL29" i="52"/>
  <c r="AL28" i="52"/>
  <c r="AL27" i="52"/>
  <c r="AL26" i="52"/>
  <c r="AL25" i="52"/>
  <c r="AL24" i="52"/>
  <c r="AL23" i="52"/>
  <c r="AL22" i="52"/>
  <c r="AL21" i="52"/>
  <c r="AL20" i="52"/>
  <c r="AL19" i="52"/>
  <c r="AL18" i="52"/>
  <c r="AL17" i="52"/>
  <c r="AL16" i="52"/>
  <c r="AL15" i="52"/>
  <c r="AL14" i="52"/>
  <c r="AL13" i="52"/>
  <c r="AL12" i="52"/>
  <c r="AL11" i="52"/>
  <c r="AL10" i="52"/>
  <c r="AL9" i="52"/>
  <c r="AL8" i="52"/>
  <c r="AK8" i="52"/>
  <c r="AJ8" i="52"/>
  <c r="AE8" i="52"/>
  <c r="AB8" i="52"/>
  <c r="Y8" i="52"/>
  <c r="V8" i="52"/>
  <c r="S8" i="52"/>
  <c r="Q8" i="52"/>
  <c r="O8" i="52"/>
  <c r="M8" i="52"/>
  <c r="K8" i="52"/>
  <c r="I8" i="52"/>
  <c r="F8" i="52"/>
  <c r="C8" i="52"/>
  <c r="C6" i="52" s="1"/>
  <c r="B8" i="52"/>
  <c r="B7" i="52" s="1"/>
  <c r="J7" i="52"/>
  <c r="I4" i="52"/>
  <c r="S6" i="52" s="1"/>
  <c r="H7" i="63" l="1"/>
  <c r="I7" i="63" s="1"/>
  <c r="N7" i="63" s="1"/>
  <c r="H52" i="63"/>
  <c r="H604" i="63" s="1"/>
  <c r="AM96" i="52"/>
  <c r="AM55" i="52"/>
  <c r="AN46" i="42"/>
  <c r="AP45" i="42"/>
  <c r="AN46" i="43"/>
  <c r="AP45" i="43"/>
  <c r="AM9" i="52"/>
  <c r="AM17" i="52"/>
  <c r="AM25" i="52"/>
  <c r="AM33" i="52"/>
  <c r="AM41" i="52"/>
  <c r="AM49" i="52"/>
  <c r="AM15" i="52"/>
  <c r="AM23" i="52"/>
  <c r="AM31" i="52"/>
  <c r="AM39" i="52"/>
  <c r="AM47" i="52"/>
  <c r="AG9" i="1"/>
  <c r="V6" i="52"/>
  <c r="F6" i="52"/>
  <c r="AH9" i="1" s="1"/>
  <c r="M6" i="52"/>
  <c r="AK9" i="1" s="1"/>
  <c r="AB6" i="52"/>
  <c r="AE5" i="52"/>
  <c r="AE3" i="52" s="1"/>
  <c r="AO9" i="1" s="1"/>
  <c r="AM11" i="52"/>
  <c r="AM19" i="52"/>
  <c r="AM27" i="52"/>
  <c r="AM35" i="52"/>
  <c r="AM43" i="52"/>
  <c r="AM13" i="52"/>
  <c r="AM21" i="52"/>
  <c r="AM29" i="52"/>
  <c r="AM37" i="52"/>
  <c r="AM45" i="52"/>
  <c r="Y6" i="52"/>
  <c r="K6" i="52"/>
  <c r="AJ9" i="1" s="1"/>
  <c r="AC9" i="1"/>
  <c r="O6" i="52"/>
  <c r="AL9" i="1" s="1"/>
  <c r="AG98" i="52"/>
  <c r="I6" i="52"/>
  <c r="AI9" i="1" s="1"/>
  <c r="Q6" i="52"/>
  <c r="AE6" i="52"/>
  <c r="AG99" i="52"/>
  <c r="AM10" i="52"/>
  <c r="AM12" i="52"/>
  <c r="AM14" i="52"/>
  <c r="AM16" i="52"/>
  <c r="AM18" i="52"/>
  <c r="AM20" i="52"/>
  <c r="AM22" i="52"/>
  <c r="AM24" i="52"/>
  <c r="AM26" i="52"/>
  <c r="AM28" i="52"/>
  <c r="AM30" i="52"/>
  <c r="AM32" i="52"/>
  <c r="AM34" i="52"/>
  <c r="AM36" i="52"/>
  <c r="AM38" i="52"/>
  <c r="AM40" i="52"/>
  <c r="AM42" i="52"/>
  <c r="AM44" i="52"/>
  <c r="AM46" i="52"/>
  <c r="AM48" i="52"/>
  <c r="AM50" i="52"/>
  <c r="AM51" i="52"/>
  <c r="AM52" i="52"/>
  <c r="AM53" i="52"/>
  <c r="AM54" i="52"/>
  <c r="AM56" i="52"/>
  <c r="AM57" i="52"/>
  <c r="AM58" i="52"/>
  <c r="AM59" i="52"/>
  <c r="AM60" i="52"/>
  <c r="AM61" i="52"/>
  <c r="AM62" i="52"/>
  <c r="AM63" i="52"/>
  <c r="AM64" i="52"/>
  <c r="AM65" i="52"/>
  <c r="AM66" i="52"/>
  <c r="AM67" i="52"/>
  <c r="AM68" i="52"/>
  <c r="AM69" i="52"/>
  <c r="AM70" i="52"/>
  <c r="AM71" i="52"/>
  <c r="AM72" i="52"/>
  <c r="AM73" i="52"/>
  <c r="AM74" i="52"/>
  <c r="AM75" i="52"/>
  <c r="AM76" i="52"/>
  <c r="AM77" i="52"/>
  <c r="AM78" i="52"/>
  <c r="AM79" i="52"/>
  <c r="AM80" i="52"/>
  <c r="AM81" i="52"/>
  <c r="AM82" i="52"/>
  <c r="AM83" i="52"/>
  <c r="AM84" i="52"/>
  <c r="AM85" i="52"/>
  <c r="AM86" i="52"/>
  <c r="AM87" i="52"/>
  <c r="AM88" i="52"/>
  <c r="AM89" i="52"/>
  <c r="AM90" i="52"/>
  <c r="AM91" i="52"/>
  <c r="AM92" i="52"/>
  <c r="AM93" i="52"/>
  <c r="AM94" i="52"/>
  <c r="AM95" i="52"/>
  <c r="J11" i="1"/>
  <c r="K11" i="1" s="1"/>
  <c r="G11" i="1"/>
  <c r="I11" i="1" s="1"/>
  <c r="F11" i="1"/>
  <c r="C11" i="1"/>
  <c r="B11" i="1"/>
  <c r="AH99" i="51"/>
  <c r="AL96" i="51"/>
  <c r="AG96" i="51"/>
  <c r="AL95" i="51"/>
  <c r="AG95" i="51"/>
  <c r="AL94" i="51"/>
  <c r="AG94" i="51"/>
  <c r="AL93" i="51"/>
  <c r="AG93" i="51"/>
  <c r="AL92" i="51"/>
  <c r="AG92" i="51"/>
  <c r="AL91" i="51"/>
  <c r="AG91" i="51"/>
  <c r="AL90" i="51"/>
  <c r="AG90" i="51"/>
  <c r="AL89" i="51"/>
  <c r="AG89" i="51"/>
  <c r="AL88" i="51"/>
  <c r="AG88" i="51"/>
  <c r="AL87" i="51"/>
  <c r="AG87" i="51"/>
  <c r="AL86" i="51"/>
  <c r="AG86" i="51"/>
  <c r="AL85" i="51"/>
  <c r="AG85" i="51"/>
  <c r="AL84" i="51"/>
  <c r="AG84" i="51"/>
  <c r="AL83" i="51"/>
  <c r="AG83" i="51"/>
  <c r="AL82" i="51"/>
  <c r="AG82" i="51"/>
  <c r="AL81" i="51"/>
  <c r="AG81" i="51"/>
  <c r="AL80" i="51"/>
  <c r="AG80" i="51"/>
  <c r="AL79" i="51"/>
  <c r="AG79" i="51"/>
  <c r="AL78" i="51"/>
  <c r="AG78" i="51"/>
  <c r="AL77" i="51"/>
  <c r="AG77" i="51"/>
  <c r="AL76" i="51"/>
  <c r="AG76" i="51"/>
  <c r="AL75" i="51"/>
  <c r="AG75" i="51"/>
  <c r="AL74" i="51"/>
  <c r="AG74" i="51"/>
  <c r="AL73" i="51"/>
  <c r="AG73" i="51"/>
  <c r="AL72" i="51"/>
  <c r="AG72" i="51"/>
  <c r="AL71" i="51"/>
  <c r="AG71" i="51"/>
  <c r="AL70" i="51"/>
  <c r="AG70" i="51"/>
  <c r="AL69" i="51"/>
  <c r="AG69" i="51"/>
  <c r="AL68" i="51"/>
  <c r="AG68" i="51"/>
  <c r="AL67" i="51"/>
  <c r="AG67" i="51"/>
  <c r="AL66" i="51"/>
  <c r="AG66" i="51"/>
  <c r="AL65" i="51"/>
  <c r="AG65" i="51"/>
  <c r="AL64" i="51"/>
  <c r="AG64" i="51"/>
  <c r="AL63" i="51"/>
  <c r="AG63" i="51"/>
  <c r="AL62" i="51"/>
  <c r="AG62" i="51"/>
  <c r="AL61" i="51"/>
  <c r="AG61" i="51"/>
  <c r="AL60" i="51"/>
  <c r="AL59" i="51"/>
  <c r="AL58" i="51"/>
  <c r="AL57" i="51"/>
  <c r="AL56" i="51"/>
  <c r="AL55" i="51"/>
  <c r="AL54" i="51"/>
  <c r="AL53" i="51"/>
  <c r="AL52" i="51"/>
  <c r="AL51" i="51"/>
  <c r="AL50" i="51"/>
  <c r="AL49" i="51"/>
  <c r="AL48" i="51"/>
  <c r="AL47" i="51"/>
  <c r="AL46" i="51"/>
  <c r="AL45" i="51"/>
  <c r="AL44" i="51"/>
  <c r="AL43" i="51"/>
  <c r="AL42" i="51"/>
  <c r="AL41" i="51"/>
  <c r="AL40" i="51"/>
  <c r="AL39" i="51"/>
  <c r="AL38" i="51"/>
  <c r="AL37" i="51"/>
  <c r="AL36" i="51"/>
  <c r="AL35" i="51"/>
  <c r="AL34" i="51"/>
  <c r="AL33" i="51"/>
  <c r="AL32" i="51"/>
  <c r="AL31" i="51"/>
  <c r="AL30" i="51"/>
  <c r="AL29" i="51"/>
  <c r="AL28" i="51"/>
  <c r="AL27" i="51"/>
  <c r="AL26" i="51"/>
  <c r="AL25" i="51"/>
  <c r="AL24" i="51"/>
  <c r="AL23" i="51"/>
  <c r="AL22" i="51"/>
  <c r="AL21" i="51"/>
  <c r="AL20" i="51"/>
  <c r="AL19" i="51"/>
  <c r="AL18" i="51"/>
  <c r="AL17" i="51"/>
  <c r="AL16" i="51"/>
  <c r="AL15" i="51"/>
  <c r="AL14" i="51"/>
  <c r="AL13" i="51"/>
  <c r="AL12" i="51"/>
  <c r="AL11" i="51"/>
  <c r="AL10" i="51"/>
  <c r="AL9" i="51"/>
  <c r="AL8" i="51"/>
  <c r="AM96" i="51" s="1"/>
  <c r="AK8" i="51"/>
  <c r="AJ8" i="51"/>
  <c r="AE8" i="51"/>
  <c r="AB8" i="51"/>
  <c r="Y8" i="51"/>
  <c r="V8" i="51"/>
  <c r="S8" i="51"/>
  <c r="Q8" i="51"/>
  <c r="O8" i="51"/>
  <c r="M8" i="51"/>
  <c r="K8" i="51"/>
  <c r="I8" i="51"/>
  <c r="F8" i="51"/>
  <c r="C8" i="51"/>
  <c r="C6" i="51" s="1"/>
  <c r="B8" i="51"/>
  <c r="B7" i="51" s="1"/>
  <c r="J7" i="51"/>
  <c r="I4" i="51"/>
  <c r="J52" i="63" l="1"/>
  <c r="J7" i="63"/>
  <c r="K7" i="63" s="1"/>
  <c r="H514" i="63"/>
  <c r="H559" i="63"/>
  <c r="H424" i="63"/>
  <c r="H469" i="63"/>
  <c r="H334" i="63"/>
  <c r="H379" i="63"/>
  <c r="M7" i="63"/>
  <c r="H244" i="63"/>
  <c r="H289" i="63"/>
  <c r="H199" i="63"/>
  <c r="H110" i="63"/>
  <c r="H155" i="63" s="1"/>
  <c r="I52" i="63"/>
  <c r="N52" i="63" s="1"/>
  <c r="H5" i="52"/>
  <c r="BF9" i="1" s="1"/>
  <c r="AG98" i="51"/>
  <c r="AN47" i="42"/>
  <c r="AP46" i="42"/>
  <c r="AN47" i="43"/>
  <c r="AP46" i="43"/>
  <c r="AM11" i="51"/>
  <c r="AM15" i="51"/>
  <c r="AM19" i="51"/>
  <c r="AM23" i="51"/>
  <c r="AM27" i="51"/>
  <c r="AM31" i="51"/>
  <c r="AM35" i="51"/>
  <c r="AM39" i="51"/>
  <c r="AM43" i="51"/>
  <c r="AM47" i="51"/>
  <c r="AM9" i="51"/>
  <c r="AM17" i="51"/>
  <c r="AM25" i="51"/>
  <c r="AM33" i="51"/>
  <c r="AM41" i="51"/>
  <c r="AM49" i="51"/>
  <c r="L11" i="1"/>
  <c r="AE5" i="51"/>
  <c r="AE3" i="51" s="1"/>
  <c r="AO11" i="1" s="1"/>
  <c r="AB6" i="51"/>
  <c r="AM13" i="51"/>
  <c r="AM21" i="51"/>
  <c r="AM29" i="51"/>
  <c r="AM37" i="51"/>
  <c r="AM45" i="51"/>
  <c r="AG11" i="1"/>
  <c r="M6" i="51"/>
  <c r="AK11" i="1" s="1"/>
  <c r="V6" i="51"/>
  <c r="O6" i="51"/>
  <c r="AL11" i="1" s="1"/>
  <c r="F6" i="51"/>
  <c r="AH11" i="1" s="1"/>
  <c r="Y6" i="51"/>
  <c r="AE6" i="51"/>
  <c r="S6" i="51"/>
  <c r="AG99" i="51"/>
  <c r="I6" i="51"/>
  <c r="AI11" i="1" s="1"/>
  <c r="Q6" i="51"/>
  <c r="K6" i="51"/>
  <c r="AJ11" i="1" s="1"/>
  <c r="AC11" i="1"/>
  <c r="AM10" i="51"/>
  <c r="AM12" i="51"/>
  <c r="AM14" i="51"/>
  <c r="AM16" i="51"/>
  <c r="AM18" i="51"/>
  <c r="AM20" i="51"/>
  <c r="AM22" i="51"/>
  <c r="AM24" i="51"/>
  <c r="AM26" i="51"/>
  <c r="AM28" i="51"/>
  <c r="AM30" i="51"/>
  <c r="AM32" i="51"/>
  <c r="AM34" i="51"/>
  <c r="AM36" i="51"/>
  <c r="AM38" i="51"/>
  <c r="AM40" i="51"/>
  <c r="AM42" i="51"/>
  <c r="AM44" i="51"/>
  <c r="AM46" i="51"/>
  <c r="AM48" i="51"/>
  <c r="AM50" i="51"/>
  <c r="AM51" i="51"/>
  <c r="AM52" i="51"/>
  <c r="AM53" i="51"/>
  <c r="AM54" i="51"/>
  <c r="AM55" i="51"/>
  <c r="AM56" i="51"/>
  <c r="AM57" i="51"/>
  <c r="AM58" i="51"/>
  <c r="AM59" i="51"/>
  <c r="AM60" i="51"/>
  <c r="AM61" i="51"/>
  <c r="AM62" i="51"/>
  <c r="AM63" i="51"/>
  <c r="AM64" i="51"/>
  <c r="AM65" i="51"/>
  <c r="AM66" i="51"/>
  <c r="AM67" i="51"/>
  <c r="AM68" i="51"/>
  <c r="AM69" i="51"/>
  <c r="AM70" i="51"/>
  <c r="AM71" i="51"/>
  <c r="AM72" i="51"/>
  <c r="AM73" i="51"/>
  <c r="AM74" i="51"/>
  <c r="AM75" i="51"/>
  <c r="AM76" i="51"/>
  <c r="AM77" i="51"/>
  <c r="AM78" i="51"/>
  <c r="AM79" i="51"/>
  <c r="AM80" i="51"/>
  <c r="AM81" i="51"/>
  <c r="AM82" i="51"/>
  <c r="AM83" i="51"/>
  <c r="AM84" i="51"/>
  <c r="AM85" i="51"/>
  <c r="AM86" i="51"/>
  <c r="AM87" i="51"/>
  <c r="AM88" i="51"/>
  <c r="AM89" i="51"/>
  <c r="AM90" i="51"/>
  <c r="AM91" i="51"/>
  <c r="AM92" i="51"/>
  <c r="AM93" i="51"/>
  <c r="AM94" i="51"/>
  <c r="AM95" i="51"/>
  <c r="J10" i="1"/>
  <c r="K10" i="1" s="1"/>
  <c r="G10" i="1"/>
  <c r="I10" i="1" s="1"/>
  <c r="F10" i="1"/>
  <c r="C10" i="1"/>
  <c r="B10" i="1"/>
  <c r="AH99" i="50"/>
  <c r="AL96" i="50"/>
  <c r="AL95" i="50"/>
  <c r="AL94" i="50"/>
  <c r="AL93" i="50"/>
  <c r="AL92" i="50"/>
  <c r="AL91" i="50"/>
  <c r="AL90" i="50"/>
  <c r="AL89" i="50"/>
  <c r="AL88" i="50"/>
  <c r="AL87" i="50"/>
  <c r="AL86" i="50"/>
  <c r="AL85" i="50"/>
  <c r="AL84" i="50"/>
  <c r="AL83" i="50"/>
  <c r="AL82" i="50"/>
  <c r="AL81" i="50"/>
  <c r="AL80" i="50"/>
  <c r="AL79" i="50"/>
  <c r="AL78" i="50"/>
  <c r="AL77" i="50"/>
  <c r="AL76" i="50"/>
  <c r="AL75" i="50"/>
  <c r="AL74" i="50"/>
  <c r="AL73" i="50"/>
  <c r="AL72" i="50"/>
  <c r="AL71" i="50"/>
  <c r="AL70" i="50"/>
  <c r="AL69" i="50"/>
  <c r="AL68" i="50"/>
  <c r="AL67" i="50"/>
  <c r="AL66" i="50"/>
  <c r="AL65" i="50"/>
  <c r="AL64" i="50"/>
  <c r="AL63" i="50"/>
  <c r="AL62" i="50"/>
  <c r="AL61" i="50"/>
  <c r="AL60" i="50"/>
  <c r="AL59" i="50"/>
  <c r="AL58" i="50"/>
  <c r="AL57" i="50"/>
  <c r="AL56" i="50"/>
  <c r="AL55" i="50"/>
  <c r="AL54" i="50"/>
  <c r="AL53" i="50"/>
  <c r="AL52" i="50"/>
  <c r="AL51" i="50"/>
  <c r="AL50" i="50"/>
  <c r="AL49" i="50"/>
  <c r="AL48" i="50"/>
  <c r="AL47" i="50"/>
  <c r="AL46" i="50"/>
  <c r="AL45" i="50"/>
  <c r="AL44" i="50"/>
  <c r="AL43" i="50"/>
  <c r="AL42" i="50"/>
  <c r="AL41" i="50"/>
  <c r="AL40" i="50"/>
  <c r="AL39" i="50"/>
  <c r="AL38" i="50"/>
  <c r="AL37" i="50"/>
  <c r="AL36" i="50"/>
  <c r="AL35" i="50"/>
  <c r="AL34" i="50"/>
  <c r="AL33" i="50"/>
  <c r="AL32" i="50"/>
  <c r="AL31" i="50"/>
  <c r="AL30" i="50"/>
  <c r="AL29" i="50"/>
  <c r="AL28" i="50"/>
  <c r="AL27" i="50"/>
  <c r="AL26" i="50"/>
  <c r="AL25" i="50"/>
  <c r="AL24" i="50"/>
  <c r="AL23" i="50"/>
  <c r="AL22" i="50"/>
  <c r="AL21" i="50"/>
  <c r="AL20" i="50"/>
  <c r="AL19" i="50"/>
  <c r="AL18" i="50"/>
  <c r="AL17" i="50"/>
  <c r="AL16" i="50"/>
  <c r="AL15" i="50"/>
  <c r="AL14" i="50"/>
  <c r="AL13" i="50"/>
  <c r="AL12" i="50"/>
  <c r="AL11" i="50"/>
  <c r="AL10" i="50"/>
  <c r="AL9" i="50"/>
  <c r="AL8" i="50"/>
  <c r="AM96" i="50" s="1"/>
  <c r="AK8" i="50"/>
  <c r="AJ8" i="50"/>
  <c r="AE8" i="50"/>
  <c r="AB8" i="50"/>
  <c r="Y8" i="50"/>
  <c r="V8" i="50"/>
  <c r="S8" i="50"/>
  <c r="Q8" i="50"/>
  <c r="O8" i="50"/>
  <c r="M8" i="50"/>
  <c r="K8" i="50"/>
  <c r="I8" i="50"/>
  <c r="F8" i="50"/>
  <c r="C8" i="50"/>
  <c r="C6" i="50" s="1"/>
  <c r="B8" i="50"/>
  <c r="B7" i="50" s="1"/>
  <c r="J7" i="50"/>
  <c r="I4" i="50"/>
  <c r="J10" i="63" l="1"/>
  <c r="J145" i="63"/>
  <c r="J55" i="63"/>
  <c r="J100" i="63"/>
  <c r="M52" i="63"/>
  <c r="K52" i="63"/>
  <c r="L10" i="1"/>
  <c r="H16" i="33"/>
  <c r="C16" i="33"/>
  <c r="H7" i="33"/>
  <c r="H12" i="33"/>
  <c r="C7" i="33"/>
  <c r="C12" i="33"/>
  <c r="F12" i="33" s="1"/>
  <c r="AN48" i="42"/>
  <c r="AP47" i="42"/>
  <c r="AN48" i="43"/>
  <c r="AP47" i="43"/>
  <c r="AG98" i="50"/>
  <c r="H5" i="51"/>
  <c r="BF11" i="1" s="1"/>
  <c r="AM9" i="50"/>
  <c r="AM17" i="50"/>
  <c r="AM25" i="50"/>
  <c r="AM33" i="50"/>
  <c r="AM41" i="50"/>
  <c r="AM49" i="50"/>
  <c r="AM11" i="50"/>
  <c r="AM15" i="50"/>
  <c r="AM19" i="50"/>
  <c r="AM23" i="50"/>
  <c r="AM27" i="50"/>
  <c r="AM31" i="50"/>
  <c r="AM35" i="50"/>
  <c r="AM39" i="50"/>
  <c r="AM43" i="50"/>
  <c r="AM47" i="50"/>
  <c r="AE5" i="50"/>
  <c r="H5" i="50" s="1"/>
  <c r="BF10" i="1" s="1"/>
  <c r="AB6" i="50"/>
  <c r="AM21" i="50"/>
  <c r="AM29" i="50"/>
  <c r="AM45" i="50"/>
  <c r="AM13" i="50"/>
  <c r="AM37" i="50"/>
  <c r="K6" i="50"/>
  <c r="AJ10" i="1" s="1"/>
  <c r="V6" i="50"/>
  <c r="M6" i="50"/>
  <c r="AK10" i="1" s="1"/>
  <c r="Y6" i="50"/>
  <c r="AG10" i="1"/>
  <c r="O6" i="50"/>
  <c r="AL10" i="1" s="1"/>
  <c r="AE6" i="50"/>
  <c r="F6" i="50"/>
  <c r="AH10" i="1" s="1"/>
  <c r="S6" i="50"/>
  <c r="AC10" i="1"/>
  <c r="J54" i="63" s="1"/>
  <c r="AG99" i="50"/>
  <c r="I6" i="50"/>
  <c r="AI10" i="1" s="1"/>
  <c r="Q6" i="50"/>
  <c r="AM10" i="50"/>
  <c r="AM12" i="50"/>
  <c r="AM14" i="50"/>
  <c r="AM16" i="50"/>
  <c r="AM18" i="50"/>
  <c r="AM20" i="50"/>
  <c r="AM22" i="50"/>
  <c r="AM24" i="50"/>
  <c r="AM26" i="50"/>
  <c r="AM28" i="50"/>
  <c r="AM30" i="50"/>
  <c r="AM32" i="50"/>
  <c r="AM34" i="50"/>
  <c r="AM36" i="50"/>
  <c r="AM38" i="50"/>
  <c r="AM40" i="50"/>
  <c r="AM42" i="50"/>
  <c r="AM44" i="50"/>
  <c r="AM46" i="50"/>
  <c r="AM48" i="50"/>
  <c r="AM50" i="50"/>
  <c r="AM51" i="50"/>
  <c r="AM52" i="50"/>
  <c r="AM53" i="50"/>
  <c r="AM54" i="50"/>
  <c r="AM55" i="50"/>
  <c r="AM56" i="50"/>
  <c r="AM57" i="50"/>
  <c r="AM58" i="50"/>
  <c r="AM59" i="50"/>
  <c r="AM60" i="50"/>
  <c r="AM61" i="50"/>
  <c r="AM62" i="50"/>
  <c r="AM63" i="50"/>
  <c r="AM64" i="50"/>
  <c r="AM65" i="50"/>
  <c r="AM66" i="50"/>
  <c r="AM67" i="50"/>
  <c r="AM68" i="50"/>
  <c r="AM69" i="50"/>
  <c r="AM70" i="50"/>
  <c r="AM71" i="50"/>
  <c r="AM72" i="50"/>
  <c r="AM73" i="50"/>
  <c r="AM74" i="50"/>
  <c r="AM75" i="50"/>
  <c r="AM76" i="50"/>
  <c r="AM77" i="50"/>
  <c r="AM78" i="50"/>
  <c r="AM79" i="50"/>
  <c r="AM80" i="50"/>
  <c r="AM81" i="50"/>
  <c r="AM82" i="50"/>
  <c r="AM83" i="50"/>
  <c r="AM84" i="50"/>
  <c r="AM85" i="50"/>
  <c r="AM86" i="50"/>
  <c r="AM87" i="50"/>
  <c r="AM88" i="50"/>
  <c r="AM89" i="50"/>
  <c r="AM90" i="50"/>
  <c r="AM91" i="50"/>
  <c r="AM92" i="50"/>
  <c r="AM93" i="50"/>
  <c r="AM94" i="50"/>
  <c r="AM95" i="50"/>
  <c r="I82" i="31"/>
  <c r="J82" i="31" s="1"/>
  <c r="K82" i="31" s="1"/>
  <c r="D82" i="31"/>
  <c r="J9" i="63" l="1"/>
  <c r="J99" i="63"/>
  <c r="H54" i="63"/>
  <c r="I54" i="63" s="1"/>
  <c r="H99" i="63"/>
  <c r="H605" i="63" s="1"/>
  <c r="M10" i="1"/>
  <c r="H9" i="63"/>
  <c r="I9" i="63" s="1"/>
  <c r="N9" i="63" s="1"/>
  <c r="AE3" i="50"/>
  <c r="AO10" i="1" s="1"/>
  <c r="AN49" i="42"/>
  <c r="AP48" i="42"/>
  <c r="AN49" i="43"/>
  <c r="AP48" i="43"/>
  <c r="J13" i="1"/>
  <c r="K13" i="1" s="1"/>
  <c r="G13" i="1"/>
  <c r="I13" i="1" s="1"/>
  <c r="F13" i="1"/>
  <c r="C13" i="1"/>
  <c r="B13" i="1"/>
  <c r="AH99" i="49"/>
  <c r="AL96" i="49"/>
  <c r="AL95" i="49"/>
  <c r="AL94" i="49"/>
  <c r="AL93" i="49"/>
  <c r="AL92" i="49"/>
  <c r="AL91" i="49"/>
  <c r="AL90" i="49"/>
  <c r="AL89" i="49"/>
  <c r="AL88" i="49"/>
  <c r="AL87" i="49"/>
  <c r="AL86" i="49"/>
  <c r="AL85" i="49"/>
  <c r="AL84" i="49"/>
  <c r="AL83" i="49"/>
  <c r="AL82" i="49"/>
  <c r="AL81" i="49"/>
  <c r="AL80" i="49"/>
  <c r="AL79" i="49"/>
  <c r="AL78" i="49"/>
  <c r="AL77" i="49"/>
  <c r="AL76" i="49"/>
  <c r="AL75" i="49"/>
  <c r="AL74" i="49"/>
  <c r="AL73" i="49"/>
  <c r="AL72" i="49"/>
  <c r="AL71" i="49"/>
  <c r="AL70" i="49"/>
  <c r="AL69" i="49"/>
  <c r="AL68" i="49"/>
  <c r="AL67" i="49"/>
  <c r="AL66" i="49"/>
  <c r="AL65" i="49"/>
  <c r="AL64" i="49"/>
  <c r="AL63" i="49"/>
  <c r="AL62" i="49"/>
  <c r="AL61" i="49"/>
  <c r="AL60" i="49"/>
  <c r="AL59" i="49"/>
  <c r="AL58" i="49"/>
  <c r="AL57" i="49"/>
  <c r="AL56" i="49"/>
  <c r="AL55" i="49"/>
  <c r="AL54" i="49"/>
  <c r="AL53" i="49"/>
  <c r="AL52" i="49"/>
  <c r="AL51" i="49"/>
  <c r="AL50" i="49"/>
  <c r="AL49" i="49"/>
  <c r="AL48" i="49"/>
  <c r="AL47" i="49"/>
  <c r="AL46" i="49"/>
  <c r="AL45" i="49"/>
  <c r="AL44" i="49"/>
  <c r="AL43" i="49"/>
  <c r="AL42" i="49"/>
  <c r="AL41" i="49"/>
  <c r="AL40" i="49"/>
  <c r="AL39" i="49"/>
  <c r="AL38" i="49"/>
  <c r="AL37" i="49"/>
  <c r="AL36" i="49"/>
  <c r="AL35" i="49"/>
  <c r="AL34" i="49"/>
  <c r="AL33" i="49"/>
  <c r="AL32" i="49"/>
  <c r="AL31" i="49"/>
  <c r="AL30" i="49"/>
  <c r="AL29" i="49"/>
  <c r="AL28" i="49"/>
  <c r="AL27" i="49"/>
  <c r="AL26" i="49"/>
  <c r="AL25" i="49"/>
  <c r="AL24" i="49"/>
  <c r="AL23" i="49"/>
  <c r="AL22" i="49"/>
  <c r="AL21" i="49"/>
  <c r="AL20" i="49"/>
  <c r="AL19" i="49"/>
  <c r="AL18" i="49"/>
  <c r="AL17" i="49"/>
  <c r="AL16" i="49"/>
  <c r="AL15" i="49"/>
  <c r="AL14" i="49"/>
  <c r="AL13" i="49"/>
  <c r="AL12" i="49"/>
  <c r="AL11" i="49"/>
  <c r="AL10" i="49"/>
  <c r="AL9" i="49"/>
  <c r="AL8" i="49"/>
  <c r="AM96" i="49" s="1"/>
  <c r="AK8" i="49"/>
  <c r="AJ8" i="49"/>
  <c r="AE8" i="49"/>
  <c r="AB8" i="49"/>
  <c r="Y8" i="49"/>
  <c r="V8" i="49"/>
  <c r="S8" i="49"/>
  <c r="Q8" i="49"/>
  <c r="O8" i="49"/>
  <c r="M8" i="49"/>
  <c r="K8" i="49"/>
  <c r="I8" i="49"/>
  <c r="F8" i="49"/>
  <c r="C8" i="49"/>
  <c r="C6" i="49" s="1"/>
  <c r="B8" i="49"/>
  <c r="B7" i="49" s="1"/>
  <c r="J7" i="49"/>
  <c r="I4" i="49"/>
  <c r="J236" i="63" l="1"/>
  <c r="H515" i="63"/>
  <c r="H560" i="63"/>
  <c r="H425" i="63"/>
  <c r="H470" i="63"/>
  <c r="H335" i="63"/>
  <c r="H380" i="63"/>
  <c r="M54" i="63"/>
  <c r="N54" i="63"/>
  <c r="H245" i="63"/>
  <c r="H290" i="63"/>
  <c r="H200" i="63"/>
  <c r="H156" i="63"/>
  <c r="I99" i="63"/>
  <c r="N99" i="63" s="1"/>
  <c r="K54" i="63"/>
  <c r="K9" i="63"/>
  <c r="M9" i="63"/>
  <c r="AN50" i="42"/>
  <c r="AP49" i="42"/>
  <c r="AN50" i="43"/>
  <c r="AP49" i="43"/>
  <c r="AM49" i="49"/>
  <c r="AM27" i="49"/>
  <c r="AM31" i="49"/>
  <c r="AM17" i="49"/>
  <c r="AM15" i="49"/>
  <c r="AM43" i="49"/>
  <c r="AM25" i="49"/>
  <c r="AM35" i="49"/>
  <c r="AM39" i="49"/>
  <c r="AM11" i="49"/>
  <c r="AM33" i="49"/>
  <c r="AM47" i="49"/>
  <c r="AM9" i="49"/>
  <c r="AM19" i="49"/>
  <c r="AM23" i="49"/>
  <c r="AM41" i="49"/>
  <c r="L13" i="1"/>
  <c r="AE5" i="49"/>
  <c r="AE3" i="49" s="1"/>
  <c r="AO13" i="1" s="1"/>
  <c r="AB6" i="49"/>
  <c r="AM13" i="49"/>
  <c r="AM21" i="49"/>
  <c r="AM29" i="49"/>
  <c r="AM37" i="49"/>
  <c r="AM45" i="49"/>
  <c r="AG98" i="49"/>
  <c r="V6" i="49"/>
  <c r="M6" i="49"/>
  <c r="AK13" i="1" s="1"/>
  <c r="AG13" i="1"/>
  <c r="Q6" i="49"/>
  <c r="S6" i="49"/>
  <c r="AG99" i="49"/>
  <c r="I6" i="49"/>
  <c r="AI13" i="1" s="1"/>
  <c r="AE6" i="49"/>
  <c r="K6" i="49"/>
  <c r="AJ13" i="1" s="1"/>
  <c r="AC13" i="1"/>
  <c r="J147" i="63" s="1"/>
  <c r="F6" i="49"/>
  <c r="AH13" i="1" s="1"/>
  <c r="O6" i="49"/>
  <c r="AL13" i="1" s="1"/>
  <c r="Y6" i="49"/>
  <c r="AM10" i="49"/>
  <c r="AM12" i="49"/>
  <c r="AM14" i="49"/>
  <c r="AM16" i="49"/>
  <c r="AM18" i="49"/>
  <c r="AM20" i="49"/>
  <c r="AM22" i="49"/>
  <c r="AM24" i="49"/>
  <c r="AM26" i="49"/>
  <c r="AM28" i="49"/>
  <c r="AM30" i="49"/>
  <c r="AM32" i="49"/>
  <c r="AM34" i="49"/>
  <c r="AM36" i="49"/>
  <c r="AM38" i="49"/>
  <c r="AM40" i="49"/>
  <c r="AM42" i="49"/>
  <c r="AM44" i="49"/>
  <c r="AM46" i="49"/>
  <c r="AM48" i="49"/>
  <c r="AM50" i="49"/>
  <c r="AM51" i="49"/>
  <c r="AM52" i="49"/>
  <c r="AM53" i="49"/>
  <c r="AM54" i="49"/>
  <c r="AM55" i="49"/>
  <c r="AM56" i="49"/>
  <c r="AM57" i="49"/>
  <c r="AM58" i="49"/>
  <c r="AM59" i="49"/>
  <c r="AM60" i="49"/>
  <c r="AM61" i="49"/>
  <c r="AM62" i="49"/>
  <c r="AM63" i="49"/>
  <c r="AM64" i="49"/>
  <c r="AM65" i="49"/>
  <c r="AM66" i="49"/>
  <c r="AM67" i="49"/>
  <c r="AM68" i="49"/>
  <c r="AM69" i="49"/>
  <c r="AM70" i="49"/>
  <c r="AM71" i="49"/>
  <c r="AM72" i="49"/>
  <c r="AM73" i="49"/>
  <c r="AM74" i="49"/>
  <c r="AM75" i="49"/>
  <c r="AM76" i="49"/>
  <c r="AM77" i="49"/>
  <c r="AM78" i="49"/>
  <c r="AM79" i="49"/>
  <c r="AM80" i="49"/>
  <c r="AM81" i="49"/>
  <c r="AM82" i="49"/>
  <c r="AM83" i="49"/>
  <c r="AM84" i="49"/>
  <c r="AM85" i="49"/>
  <c r="AM86" i="49"/>
  <c r="AM87" i="49"/>
  <c r="AM88" i="49"/>
  <c r="AM89" i="49"/>
  <c r="AM90" i="49"/>
  <c r="AM91" i="49"/>
  <c r="AM92" i="49"/>
  <c r="AM93" i="49"/>
  <c r="AM94" i="49"/>
  <c r="AM95" i="49"/>
  <c r="J12" i="63" l="1"/>
  <c r="J293" i="63"/>
  <c r="J563" i="63"/>
  <c r="J428" i="63"/>
  <c r="J608" i="63"/>
  <c r="J518" i="63"/>
  <c r="J338" i="63"/>
  <c r="J473" i="63"/>
  <c r="J383" i="63"/>
  <c r="J191" i="63"/>
  <c r="J57" i="63"/>
  <c r="J102" i="63"/>
  <c r="M99" i="63"/>
  <c r="H191" i="63"/>
  <c r="I191" i="63" s="1"/>
  <c r="N191" i="63" s="1"/>
  <c r="H236" i="63"/>
  <c r="H608" i="63" s="1"/>
  <c r="I608" i="63" s="1"/>
  <c r="K99" i="63"/>
  <c r="H102" i="63"/>
  <c r="I102" i="63" s="1"/>
  <c r="H147" i="63"/>
  <c r="I147" i="63" s="1"/>
  <c r="N147" i="63" s="1"/>
  <c r="H12" i="63"/>
  <c r="I12" i="63" s="1"/>
  <c r="N12" i="63" s="1"/>
  <c r="H57" i="63"/>
  <c r="I57" i="63" s="1"/>
  <c r="N57" i="63" s="1"/>
  <c r="H5" i="49"/>
  <c r="BF13" i="1" s="1"/>
  <c r="AN51" i="42"/>
  <c r="AP50" i="42"/>
  <c r="AN51" i="43"/>
  <c r="AP50" i="43"/>
  <c r="J14" i="1"/>
  <c r="K14" i="1" s="1"/>
  <c r="G14" i="1"/>
  <c r="I14" i="1" s="1"/>
  <c r="F14" i="1"/>
  <c r="H14" i="1" s="1"/>
  <c r="C14" i="1"/>
  <c r="B14" i="1"/>
  <c r="K608" i="63" l="1"/>
  <c r="N608" i="63"/>
  <c r="M608" i="63"/>
  <c r="H563" i="63"/>
  <c r="I563" i="63" s="1"/>
  <c r="N563" i="63" s="1"/>
  <c r="H473" i="63"/>
  <c r="I473" i="63" s="1"/>
  <c r="N473" i="63" s="1"/>
  <c r="H518" i="63"/>
  <c r="I518" i="63" s="1"/>
  <c r="H383" i="63"/>
  <c r="I383" i="63" s="1"/>
  <c r="N383" i="63" s="1"/>
  <c r="H428" i="63"/>
  <c r="I428" i="63" s="1"/>
  <c r="H293" i="63"/>
  <c r="I293" i="63" s="1"/>
  <c r="N293" i="63" s="1"/>
  <c r="H338" i="63"/>
  <c r="I338" i="63" s="1"/>
  <c r="M191" i="63"/>
  <c r="K102" i="63"/>
  <c r="N102" i="63"/>
  <c r="K12" i="63"/>
  <c r="K191" i="63"/>
  <c r="I236" i="63"/>
  <c r="N236" i="63" s="1"/>
  <c r="M102" i="63"/>
  <c r="M147" i="63"/>
  <c r="K147" i="63"/>
  <c r="M12" i="63"/>
  <c r="K57" i="63"/>
  <c r="M57" i="63"/>
  <c r="AN52" i="42"/>
  <c r="AP51" i="42"/>
  <c r="AN52" i="43"/>
  <c r="AP51" i="43"/>
  <c r="L14" i="1"/>
  <c r="B8" i="48"/>
  <c r="B7" i="48" s="1"/>
  <c r="M563" i="63" l="1"/>
  <c r="K563" i="63"/>
  <c r="K473" i="63"/>
  <c r="M473" i="63"/>
  <c r="N518" i="63"/>
  <c r="M518" i="63"/>
  <c r="K518" i="63"/>
  <c r="K383" i="63"/>
  <c r="M383" i="63"/>
  <c r="N428" i="63"/>
  <c r="M428" i="63"/>
  <c r="K428" i="63"/>
  <c r="M293" i="63"/>
  <c r="K293" i="63"/>
  <c r="N338" i="63"/>
  <c r="M338" i="63"/>
  <c r="K338" i="63"/>
  <c r="H282" i="63"/>
  <c r="H609" i="63" s="1"/>
  <c r="I609" i="63" s="1"/>
  <c r="H192" i="63"/>
  <c r="I192" i="63" s="1"/>
  <c r="N192" i="63" s="1"/>
  <c r="H237" i="63"/>
  <c r="M236" i="63"/>
  <c r="K236" i="63"/>
  <c r="H103" i="63"/>
  <c r="I103" i="63" s="1"/>
  <c r="H148" i="63"/>
  <c r="I148" i="63" s="1"/>
  <c r="N148" i="63" s="1"/>
  <c r="H13" i="63"/>
  <c r="I13" i="63" s="1"/>
  <c r="N13" i="63" s="1"/>
  <c r="H58" i="63"/>
  <c r="I58" i="63" s="1"/>
  <c r="N58" i="63" s="1"/>
  <c r="AN53" i="42"/>
  <c r="AP52" i="42"/>
  <c r="AN53" i="43"/>
  <c r="AP52" i="43"/>
  <c r="AH99" i="48"/>
  <c r="AL96" i="48"/>
  <c r="AL95" i="48"/>
  <c r="AL94" i="48"/>
  <c r="AL93" i="48"/>
  <c r="AL92" i="48"/>
  <c r="AL91" i="48"/>
  <c r="AL90" i="48"/>
  <c r="AL89" i="48"/>
  <c r="AL88" i="48"/>
  <c r="AL87" i="48"/>
  <c r="AL86" i="48"/>
  <c r="AL85" i="48"/>
  <c r="AL84" i="48"/>
  <c r="AL83" i="48"/>
  <c r="AL82" i="48"/>
  <c r="AL81" i="48"/>
  <c r="AL80" i="48"/>
  <c r="AL79" i="48"/>
  <c r="AL78" i="48"/>
  <c r="AL77" i="48"/>
  <c r="AL76" i="48"/>
  <c r="AL75" i="48"/>
  <c r="AL74" i="48"/>
  <c r="AL73" i="48"/>
  <c r="AL72" i="48"/>
  <c r="AL71" i="48"/>
  <c r="AL70" i="48"/>
  <c r="AL69" i="48"/>
  <c r="AL68" i="48"/>
  <c r="AL67" i="48"/>
  <c r="AL66" i="48"/>
  <c r="AL65" i="48"/>
  <c r="AL64" i="48"/>
  <c r="AL63" i="48"/>
  <c r="AL62" i="48"/>
  <c r="AL61" i="48"/>
  <c r="AL60" i="48"/>
  <c r="AL59" i="48"/>
  <c r="AL58" i="48"/>
  <c r="AL57" i="48"/>
  <c r="AL56" i="48"/>
  <c r="AL55" i="48"/>
  <c r="AL54" i="48"/>
  <c r="AL53" i="48"/>
  <c r="AL52" i="48"/>
  <c r="AL51" i="48"/>
  <c r="AL50" i="48"/>
  <c r="AL49" i="48"/>
  <c r="AL48" i="48"/>
  <c r="AL47" i="48"/>
  <c r="AL46" i="48"/>
  <c r="AL45" i="48"/>
  <c r="AL44" i="48"/>
  <c r="AL43" i="48"/>
  <c r="AL42" i="48"/>
  <c r="AL41" i="48"/>
  <c r="AL40" i="48"/>
  <c r="AL39" i="48"/>
  <c r="AL38" i="48"/>
  <c r="AL37" i="48"/>
  <c r="AL36" i="48"/>
  <c r="AL35" i="48"/>
  <c r="AL34" i="48"/>
  <c r="AL33" i="48"/>
  <c r="AL32" i="48"/>
  <c r="AL31" i="48"/>
  <c r="AL30" i="48"/>
  <c r="AL29" i="48"/>
  <c r="AL28" i="48"/>
  <c r="AL27" i="48"/>
  <c r="AL26" i="48"/>
  <c r="AL25" i="48"/>
  <c r="AL24" i="48"/>
  <c r="AL23" i="48"/>
  <c r="AL22" i="48"/>
  <c r="AL21" i="48"/>
  <c r="AL20" i="48"/>
  <c r="AL19" i="48"/>
  <c r="AL18" i="48"/>
  <c r="AL17" i="48"/>
  <c r="AL16" i="48"/>
  <c r="AL15" i="48"/>
  <c r="AL14" i="48"/>
  <c r="AL13" i="48"/>
  <c r="AL12" i="48"/>
  <c r="AL11" i="48"/>
  <c r="AL10" i="48"/>
  <c r="AL9" i="48"/>
  <c r="AL8" i="48"/>
  <c r="AM93" i="48" s="1"/>
  <c r="AK8" i="48"/>
  <c r="AJ8" i="48"/>
  <c r="AE8" i="48"/>
  <c r="AB8" i="48"/>
  <c r="Y8" i="48"/>
  <c r="V8" i="48"/>
  <c r="S8" i="48"/>
  <c r="Q8" i="48"/>
  <c r="O8" i="48"/>
  <c r="M8" i="48"/>
  <c r="K8" i="48"/>
  <c r="I8" i="48"/>
  <c r="F8" i="48"/>
  <c r="C8" i="48"/>
  <c r="C6" i="48" s="1"/>
  <c r="J7" i="48"/>
  <c r="I4" i="48"/>
  <c r="N609" i="63" l="1"/>
  <c r="M609" i="63"/>
  <c r="H519" i="63"/>
  <c r="I519" i="63" s="1"/>
  <c r="M519" i="63" s="1"/>
  <c r="H564" i="63"/>
  <c r="I564" i="63" s="1"/>
  <c r="H429" i="63"/>
  <c r="I429" i="63" s="1"/>
  <c r="M429" i="63" s="1"/>
  <c r="H474" i="63"/>
  <c r="I474" i="63" s="1"/>
  <c r="H384" i="63"/>
  <c r="I384" i="63" s="1"/>
  <c r="N384" i="63" s="1"/>
  <c r="I385" i="63"/>
  <c r="I282" i="63"/>
  <c r="N282" i="63" s="1"/>
  <c r="H339" i="63"/>
  <c r="I339" i="63" s="1"/>
  <c r="M103" i="63"/>
  <c r="N103" i="63"/>
  <c r="M192" i="63"/>
  <c r="I237" i="63"/>
  <c r="N237" i="63" s="1"/>
  <c r="M148" i="63"/>
  <c r="M13" i="63"/>
  <c r="M58" i="63"/>
  <c r="AN54" i="42"/>
  <c r="AP53" i="42"/>
  <c r="AN54" i="43"/>
  <c r="AP53" i="43"/>
  <c r="AC14" i="1"/>
  <c r="F6" i="48"/>
  <c r="AH14" i="1" s="1"/>
  <c r="AE5" i="48"/>
  <c r="H5" i="48" s="1"/>
  <c r="BF14" i="1" s="1"/>
  <c r="AM17" i="48"/>
  <c r="AM33" i="48"/>
  <c r="AM51" i="48"/>
  <c r="AM59" i="48"/>
  <c r="AM9" i="48"/>
  <c r="AM25" i="48"/>
  <c r="AM41" i="48"/>
  <c r="AM49" i="48"/>
  <c r="AM52" i="48"/>
  <c r="AM56" i="48"/>
  <c r="AM60" i="48"/>
  <c r="AM11" i="48"/>
  <c r="AM15" i="48"/>
  <c r="AM19" i="48"/>
  <c r="AM23" i="48"/>
  <c r="AM27" i="48"/>
  <c r="AM31" i="48"/>
  <c r="AM35" i="48"/>
  <c r="AM39" i="48"/>
  <c r="AM43" i="48"/>
  <c r="AM47" i="48"/>
  <c r="AM29" i="48"/>
  <c r="AM37" i="48"/>
  <c r="AM55" i="48"/>
  <c r="AM63" i="48"/>
  <c r="AM79" i="48"/>
  <c r="AM68" i="48"/>
  <c r="AM84" i="48"/>
  <c r="AM92" i="48"/>
  <c r="AM67" i="48"/>
  <c r="AM75" i="48"/>
  <c r="AM83" i="48"/>
  <c r="AM91" i="48"/>
  <c r="AM13" i="48"/>
  <c r="AM21" i="48"/>
  <c r="AM45" i="48"/>
  <c r="AM71" i="48"/>
  <c r="AM87" i="48"/>
  <c r="AM95" i="48"/>
  <c r="AM76" i="48"/>
  <c r="AM64" i="48"/>
  <c r="AM72" i="48"/>
  <c r="AM80" i="48"/>
  <c r="AM88" i="48"/>
  <c r="AM96" i="48"/>
  <c r="I6" i="48"/>
  <c r="AI14" i="1" s="1"/>
  <c r="Y6" i="48"/>
  <c r="K6" i="48"/>
  <c r="AJ14" i="1" s="1"/>
  <c r="AE6" i="48"/>
  <c r="AG14" i="1"/>
  <c r="M6" i="48"/>
  <c r="AK14" i="1" s="1"/>
  <c r="S6" i="48"/>
  <c r="Q6" i="48"/>
  <c r="AG98" i="48"/>
  <c r="O6" i="48"/>
  <c r="AL14" i="1" s="1"/>
  <c r="AB6" i="48"/>
  <c r="V6" i="48"/>
  <c r="AG99" i="48"/>
  <c r="AM10" i="48"/>
  <c r="AM12" i="48"/>
  <c r="AM14" i="48"/>
  <c r="AM16" i="48"/>
  <c r="AM18" i="48"/>
  <c r="AM20" i="48"/>
  <c r="AM22" i="48"/>
  <c r="AM24" i="48"/>
  <c r="AM26" i="48"/>
  <c r="AM28" i="48"/>
  <c r="AM30" i="48"/>
  <c r="AM32" i="48"/>
  <c r="AM34" i="48"/>
  <c r="AM36" i="48"/>
  <c r="AM38" i="48"/>
  <c r="AM40" i="48"/>
  <c r="AM42" i="48"/>
  <c r="AM44" i="48"/>
  <c r="AM46" i="48"/>
  <c r="AM48" i="48"/>
  <c r="AM50" i="48"/>
  <c r="AM54" i="48"/>
  <c r="AM58" i="48"/>
  <c r="AM62" i="48"/>
  <c r="AM66" i="48"/>
  <c r="AM70" i="48"/>
  <c r="AM74" i="48"/>
  <c r="AM78" i="48"/>
  <c r="AM82" i="48"/>
  <c r="AM86" i="48"/>
  <c r="AM90" i="48"/>
  <c r="AM94" i="48"/>
  <c r="AM53" i="48"/>
  <c r="AM57" i="48"/>
  <c r="AM61" i="48"/>
  <c r="AM65" i="48"/>
  <c r="AM69" i="48"/>
  <c r="AM73" i="48"/>
  <c r="AM77" i="48"/>
  <c r="AM81" i="48"/>
  <c r="AM85" i="48"/>
  <c r="AM89" i="48"/>
  <c r="E81" i="31"/>
  <c r="C81" i="31"/>
  <c r="J13" i="63" l="1"/>
  <c r="K13" i="63" s="1"/>
  <c r="J237" i="63"/>
  <c r="K237" i="63" s="1"/>
  <c r="J103" i="63"/>
  <c r="K103" i="63" s="1"/>
  <c r="J58" i="63"/>
  <c r="K58" i="63" s="1"/>
  <c r="J282" i="63"/>
  <c r="K282" i="63" s="1"/>
  <c r="J148" i="63"/>
  <c r="K148" i="63" s="1"/>
  <c r="J192" i="63"/>
  <c r="K192" i="63" s="1"/>
  <c r="N519" i="63"/>
  <c r="N564" i="63"/>
  <c r="M564" i="63"/>
  <c r="N429" i="63"/>
  <c r="N474" i="63"/>
  <c r="M474" i="63"/>
  <c r="M384" i="63"/>
  <c r="K385" i="63"/>
  <c r="N385" i="63"/>
  <c r="M385" i="63"/>
  <c r="M282" i="63"/>
  <c r="N339" i="63"/>
  <c r="M339" i="63"/>
  <c r="M237" i="63"/>
  <c r="AE3" i="48"/>
  <c r="AO14" i="1" s="1"/>
  <c r="AN55" i="42"/>
  <c r="AP54" i="42"/>
  <c r="AN55" i="43"/>
  <c r="AP54" i="43"/>
  <c r="D81" i="31"/>
  <c r="I81" i="31"/>
  <c r="J15" i="1"/>
  <c r="K15" i="1" s="1"/>
  <c r="G15" i="1"/>
  <c r="I15" i="1" s="1"/>
  <c r="F15" i="1"/>
  <c r="C15" i="1"/>
  <c r="B15" i="1"/>
  <c r="AK8" i="47"/>
  <c r="AJ8" i="47"/>
  <c r="AH99" i="47"/>
  <c r="AL96" i="47"/>
  <c r="AL95" i="47"/>
  <c r="AL94" i="47"/>
  <c r="AL93" i="47"/>
  <c r="AL92" i="47"/>
  <c r="AL91" i="47"/>
  <c r="AL90" i="47"/>
  <c r="AL89" i="47"/>
  <c r="AL88" i="47"/>
  <c r="AL87" i="47"/>
  <c r="AL86" i="47"/>
  <c r="AL85" i="47"/>
  <c r="AL84" i="47"/>
  <c r="AL83" i="47"/>
  <c r="AL82" i="47"/>
  <c r="AL81" i="47"/>
  <c r="AL80" i="47"/>
  <c r="AL79" i="47"/>
  <c r="AL78" i="47"/>
  <c r="AL77" i="47"/>
  <c r="AL76" i="47"/>
  <c r="AL75" i="47"/>
  <c r="AL74" i="47"/>
  <c r="AL73" i="47"/>
  <c r="AL72" i="47"/>
  <c r="AL71" i="47"/>
  <c r="AL70" i="47"/>
  <c r="AL69" i="47"/>
  <c r="AL68" i="47"/>
  <c r="AL67" i="47"/>
  <c r="AL66" i="47"/>
  <c r="AL65" i="47"/>
  <c r="AL64" i="47"/>
  <c r="AL63" i="47"/>
  <c r="AL62" i="47"/>
  <c r="AL61" i="47"/>
  <c r="AL60" i="47"/>
  <c r="AL59" i="47"/>
  <c r="AL58" i="47"/>
  <c r="AL57" i="47"/>
  <c r="AL56" i="47"/>
  <c r="AL55" i="47"/>
  <c r="AL54" i="47"/>
  <c r="AL53" i="47"/>
  <c r="AL52" i="47"/>
  <c r="AL51" i="47"/>
  <c r="AL50" i="47"/>
  <c r="AL49" i="47"/>
  <c r="AL48" i="47"/>
  <c r="AL47" i="47"/>
  <c r="AL46" i="47"/>
  <c r="AL45" i="47"/>
  <c r="AL44" i="47"/>
  <c r="AL43" i="47"/>
  <c r="AL42" i="47"/>
  <c r="AL41" i="47"/>
  <c r="K8" i="47"/>
  <c r="AL40" i="47"/>
  <c r="AL39" i="47"/>
  <c r="AL38" i="47"/>
  <c r="AL37" i="47"/>
  <c r="AL36" i="47"/>
  <c r="AL35" i="47"/>
  <c r="AL34" i="47"/>
  <c r="AL33" i="47"/>
  <c r="AL32" i="47"/>
  <c r="AL31" i="47"/>
  <c r="AL30" i="47"/>
  <c r="AL29" i="47"/>
  <c r="AL28" i="47"/>
  <c r="AL27" i="47"/>
  <c r="AL26" i="47"/>
  <c r="AL25" i="47"/>
  <c r="AL24" i="47"/>
  <c r="AL23" i="47"/>
  <c r="AL22" i="47"/>
  <c r="AL21" i="47"/>
  <c r="AL20" i="47"/>
  <c r="AL19" i="47"/>
  <c r="AL18" i="47"/>
  <c r="AL17" i="47"/>
  <c r="AL16" i="47"/>
  <c r="AL15" i="47"/>
  <c r="AL14" i="47"/>
  <c r="AL13" i="47"/>
  <c r="AL12" i="47"/>
  <c r="AL11" i="47"/>
  <c r="AL10" i="47"/>
  <c r="AL9" i="47"/>
  <c r="AL8" i="47"/>
  <c r="AE8" i="47"/>
  <c r="AB8" i="47"/>
  <c r="Y8" i="47"/>
  <c r="V8" i="47"/>
  <c r="S8" i="47"/>
  <c r="Q8" i="47"/>
  <c r="O8" i="47"/>
  <c r="M8" i="47"/>
  <c r="I8" i="47"/>
  <c r="F8" i="47"/>
  <c r="C8" i="47"/>
  <c r="C6" i="47" s="1"/>
  <c r="B8" i="47"/>
  <c r="B7" i="47" s="1"/>
  <c r="J7" i="47"/>
  <c r="I4" i="47"/>
  <c r="J384" i="63" l="1"/>
  <c r="K384" i="63" s="1"/>
  <c r="J609" i="63"/>
  <c r="J339" i="63"/>
  <c r="K339" i="63" s="1"/>
  <c r="J564" i="63"/>
  <c r="K564" i="63" s="1"/>
  <c r="J519" i="63"/>
  <c r="K519" i="63" s="1"/>
  <c r="J474" i="63"/>
  <c r="K474" i="63" s="1"/>
  <c r="J429" i="63"/>
  <c r="K429" i="63" s="1"/>
  <c r="AN56" i="42"/>
  <c r="AP55" i="42"/>
  <c r="AN56" i="43"/>
  <c r="AP55" i="43"/>
  <c r="L15" i="1"/>
  <c r="J81" i="31"/>
  <c r="K81" i="31" s="1"/>
  <c r="AM35" i="47"/>
  <c r="AM25" i="47"/>
  <c r="K6" i="47"/>
  <c r="AJ15" i="1" s="1"/>
  <c r="V6" i="47"/>
  <c r="F6" i="47"/>
  <c r="AH15" i="1" s="1"/>
  <c r="AM36" i="47"/>
  <c r="AM29" i="47"/>
  <c r="AM18" i="47"/>
  <c r="AM33" i="47"/>
  <c r="AC15" i="1"/>
  <c r="J374" i="63" s="1"/>
  <c r="S6" i="47"/>
  <c r="AE6" i="47"/>
  <c r="AM11" i="47"/>
  <c r="AM15" i="47"/>
  <c r="O6" i="47"/>
  <c r="AL15" i="1" s="1"/>
  <c r="AM23" i="47"/>
  <c r="AM26" i="47"/>
  <c r="AM37" i="47"/>
  <c r="Y6" i="47"/>
  <c r="AM9" i="47"/>
  <c r="AM13" i="47"/>
  <c r="AM20" i="47"/>
  <c r="AM31" i="47"/>
  <c r="AM34" i="47"/>
  <c r="AM41" i="47"/>
  <c r="AM43" i="47"/>
  <c r="AM45" i="47"/>
  <c r="AM47" i="47"/>
  <c r="AM49" i="47"/>
  <c r="AM51" i="47"/>
  <c r="AM53" i="47"/>
  <c r="AM55" i="47"/>
  <c r="AM57" i="47"/>
  <c r="AM59" i="47"/>
  <c r="AM61" i="47"/>
  <c r="AM63" i="47"/>
  <c r="AM65" i="47"/>
  <c r="AM67" i="47"/>
  <c r="AM69" i="47"/>
  <c r="AM71" i="47"/>
  <c r="AM73" i="47"/>
  <c r="AM75" i="47"/>
  <c r="AM77" i="47"/>
  <c r="AM79" i="47"/>
  <c r="AM81" i="47"/>
  <c r="AM83" i="47"/>
  <c r="AM85" i="47"/>
  <c r="AM87" i="47"/>
  <c r="AM89" i="47"/>
  <c r="AM91" i="47"/>
  <c r="AM93" i="47"/>
  <c r="AM95" i="47"/>
  <c r="I6" i="47"/>
  <c r="AI15" i="1" s="1"/>
  <c r="Q6" i="47"/>
  <c r="AE5" i="47"/>
  <c r="AE3" i="47" s="1"/>
  <c r="AO15" i="1" s="1"/>
  <c r="AM17" i="47"/>
  <c r="AM21" i="47"/>
  <c r="AM28" i="47"/>
  <c r="AM39" i="47"/>
  <c r="AG99" i="47"/>
  <c r="AG98" i="47"/>
  <c r="AB6" i="47"/>
  <c r="AM16" i="47"/>
  <c r="AM24" i="47"/>
  <c r="AM32" i="47"/>
  <c r="AM40" i="47"/>
  <c r="AM42" i="47"/>
  <c r="AM44" i="47"/>
  <c r="AM46" i="47"/>
  <c r="AM48" i="47"/>
  <c r="AM50" i="47"/>
  <c r="AM52" i="47"/>
  <c r="AM54" i="47"/>
  <c r="AM56" i="47"/>
  <c r="AM58" i="47"/>
  <c r="AM60" i="47"/>
  <c r="AM62" i="47"/>
  <c r="AM64" i="47"/>
  <c r="AM66" i="47"/>
  <c r="AM68" i="47"/>
  <c r="AM70" i="47"/>
  <c r="AM72" i="47"/>
  <c r="AM74" i="47"/>
  <c r="AM76" i="47"/>
  <c r="AM78" i="47"/>
  <c r="AM80" i="47"/>
  <c r="AM82" i="47"/>
  <c r="AM84" i="47"/>
  <c r="AM86" i="47"/>
  <c r="AM88" i="47"/>
  <c r="AM90" i="47"/>
  <c r="AM92" i="47"/>
  <c r="AM94" i="47"/>
  <c r="AM96" i="47"/>
  <c r="AG15" i="1"/>
  <c r="M6" i="47"/>
  <c r="AK15" i="1" s="1"/>
  <c r="AM10" i="47"/>
  <c r="AM12" i="47"/>
  <c r="AM14" i="47"/>
  <c r="AM19" i="47"/>
  <c r="AM22" i="47"/>
  <c r="AM27" i="47"/>
  <c r="AM30" i="47"/>
  <c r="AM38" i="47"/>
  <c r="AI8" i="40"/>
  <c r="AH8" i="40"/>
  <c r="J7" i="40"/>
  <c r="J7" i="42"/>
  <c r="J7" i="41"/>
  <c r="J7" i="43"/>
  <c r="J7" i="44"/>
  <c r="J284" i="63" l="1"/>
  <c r="J105" i="63"/>
  <c r="J194" i="63"/>
  <c r="J521" i="63"/>
  <c r="J431" i="63"/>
  <c r="J611" i="63"/>
  <c r="J476" i="63"/>
  <c r="J566" i="63"/>
  <c r="J150" i="63"/>
  <c r="J60" i="63"/>
  <c r="J329" i="63"/>
  <c r="K609" i="63"/>
  <c r="J239" i="63"/>
  <c r="J15" i="63"/>
  <c r="H374" i="63"/>
  <c r="H611" i="63" s="1"/>
  <c r="I611" i="63" s="1"/>
  <c r="H284" i="63"/>
  <c r="I284" i="63" s="1"/>
  <c r="N284" i="63" s="1"/>
  <c r="H329" i="63"/>
  <c r="H194" i="63"/>
  <c r="I194" i="63" s="1"/>
  <c r="N194" i="63" s="1"/>
  <c r="H239" i="63"/>
  <c r="H105" i="63"/>
  <c r="I105" i="63" s="1"/>
  <c r="H150" i="63"/>
  <c r="I150" i="63" s="1"/>
  <c r="N150" i="63" s="1"/>
  <c r="H15" i="63"/>
  <c r="I15" i="63" s="1"/>
  <c r="N15" i="63" s="1"/>
  <c r="H60" i="63"/>
  <c r="I60" i="63" s="1"/>
  <c r="N60" i="63" s="1"/>
  <c r="AN57" i="42"/>
  <c r="AP57" i="42" s="1"/>
  <c r="AP56" i="42"/>
  <c r="AN57" i="43"/>
  <c r="AP57" i="43" s="1"/>
  <c r="AP56" i="43"/>
  <c r="H5" i="47"/>
  <c r="BF15" i="1" s="1"/>
  <c r="AQ29" i="1"/>
  <c r="E80" i="31"/>
  <c r="D80" i="31" s="1"/>
  <c r="C80" i="31"/>
  <c r="I79" i="31"/>
  <c r="J79" i="31" s="1"/>
  <c r="K79" i="31" s="1"/>
  <c r="C79" i="31"/>
  <c r="D79" i="31" s="1"/>
  <c r="K11" i="42"/>
  <c r="K28" i="41"/>
  <c r="K27" i="41"/>
  <c r="K26" i="43"/>
  <c r="K25" i="43"/>
  <c r="K41" i="44"/>
  <c r="K11" i="40"/>
  <c r="K10" i="40"/>
  <c r="K611" i="63" l="1"/>
  <c r="N611" i="63"/>
  <c r="M611" i="63"/>
  <c r="H521" i="63"/>
  <c r="I521" i="63" s="1"/>
  <c r="N521" i="63" s="1"/>
  <c r="H566" i="63"/>
  <c r="I566" i="63" s="1"/>
  <c r="H476" i="63"/>
  <c r="I476" i="63" s="1"/>
  <c r="M476" i="63" s="1"/>
  <c r="I477" i="63"/>
  <c r="I374" i="63"/>
  <c r="M374" i="63" s="1"/>
  <c r="H431" i="63"/>
  <c r="I431" i="63" s="1"/>
  <c r="I329" i="63"/>
  <c r="M194" i="63"/>
  <c r="M105" i="63"/>
  <c r="N105" i="63"/>
  <c r="M15" i="63"/>
  <c r="M284" i="63"/>
  <c r="K284" i="63"/>
  <c r="K194" i="63"/>
  <c r="I239" i="63"/>
  <c r="N239" i="63" s="1"/>
  <c r="K105" i="63"/>
  <c r="M150" i="63"/>
  <c r="K150" i="63"/>
  <c r="K15" i="63"/>
  <c r="M60" i="63"/>
  <c r="K60" i="63"/>
  <c r="I80" i="31"/>
  <c r="K521" i="63" l="1"/>
  <c r="M521" i="63"/>
  <c r="N566" i="63"/>
  <c r="K566" i="63"/>
  <c r="M566" i="63"/>
  <c r="N476" i="63"/>
  <c r="K476" i="63"/>
  <c r="K477" i="63"/>
  <c r="N477" i="63"/>
  <c r="M477" i="63"/>
  <c r="K374" i="63"/>
  <c r="N374" i="63"/>
  <c r="N431" i="63"/>
  <c r="M431" i="63"/>
  <c r="K431" i="63"/>
  <c r="N329" i="63"/>
  <c r="M329" i="63"/>
  <c r="K329" i="63"/>
  <c r="K239" i="63"/>
  <c r="M239" i="63"/>
  <c r="J80" i="31"/>
  <c r="K80" i="31" s="1"/>
  <c r="AU36" i="1" l="1"/>
  <c r="K9" i="40"/>
  <c r="E187" i="31"/>
  <c r="I187" i="31" s="1"/>
  <c r="J187" i="31" s="1"/>
  <c r="K187" i="31" s="1"/>
  <c r="I186" i="31"/>
  <c r="I185" i="31"/>
  <c r="C185" i="31"/>
  <c r="E78" i="31"/>
  <c r="C78" i="31"/>
  <c r="E77" i="31"/>
  <c r="I77" i="31" s="1"/>
  <c r="E76" i="31"/>
  <c r="C76" i="31"/>
  <c r="C187" i="31" l="1"/>
  <c r="D77" i="31"/>
  <c r="J186" i="31"/>
  <c r="K186" i="31" s="1"/>
  <c r="D78" i="31"/>
  <c r="J185" i="31"/>
  <c r="K185" i="31" s="1"/>
  <c r="I78" i="31"/>
  <c r="J77" i="31"/>
  <c r="K77" i="31" s="1"/>
  <c r="D76" i="31"/>
  <c r="I76" i="31"/>
  <c r="J76" i="31" s="1"/>
  <c r="K76" i="31" s="1"/>
  <c r="J78" i="31" l="1"/>
  <c r="K78" i="31" s="1"/>
  <c r="E75" i="31" l="1"/>
  <c r="I75" i="31" s="1"/>
  <c r="C75" i="31"/>
  <c r="J16" i="1"/>
  <c r="G16" i="1"/>
  <c r="I16" i="1" s="1"/>
  <c r="F16" i="1"/>
  <c r="C16" i="1"/>
  <c r="B16" i="1"/>
  <c r="AH99" i="44"/>
  <c r="AK96" i="44"/>
  <c r="AK95" i="44"/>
  <c r="AK94" i="44"/>
  <c r="AK93" i="44"/>
  <c r="AK92" i="44"/>
  <c r="AK91" i="44"/>
  <c r="AK90" i="44"/>
  <c r="AK89" i="44"/>
  <c r="AK88" i="44"/>
  <c r="AK87" i="44"/>
  <c r="AK86" i="44"/>
  <c r="AK85" i="44"/>
  <c r="AK84" i="44"/>
  <c r="AK83" i="44"/>
  <c r="AK82" i="44"/>
  <c r="AK81" i="44"/>
  <c r="AK80" i="44"/>
  <c r="AK79" i="44"/>
  <c r="AK78" i="44"/>
  <c r="AK77" i="44"/>
  <c r="AK76" i="44"/>
  <c r="AK75" i="44"/>
  <c r="AK74" i="44"/>
  <c r="AK73" i="44"/>
  <c r="AK72" i="44"/>
  <c r="AK71" i="44"/>
  <c r="AK70" i="44"/>
  <c r="AK69" i="44"/>
  <c r="AK68" i="44"/>
  <c r="AK67" i="44"/>
  <c r="AK66" i="44"/>
  <c r="AK65" i="44"/>
  <c r="AK64" i="44"/>
  <c r="AK63" i="44"/>
  <c r="AK62" i="44"/>
  <c r="AK61" i="44"/>
  <c r="AK60" i="44"/>
  <c r="AK59" i="44"/>
  <c r="AK58" i="44"/>
  <c r="AK57" i="44"/>
  <c r="AK56" i="44"/>
  <c r="AK55" i="44"/>
  <c r="AK54" i="44"/>
  <c r="AK53" i="44"/>
  <c r="AK52" i="44"/>
  <c r="AK51" i="44"/>
  <c r="AK50" i="44"/>
  <c r="AK49" i="44"/>
  <c r="AK48" i="44"/>
  <c r="AK47" i="44"/>
  <c r="AK46" i="44"/>
  <c r="AK45" i="44"/>
  <c r="AK44" i="44"/>
  <c r="AK43" i="44"/>
  <c r="AK42" i="44"/>
  <c r="AK41" i="44"/>
  <c r="AK40" i="44"/>
  <c r="AK39" i="44"/>
  <c r="AK38" i="44"/>
  <c r="AK37" i="44"/>
  <c r="AK36" i="44"/>
  <c r="AK35" i="44"/>
  <c r="AK34" i="44"/>
  <c r="AK33" i="44"/>
  <c r="AK32" i="44"/>
  <c r="AK31" i="44"/>
  <c r="AK30" i="44"/>
  <c r="AK29" i="44"/>
  <c r="AK28" i="44"/>
  <c r="AK27" i="44"/>
  <c r="AK26" i="44"/>
  <c r="AK25" i="44"/>
  <c r="AK24" i="44"/>
  <c r="AK23" i="44"/>
  <c r="AK22" i="44"/>
  <c r="AK21" i="44"/>
  <c r="AK20" i="44"/>
  <c r="AK19" i="44"/>
  <c r="AK18" i="44"/>
  <c r="AK17" i="44"/>
  <c r="AK16" i="44"/>
  <c r="AK15" i="44"/>
  <c r="AK14" i="44"/>
  <c r="AK13" i="44"/>
  <c r="AK12" i="44"/>
  <c r="AK11" i="44"/>
  <c r="AK10" i="44"/>
  <c r="AK9" i="44"/>
  <c r="AK8" i="44"/>
  <c r="AL34" i="44" s="1"/>
  <c r="AJ8" i="44"/>
  <c r="AE8" i="44"/>
  <c r="AB8" i="44"/>
  <c r="Y8" i="44"/>
  <c r="V8" i="44"/>
  <c r="S8" i="44"/>
  <c r="Q8" i="44"/>
  <c r="O8" i="44"/>
  <c r="M8" i="44"/>
  <c r="K8" i="44"/>
  <c r="I8" i="44"/>
  <c r="F8" i="44"/>
  <c r="C8" i="44"/>
  <c r="C6" i="44" s="1"/>
  <c r="B8" i="44"/>
  <c r="B7" i="44" s="1"/>
  <c r="I4" i="44"/>
  <c r="Q6" i="44" s="1"/>
  <c r="C23" i="35" l="1"/>
  <c r="G23" i="35"/>
  <c r="E21" i="35"/>
  <c r="D20" i="35"/>
  <c r="D16" i="35"/>
  <c r="D12" i="35"/>
  <c r="D7" i="35"/>
  <c r="C6" i="35"/>
  <c r="G22" i="35"/>
  <c r="C22" i="35"/>
  <c r="D6" i="35"/>
  <c r="D23" i="35"/>
  <c r="H23" i="35"/>
  <c r="D21" i="35"/>
  <c r="C20" i="35"/>
  <c r="C16" i="35"/>
  <c r="C12" i="35"/>
  <c r="C7" i="35"/>
  <c r="J22" i="35"/>
  <c r="F22" i="35"/>
  <c r="F23" i="35"/>
  <c r="E20" i="35"/>
  <c r="E7" i="35"/>
  <c r="D22" i="35"/>
  <c r="E23" i="35"/>
  <c r="I23" i="35"/>
  <c r="C21" i="35"/>
  <c r="E6" i="35"/>
  <c r="I22" i="35"/>
  <c r="E22" i="35"/>
  <c r="J23" i="35"/>
  <c r="E16" i="35"/>
  <c r="E12" i="35"/>
  <c r="H22" i="35"/>
  <c r="C10" i="35"/>
  <c r="E10" i="35"/>
  <c r="D10" i="35"/>
  <c r="J286" i="63"/>
  <c r="K16" i="1"/>
  <c r="L16" i="1" s="1"/>
  <c r="AG16" i="1"/>
  <c r="M6" i="44"/>
  <c r="AK16" i="1" s="1"/>
  <c r="D75" i="31"/>
  <c r="J75" i="31"/>
  <c r="K75" i="31" s="1"/>
  <c r="AL10" i="44"/>
  <c r="AL14" i="44"/>
  <c r="AL22" i="44"/>
  <c r="AL26" i="44"/>
  <c r="AL30" i="44"/>
  <c r="AE5" i="44"/>
  <c r="AE3" i="44" s="1"/>
  <c r="AO16" i="1" s="1"/>
  <c r="AL32" i="44"/>
  <c r="AL12" i="44"/>
  <c r="AG99" i="44"/>
  <c r="I6" i="44"/>
  <c r="AI16" i="1" s="1"/>
  <c r="V6" i="44"/>
  <c r="AC16" i="1"/>
  <c r="J241" i="63" s="1"/>
  <c r="AG98" i="44"/>
  <c r="F6" i="44"/>
  <c r="AH16" i="1" s="1"/>
  <c r="O6" i="44"/>
  <c r="AL16" i="1" s="1"/>
  <c r="Y6" i="44"/>
  <c r="AL9" i="44"/>
  <c r="AL11" i="44"/>
  <c r="AL13" i="44"/>
  <c r="AL15" i="44"/>
  <c r="AL17" i="44"/>
  <c r="AL19" i="44"/>
  <c r="AL24" i="44"/>
  <c r="AB6" i="44"/>
  <c r="K6" i="44"/>
  <c r="AJ16" i="1" s="1"/>
  <c r="S6" i="44"/>
  <c r="AE6" i="44"/>
  <c r="AL96" i="44"/>
  <c r="AL95" i="44"/>
  <c r="AL94" i="44"/>
  <c r="AL93" i="44"/>
  <c r="AL92" i="44"/>
  <c r="AL91" i="44"/>
  <c r="AL90" i="44"/>
  <c r="AL89" i="44"/>
  <c r="AL88" i="44"/>
  <c r="AL87" i="44"/>
  <c r="AL86" i="44"/>
  <c r="AL85" i="44"/>
  <c r="AL84" i="44"/>
  <c r="AL83" i="44"/>
  <c r="AL82" i="44"/>
  <c r="AL81" i="44"/>
  <c r="AL80" i="44"/>
  <c r="AL79" i="44"/>
  <c r="AL78" i="44"/>
  <c r="AL77" i="44"/>
  <c r="AL76" i="44"/>
  <c r="AL75" i="44"/>
  <c r="AL74" i="44"/>
  <c r="AL73" i="44"/>
  <c r="AL72" i="44"/>
  <c r="AL71" i="44"/>
  <c r="AL70" i="44"/>
  <c r="AL69" i="44"/>
  <c r="AL68" i="44"/>
  <c r="AL67" i="44"/>
  <c r="AL66" i="44"/>
  <c r="AL65" i="44"/>
  <c r="AL64" i="44"/>
  <c r="AL63" i="44"/>
  <c r="AL62" i="44"/>
  <c r="AL61" i="44"/>
  <c r="AL60" i="44"/>
  <c r="AL59" i="44"/>
  <c r="AL58" i="44"/>
  <c r="AL57" i="44"/>
  <c r="AL56" i="44"/>
  <c r="AL55" i="44"/>
  <c r="AL54" i="44"/>
  <c r="AL53" i="44"/>
  <c r="AL52" i="44"/>
  <c r="AL51" i="44"/>
  <c r="AL50" i="44"/>
  <c r="AL49" i="44"/>
  <c r="AL48" i="44"/>
  <c r="AL47" i="44"/>
  <c r="AL46" i="44"/>
  <c r="AL45" i="44"/>
  <c r="AL44" i="44"/>
  <c r="AL43" i="44"/>
  <c r="AL42" i="44"/>
  <c r="AL41" i="44"/>
  <c r="AL40" i="44"/>
  <c r="AL39" i="44"/>
  <c r="AL38" i="44"/>
  <c r="AL37" i="44"/>
  <c r="AL36" i="44"/>
  <c r="AL35" i="44"/>
  <c r="AL33" i="44"/>
  <c r="AL31" i="44"/>
  <c r="AL29" i="44"/>
  <c r="AL27" i="44"/>
  <c r="AL25" i="44"/>
  <c r="AL23" i="44"/>
  <c r="AL21" i="44"/>
  <c r="AL16" i="44"/>
  <c r="AL18" i="44"/>
  <c r="AL20" i="44"/>
  <c r="AL28" i="44"/>
  <c r="BA29" i="1"/>
  <c r="AZ29" i="1"/>
  <c r="AY29" i="1"/>
  <c r="AX29" i="1"/>
  <c r="AW29" i="1"/>
  <c r="AU29" i="1"/>
  <c r="AT29" i="1"/>
  <c r="AS29" i="1"/>
  <c r="AR29" i="1"/>
  <c r="P49" i="38"/>
  <c r="P27" i="38"/>
  <c r="O27" i="38"/>
  <c r="N27" i="38"/>
  <c r="P24" i="38"/>
  <c r="J196" i="63" l="1"/>
  <c r="J62" i="63"/>
  <c r="J421" i="63"/>
  <c r="J152" i="63"/>
  <c r="J376" i="63"/>
  <c r="J466" i="63"/>
  <c r="J331" i="63"/>
  <c r="J107" i="63"/>
  <c r="J17" i="63"/>
  <c r="H466" i="63"/>
  <c r="H376" i="63"/>
  <c r="I376" i="63" s="1"/>
  <c r="H421" i="63"/>
  <c r="H286" i="63"/>
  <c r="I286" i="63" s="1"/>
  <c r="N286" i="63" s="1"/>
  <c r="H331" i="63"/>
  <c r="H196" i="63"/>
  <c r="I196" i="63" s="1"/>
  <c r="N196" i="63" s="1"/>
  <c r="H241" i="63"/>
  <c r="H107" i="63"/>
  <c r="I107" i="63" s="1"/>
  <c r="H152" i="63"/>
  <c r="H17" i="63"/>
  <c r="I17" i="63" s="1"/>
  <c r="N17" i="63" s="1"/>
  <c r="H62" i="63"/>
  <c r="I62" i="63" s="1"/>
  <c r="N62" i="63" s="1"/>
  <c r="H5" i="44"/>
  <c r="BF16" i="1" s="1"/>
  <c r="AK94" i="41"/>
  <c r="AK93" i="41"/>
  <c r="AK92" i="41"/>
  <c r="AK91" i="41"/>
  <c r="AK90" i="41"/>
  <c r="AK89" i="41"/>
  <c r="AK88" i="41"/>
  <c r="AK87" i="41"/>
  <c r="AK86" i="41"/>
  <c r="AK85" i="41"/>
  <c r="AK84" i="41"/>
  <c r="AK83" i="41"/>
  <c r="AK82" i="41"/>
  <c r="AK81" i="41"/>
  <c r="AK80" i="41"/>
  <c r="AK79" i="41"/>
  <c r="AK78" i="41"/>
  <c r="AK77" i="41"/>
  <c r="AK76" i="41"/>
  <c r="AK75" i="41"/>
  <c r="AK74" i="41"/>
  <c r="AK73" i="41"/>
  <c r="AK72" i="41"/>
  <c r="AK71" i="41"/>
  <c r="AK70" i="41"/>
  <c r="AK69" i="41"/>
  <c r="AK68" i="41"/>
  <c r="AK67" i="41"/>
  <c r="AK66" i="41"/>
  <c r="AK65" i="41"/>
  <c r="AK64" i="41"/>
  <c r="AK63" i="41"/>
  <c r="AK62" i="41"/>
  <c r="AK61" i="41"/>
  <c r="AK60" i="41"/>
  <c r="AK59" i="41"/>
  <c r="AK58" i="41"/>
  <c r="AK57" i="41"/>
  <c r="AK56" i="41"/>
  <c r="AK55" i="41"/>
  <c r="AK54" i="41"/>
  <c r="AK53" i="41"/>
  <c r="AK52" i="41"/>
  <c r="AK51" i="41"/>
  <c r="AK50" i="41"/>
  <c r="AK49" i="41"/>
  <c r="AK48" i="41"/>
  <c r="AK47" i="41"/>
  <c r="AK46" i="41"/>
  <c r="AK45" i="41"/>
  <c r="J523" i="63" l="1"/>
  <c r="J568" i="63"/>
  <c r="J613" i="63"/>
  <c r="H613" i="63"/>
  <c r="I613" i="63" s="1"/>
  <c r="H568" i="63"/>
  <c r="I568" i="63" s="1"/>
  <c r="N568" i="63" s="1"/>
  <c r="I466" i="63"/>
  <c r="N466" i="63" s="1"/>
  <c r="H523" i="63"/>
  <c r="I523" i="63" s="1"/>
  <c r="I421" i="63"/>
  <c r="N376" i="63"/>
  <c r="M376" i="63"/>
  <c r="K376" i="63"/>
  <c r="I331" i="63"/>
  <c r="K196" i="63"/>
  <c r="M107" i="63"/>
  <c r="N107" i="63"/>
  <c r="K17" i="63"/>
  <c r="M286" i="63"/>
  <c r="K286" i="63"/>
  <c r="M196" i="63"/>
  <c r="I241" i="63"/>
  <c r="N241" i="63" s="1"/>
  <c r="I152" i="63"/>
  <c r="N152" i="63" s="1"/>
  <c r="K107" i="63"/>
  <c r="M17" i="63"/>
  <c r="M62" i="63"/>
  <c r="K62" i="63"/>
  <c r="S33" i="41"/>
  <c r="T33" i="41"/>
  <c r="Z33" i="41"/>
  <c r="J17" i="1"/>
  <c r="G17" i="1"/>
  <c r="I17" i="1" s="1"/>
  <c r="G18" i="1"/>
  <c r="F17" i="1"/>
  <c r="C17" i="1"/>
  <c r="B17" i="1"/>
  <c r="AH99" i="43"/>
  <c r="AK96" i="43"/>
  <c r="AK95" i="43"/>
  <c r="AK94" i="43"/>
  <c r="AK93" i="43"/>
  <c r="AK92" i="43"/>
  <c r="AK91" i="43"/>
  <c r="AK90" i="43"/>
  <c r="AK89" i="43"/>
  <c r="AK88" i="43"/>
  <c r="AK87" i="43"/>
  <c r="AK86" i="43"/>
  <c r="AK85" i="43"/>
  <c r="AK84" i="43"/>
  <c r="AK83" i="43"/>
  <c r="AK82" i="43"/>
  <c r="AK81" i="43"/>
  <c r="AK80" i="43"/>
  <c r="AK79" i="43"/>
  <c r="AK78" i="43"/>
  <c r="AK77" i="43"/>
  <c r="AK76" i="43"/>
  <c r="AK75" i="43"/>
  <c r="AK74" i="43"/>
  <c r="AK73" i="43"/>
  <c r="AK72" i="43"/>
  <c r="AK71" i="43"/>
  <c r="AK70" i="43"/>
  <c r="AK69" i="43"/>
  <c r="AK68" i="43"/>
  <c r="AK67" i="43"/>
  <c r="AK66" i="43"/>
  <c r="AK65" i="43"/>
  <c r="AK64" i="43"/>
  <c r="AK63" i="43"/>
  <c r="AK62" i="43"/>
  <c r="AK61" i="43"/>
  <c r="AK60" i="43"/>
  <c r="AK59" i="43"/>
  <c r="AK58" i="43"/>
  <c r="AK57" i="43"/>
  <c r="AK56" i="43"/>
  <c r="AK55" i="43"/>
  <c r="AK54" i="43"/>
  <c r="AK53" i="43"/>
  <c r="AK52" i="43"/>
  <c r="AK51" i="43"/>
  <c r="AK50" i="43"/>
  <c r="AK49" i="43"/>
  <c r="AK48" i="43"/>
  <c r="AK47" i="43"/>
  <c r="AK46" i="43"/>
  <c r="AK45" i="43"/>
  <c r="AK44" i="43"/>
  <c r="AK43" i="43"/>
  <c r="AK42" i="43"/>
  <c r="AK41" i="43"/>
  <c r="AK40" i="43"/>
  <c r="AK39" i="43"/>
  <c r="AK38" i="43"/>
  <c r="AK37" i="43"/>
  <c r="AK36" i="43"/>
  <c r="AK35" i="43"/>
  <c r="AK34" i="43"/>
  <c r="AK33" i="43"/>
  <c r="AK32" i="43"/>
  <c r="AK31" i="43"/>
  <c r="AK30" i="43"/>
  <c r="AK29" i="43"/>
  <c r="AK28" i="43"/>
  <c r="AK27" i="43"/>
  <c r="AK26" i="43"/>
  <c r="AK25" i="43"/>
  <c r="AK24" i="43"/>
  <c r="AK23" i="43"/>
  <c r="AK22" i="43"/>
  <c r="AK21" i="43"/>
  <c r="AK20" i="43"/>
  <c r="AK19" i="43"/>
  <c r="AK18" i="43"/>
  <c r="AK17" i="43"/>
  <c r="AK16" i="43"/>
  <c r="AK15" i="43"/>
  <c r="AK14" i="43"/>
  <c r="AK13" i="43"/>
  <c r="AK12" i="43"/>
  <c r="AK11" i="43"/>
  <c r="AK10" i="43"/>
  <c r="AK9" i="43"/>
  <c r="AK8" i="43"/>
  <c r="AL41" i="43" s="1"/>
  <c r="AJ8" i="43"/>
  <c r="AE8" i="43"/>
  <c r="AB8" i="43"/>
  <c r="Y8" i="43"/>
  <c r="V8" i="43"/>
  <c r="S8" i="43"/>
  <c r="Q8" i="43"/>
  <c r="O8" i="43"/>
  <c r="M8" i="43"/>
  <c r="K8" i="43"/>
  <c r="I8" i="43"/>
  <c r="F8" i="43"/>
  <c r="C8" i="43"/>
  <c r="C6" i="43" s="1"/>
  <c r="AG17" i="1" s="1"/>
  <c r="B8" i="43"/>
  <c r="B7" i="43" s="1"/>
  <c r="K17" i="1"/>
  <c r="K613" i="63" l="1"/>
  <c r="O32" i="1"/>
  <c r="T32" i="1" s="1"/>
  <c r="U32" i="1" s="1"/>
  <c r="R40" i="1"/>
  <c r="M613" i="63"/>
  <c r="N613" i="63"/>
  <c r="K568" i="63"/>
  <c r="M568" i="63"/>
  <c r="K466" i="63"/>
  <c r="M466" i="63"/>
  <c r="M523" i="63"/>
  <c r="K523" i="63"/>
  <c r="N523" i="63"/>
  <c r="N421" i="63"/>
  <c r="M421" i="63"/>
  <c r="K421" i="63"/>
  <c r="N331" i="63"/>
  <c r="M331" i="63"/>
  <c r="K331" i="63"/>
  <c r="M152" i="63"/>
  <c r="M241" i="63"/>
  <c r="K241" i="63"/>
  <c r="K152" i="63"/>
  <c r="O47" i="1"/>
  <c r="P32" i="1"/>
  <c r="H8" i="33"/>
  <c r="V32" i="1"/>
  <c r="AL11" i="43"/>
  <c r="AG98" i="43"/>
  <c r="L17" i="1"/>
  <c r="S6" i="43"/>
  <c r="AN17" i="1" s="1"/>
  <c r="AL15" i="43"/>
  <c r="V6" i="43"/>
  <c r="K6" i="43"/>
  <c r="AJ17" i="1" s="1"/>
  <c r="AE6" i="43"/>
  <c r="F6" i="43"/>
  <c r="AH17" i="1" s="1"/>
  <c r="Y6" i="43"/>
  <c r="I6" i="43"/>
  <c r="AI17" i="1" s="1"/>
  <c r="O6" i="43"/>
  <c r="AL17" i="1" s="1"/>
  <c r="M6" i="43"/>
  <c r="AK17" i="1" s="1"/>
  <c r="AC17" i="1"/>
  <c r="J6" i="63" s="1"/>
  <c r="Q6" i="43"/>
  <c r="AE5" i="43"/>
  <c r="AE3" i="43" s="1"/>
  <c r="AO17" i="1" s="1"/>
  <c r="AL17" i="43"/>
  <c r="AL31" i="43"/>
  <c r="AL29" i="43"/>
  <c r="AL43" i="43"/>
  <c r="AL9" i="43"/>
  <c r="AL13" i="43"/>
  <c r="AL35" i="43"/>
  <c r="AL39" i="43"/>
  <c r="AL30" i="43"/>
  <c r="AG99" i="43"/>
  <c r="AL34" i="43"/>
  <c r="AL38" i="43"/>
  <c r="AL42" i="43"/>
  <c r="AB6" i="43"/>
  <c r="AL33" i="43"/>
  <c r="AL37" i="43"/>
  <c r="AL96" i="43"/>
  <c r="AL95" i="43"/>
  <c r="AL94" i="43"/>
  <c r="AL93" i="43"/>
  <c r="AL92" i="43"/>
  <c r="AL91" i="43"/>
  <c r="AL90" i="43"/>
  <c r="AL89" i="43"/>
  <c r="AL88" i="43"/>
  <c r="AL87" i="43"/>
  <c r="AL86" i="43"/>
  <c r="AL85" i="43"/>
  <c r="AL84" i="43"/>
  <c r="AL83" i="43"/>
  <c r="AL82" i="43"/>
  <c r="AL81" i="43"/>
  <c r="AL80" i="43"/>
  <c r="AL79" i="43"/>
  <c r="AL78" i="43"/>
  <c r="AL77" i="43"/>
  <c r="AL76" i="43"/>
  <c r="AL75" i="43"/>
  <c r="AL74" i="43"/>
  <c r="AL73" i="43"/>
  <c r="AL72" i="43"/>
  <c r="AL71" i="43"/>
  <c r="AL70" i="43"/>
  <c r="AL69" i="43"/>
  <c r="AL68" i="43"/>
  <c r="AL67" i="43"/>
  <c r="AL66" i="43"/>
  <c r="AL65" i="43"/>
  <c r="AL64" i="43"/>
  <c r="AL63" i="43"/>
  <c r="AL62" i="43"/>
  <c r="AL61" i="43"/>
  <c r="AL60" i="43"/>
  <c r="AL59" i="43"/>
  <c r="AL58" i="43"/>
  <c r="AL57" i="43"/>
  <c r="AL56" i="43"/>
  <c r="AL55" i="43"/>
  <c r="AL54" i="43"/>
  <c r="AL53" i="43"/>
  <c r="AL52" i="43"/>
  <c r="AL51" i="43"/>
  <c r="AL50" i="43"/>
  <c r="AL49" i="43"/>
  <c r="AL48" i="43"/>
  <c r="AL47" i="43"/>
  <c r="AL46" i="43"/>
  <c r="AL45" i="43"/>
  <c r="AL44" i="43"/>
  <c r="AL10" i="43"/>
  <c r="AL12" i="43"/>
  <c r="AL14" i="43"/>
  <c r="AL16" i="43"/>
  <c r="AL18" i="43"/>
  <c r="AL19" i="43"/>
  <c r="AL20" i="43"/>
  <c r="AL21" i="43"/>
  <c r="AL22" i="43"/>
  <c r="AL23" i="43"/>
  <c r="AL24" i="43"/>
  <c r="AL25" i="43"/>
  <c r="AL26" i="43"/>
  <c r="AL27" i="43"/>
  <c r="AL28" i="43"/>
  <c r="AL32" i="43"/>
  <c r="AL36" i="43"/>
  <c r="AL40" i="43"/>
  <c r="H6" i="63" l="1"/>
  <c r="I6" i="63" s="1"/>
  <c r="N6" i="63" s="1"/>
  <c r="W32" i="1"/>
  <c r="R47" i="1"/>
  <c r="T47" i="1" s="1"/>
  <c r="P47" i="1"/>
  <c r="V47" i="1"/>
  <c r="W47" i="1" s="1"/>
  <c r="H5" i="43"/>
  <c r="BF17" i="1" s="1"/>
  <c r="M17" i="1"/>
  <c r="G20" i="1"/>
  <c r="I18" i="1"/>
  <c r="G21" i="1"/>
  <c r="I21" i="1" s="1"/>
  <c r="J20" i="1"/>
  <c r="J18" i="1"/>
  <c r="M6" i="63" l="1"/>
  <c r="K6" i="63"/>
  <c r="X47" i="1"/>
  <c r="I20" i="1"/>
  <c r="F20" i="1"/>
  <c r="C20" i="1"/>
  <c r="B20" i="1"/>
  <c r="O33" i="1" s="1"/>
  <c r="AK96" i="42"/>
  <c r="AK95" i="42"/>
  <c r="AK94" i="42"/>
  <c r="AK93" i="42"/>
  <c r="AK92" i="42"/>
  <c r="AK91" i="42"/>
  <c r="AK90" i="42"/>
  <c r="AK89" i="42"/>
  <c r="AK88" i="42"/>
  <c r="AK87" i="42"/>
  <c r="AK86" i="42"/>
  <c r="AK85" i="42"/>
  <c r="AK84" i="42"/>
  <c r="AK83" i="42"/>
  <c r="AK82" i="42"/>
  <c r="AK81" i="42"/>
  <c r="AK80" i="42"/>
  <c r="AK79" i="42"/>
  <c r="AK78" i="42"/>
  <c r="AK77" i="42"/>
  <c r="AK76" i="42"/>
  <c r="AK75" i="42"/>
  <c r="AK74" i="42"/>
  <c r="AK73" i="42"/>
  <c r="AK72" i="42"/>
  <c r="AK71" i="42"/>
  <c r="AK70" i="42"/>
  <c r="AK69" i="42"/>
  <c r="AK68" i="42"/>
  <c r="AK67" i="42"/>
  <c r="AK66" i="42"/>
  <c r="AK65" i="42"/>
  <c r="AK64" i="42"/>
  <c r="AK63" i="42"/>
  <c r="AK62" i="42"/>
  <c r="AK61" i="42"/>
  <c r="AK60" i="42"/>
  <c r="AK59" i="42"/>
  <c r="AK58" i="42"/>
  <c r="AK57" i="42"/>
  <c r="AK56" i="42"/>
  <c r="AK55" i="42"/>
  <c r="AK54" i="42"/>
  <c r="AK53" i="42"/>
  <c r="AK52" i="42"/>
  <c r="AK51" i="42"/>
  <c r="AK50" i="42"/>
  <c r="AK49" i="42"/>
  <c r="AK48" i="42"/>
  <c r="AK47" i="42"/>
  <c r="AK46" i="42"/>
  <c r="AK45" i="42"/>
  <c r="AH99" i="42"/>
  <c r="AK44" i="42"/>
  <c r="AK43" i="42"/>
  <c r="AK42" i="42"/>
  <c r="AK41" i="42"/>
  <c r="AK40" i="42"/>
  <c r="AK39" i="42"/>
  <c r="AK38" i="42"/>
  <c r="AK37" i="42"/>
  <c r="AK36" i="42"/>
  <c r="AK35" i="42"/>
  <c r="AK34" i="42"/>
  <c r="AK33" i="42"/>
  <c r="AK32" i="42"/>
  <c r="AK31" i="42"/>
  <c r="AK30" i="42"/>
  <c r="AK29" i="42"/>
  <c r="AK28" i="42"/>
  <c r="AK27" i="42"/>
  <c r="AK26" i="42"/>
  <c r="AK25" i="42"/>
  <c r="AK24" i="42"/>
  <c r="AK23" i="42"/>
  <c r="AK22" i="42"/>
  <c r="AK21" i="42"/>
  <c r="AK20" i="42"/>
  <c r="AK19" i="42"/>
  <c r="AK18" i="42"/>
  <c r="AK17" i="42"/>
  <c r="AK16" i="42"/>
  <c r="AK15" i="42"/>
  <c r="AK14" i="42"/>
  <c r="AK13" i="42"/>
  <c r="AK12" i="42"/>
  <c r="AK11" i="42"/>
  <c r="AK10" i="42"/>
  <c r="S8" i="42"/>
  <c r="AK9" i="42"/>
  <c r="AK8" i="42"/>
  <c r="AJ8" i="42"/>
  <c r="AE8" i="42"/>
  <c r="AB8" i="42"/>
  <c r="Y8" i="42"/>
  <c r="AE5" i="42" s="1"/>
  <c r="V8" i="42"/>
  <c r="Q8" i="42"/>
  <c r="O8" i="42"/>
  <c r="M8" i="42"/>
  <c r="K8" i="42"/>
  <c r="I8" i="42"/>
  <c r="F8" i="42"/>
  <c r="C8" i="42"/>
  <c r="C6" i="42" s="1"/>
  <c r="B8" i="42"/>
  <c r="B7" i="42" s="1"/>
  <c r="I4" i="42"/>
  <c r="AL30" i="42" l="1"/>
  <c r="F6" i="42"/>
  <c r="AH20" i="1" s="1"/>
  <c r="O48" i="1"/>
  <c r="H5" i="42"/>
  <c r="BF20" i="1" s="1"/>
  <c r="AL48" i="42"/>
  <c r="AL56" i="42"/>
  <c r="AL64" i="42"/>
  <c r="AL72" i="42"/>
  <c r="AL80" i="42"/>
  <c r="AL88" i="42"/>
  <c r="AL49" i="42"/>
  <c r="AL57" i="42"/>
  <c r="AL65" i="42"/>
  <c r="AL73" i="42"/>
  <c r="AL81" i="42"/>
  <c r="AL89" i="42"/>
  <c r="AL46" i="42"/>
  <c r="AL50" i="42"/>
  <c r="AL54" i="42"/>
  <c r="AL58" i="42"/>
  <c r="AL62" i="42"/>
  <c r="AL66" i="42"/>
  <c r="AL70" i="42"/>
  <c r="AL74" i="42"/>
  <c r="AL78" i="42"/>
  <c r="AL82" i="42"/>
  <c r="AL86" i="42"/>
  <c r="AL90" i="42"/>
  <c r="AL94" i="42"/>
  <c r="AL52" i="42"/>
  <c r="AL60" i="42"/>
  <c r="AL68" i="42"/>
  <c r="AL76" i="42"/>
  <c r="AL84" i="42"/>
  <c r="AL92" i="42"/>
  <c r="AL96" i="42"/>
  <c r="AL45" i="42"/>
  <c r="AL53" i="42"/>
  <c r="AL61" i="42"/>
  <c r="AL69" i="42"/>
  <c r="AL77" i="42"/>
  <c r="AL85" i="42"/>
  <c r="AL93" i="42"/>
  <c r="AL47" i="42"/>
  <c r="AL51" i="42"/>
  <c r="AL55" i="42"/>
  <c r="AL59" i="42"/>
  <c r="AL63" i="42"/>
  <c r="AL67" i="42"/>
  <c r="AL71" i="42"/>
  <c r="AL75" i="42"/>
  <c r="AL79" i="42"/>
  <c r="AL83" i="42"/>
  <c r="AL87" i="42"/>
  <c r="AL91" i="42"/>
  <c r="AL95" i="42"/>
  <c r="AE6" i="42"/>
  <c r="K20" i="1"/>
  <c r="S6" i="42"/>
  <c r="AN20" i="1" s="1"/>
  <c r="AN3" i="1" s="1"/>
  <c r="AL16" i="42"/>
  <c r="AL24" i="42"/>
  <c r="AL12" i="42"/>
  <c r="AL20" i="42"/>
  <c r="AL32" i="42"/>
  <c r="AL14" i="42"/>
  <c r="AE3" i="42"/>
  <c r="AO20" i="1" s="1"/>
  <c r="K6" i="42"/>
  <c r="AJ20" i="1" s="1"/>
  <c r="M6" i="42"/>
  <c r="AK20" i="1" s="1"/>
  <c r="AC20" i="1"/>
  <c r="I6" i="42"/>
  <c r="AI20" i="1" s="1"/>
  <c r="AG20" i="1"/>
  <c r="Q6" i="42"/>
  <c r="V6" i="42"/>
  <c r="AB6" i="42"/>
  <c r="AL11" i="42"/>
  <c r="AL17" i="42"/>
  <c r="AL27" i="42"/>
  <c r="AG99" i="42"/>
  <c r="AL35" i="42"/>
  <c r="AL39" i="42"/>
  <c r="AL43" i="42"/>
  <c r="AL15" i="42"/>
  <c r="AL21" i="42"/>
  <c r="AL31" i="42"/>
  <c r="AL34" i="42"/>
  <c r="AL38" i="42"/>
  <c r="AL42" i="42"/>
  <c r="AL10" i="42"/>
  <c r="AL13" i="42"/>
  <c r="AL19" i="42"/>
  <c r="AL25" i="42"/>
  <c r="AL28" i="42"/>
  <c r="AL33" i="42"/>
  <c r="AL37" i="42"/>
  <c r="AL41" i="42"/>
  <c r="AL9" i="42"/>
  <c r="AL23" i="42"/>
  <c r="AL29" i="42"/>
  <c r="AL36" i="42"/>
  <c r="AL40" i="42"/>
  <c r="AL44" i="42"/>
  <c r="Y6" i="42"/>
  <c r="O6" i="42"/>
  <c r="AL20" i="1" s="1"/>
  <c r="AL18" i="42"/>
  <c r="AL22" i="42"/>
  <c r="AL26" i="42"/>
  <c r="AG98" i="42"/>
  <c r="F8" i="41"/>
  <c r="L20" i="1" l="1"/>
  <c r="F18" i="1"/>
  <c r="C18" i="1"/>
  <c r="B18" i="1"/>
  <c r="V48" i="1" s="1"/>
  <c r="W48" i="1" s="1"/>
  <c r="J53" i="63" l="1"/>
  <c r="J98" i="63"/>
  <c r="J8" i="63"/>
  <c r="H53" i="63"/>
  <c r="H98" i="63"/>
  <c r="M20" i="1"/>
  <c r="H8" i="63"/>
  <c r="V33" i="1"/>
  <c r="V35" i="1" s="1"/>
  <c r="R41" i="1"/>
  <c r="T41" i="1" s="1"/>
  <c r="P48" i="1"/>
  <c r="R48" i="1"/>
  <c r="T48" i="1" s="1"/>
  <c r="X48" i="1" s="1"/>
  <c r="V41" i="1"/>
  <c r="P41" i="1"/>
  <c r="H10" i="33"/>
  <c r="T33" i="1"/>
  <c r="P33" i="1"/>
  <c r="O8" i="40"/>
  <c r="S32" i="41"/>
  <c r="S31" i="41"/>
  <c r="S30" i="41"/>
  <c r="S29" i="41"/>
  <c r="S28" i="41"/>
  <c r="S27" i="41"/>
  <c r="S26" i="41"/>
  <c r="S25" i="41"/>
  <c r="S24" i="41"/>
  <c r="S23" i="41"/>
  <c r="S22" i="41"/>
  <c r="S21" i="41"/>
  <c r="S20" i="41"/>
  <c r="S19" i="41"/>
  <c r="S18" i="41"/>
  <c r="S17" i="41"/>
  <c r="S16" i="41"/>
  <c r="S15" i="41"/>
  <c r="S14" i="41"/>
  <c r="S13" i="41"/>
  <c r="S12" i="41"/>
  <c r="S11" i="41"/>
  <c r="S10" i="41"/>
  <c r="Z32" i="41"/>
  <c r="Z31" i="41"/>
  <c r="Z30" i="41"/>
  <c r="Z29" i="41"/>
  <c r="Z28" i="41"/>
  <c r="Z27" i="41"/>
  <c r="Z26" i="41"/>
  <c r="Z25" i="41"/>
  <c r="Z24" i="41"/>
  <c r="Z23" i="41"/>
  <c r="Z22" i="41"/>
  <c r="Z21" i="41"/>
  <c r="Z20" i="41"/>
  <c r="Z19" i="41"/>
  <c r="Z18" i="41"/>
  <c r="Z17" i="41"/>
  <c r="Z16" i="41"/>
  <c r="Z15" i="41"/>
  <c r="Z14" i="41"/>
  <c r="Z13" i="41"/>
  <c r="Z12" i="41"/>
  <c r="Z11" i="41"/>
  <c r="T32" i="41"/>
  <c r="T31" i="41"/>
  <c r="T30" i="41"/>
  <c r="T29" i="41"/>
  <c r="T28" i="41"/>
  <c r="T27" i="41"/>
  <c r="T26" i="41"/>
  <c r="T25" i="41"/>
  <c r="T24" i="41"/>
  <c r="T23" i="41"/>
  <c r="T22" i="41"/>
  <c r="T21" i="41"/>
  <c r="T20" i="41"/>
  <c r="T19" i="41"/>
  <c r="T18" i="41"/>
  <c r="T17" i="41"/>
  <c r="T16" i="41"/>
  <c r="T15" i="41"/>
  <c r="T14" i="41"/>
  <c r="T13" i="41"/>
  <c r="T12" i="41"/>
  <c r="T11" i="41"/>
  <c r="Z10" i="41"/>
  <c r="T10" i="41"/>
  <c r="I53" i="63" l="1"/>
  <c r="I98" i="63"/>
  <c r="N98" i="63" s="1"/>
  <c r="I8" i="63"/>
  <c r="N8" i="63" s="1"/>
  <c r="U33" i="1"/>
  <c r="W33" i="1" s="1"/>
  <c r="S8" i="41"/>
  <c r="B3" i="41" s="1"/>
  <c r="W8" i="40"/>
  <c r="Y8" i="41"/>
  <c r="Q8" i="41"/>
  <c r="O8" i="41"/>
  <c r="AH99" i="41"/>
  <c r="AK96" i="41"/>
  <c r="AK95" i="41"/>
  <c r="AK44" i="41"/>
  <c r="AK43" i="41"/>
  <c r="AK42" i="41"/>
  <c r="AK41" i="41"/>
  <c r="AK40" i="41"/>
  <c r="AK39" i="41"/>
  <c r="AK38" i="41"/>
  <c r="AK37" i="41"/>
  <c r="AK36" i="41"/>
  <c r="AK35" i="41"/>
  <c r="AK34" i="41"/>
  <c r="AK33" i="41"/>
  <c r="AK32" i="41"/>
  <c r="AK31" i="41"/>
  <c r="AK30" i="41"/>
  <c r="AK29" i="41"/>
  <c r="AK28" i="41"/>
  <c r="AK27" i="41"/>
  <c r="AK26" i="41"/>
  <c r="AK25" i="41"/>
  <c r="AK24" i="41"/>
  <c r="AK23" i="41"/>
  <c r="AK22" i="41"/>
  <c r="AK21" i="41"/>
  <c r="AK20" i="41"/>
  <c r="AK19" i="41"/>
  <c r="AK18" i="41"/>
  <c r="AK17" i="41"/>
  <c r="AK16" i="41"/>
  <c r="AK15" i="41"/>
  <c r="AK14" i="41"/>
  <c r="AK13" i="41"/>
  <c r="AK12" i="41"/>
  <c r="AK11" i="41"/>
  <c r="AK10" i="41"/>
  <c r="AK9" i="41"/>
  <c r="AK8" i="41"/>
  <c r="AJ8" i="41"/>
  <c r="AE8" i="41"/>
  <c r="AB8" i="41"/>
  <c r="V8" i="41"/>
  <c r="M8" i="41"/>
  <c r="K8" i="41"/>
  <c r="I8" i="41"/>
  <c r="C8" i="41"/>
  <c r="C6" i="41" s="1"/>
  <c r="B8" i="41"/>
  <c r="B7" i="41" s="1"/>
  <c r="I4" i="41"/>
  <c r="K18" i="1" s="1"/>
  <c r="K53" i="63" l="1"/>
  <c r="N53" i="63"/>
  <c r="M53" i="63"/>
  <c r="K98" i="63"/>
  <c r="M98" i="63"/>
  <c r="M8" i="63"/>
  <c r="K8" i="63"/>
  <c r="U35" i="1"/>
  <c r="W35" i="1" s="1"/>
  <c r="AG99" i="41"/>
  <c r="F6" i="41"/>
  <c r="AH18" i="1" s="1"/>
  <c r="AL47" i="41"/>
  <c r="AL63" i="41"/>
  <c r="AL77" i="41"/>
  <c r="AL45" i="41"/>
  <c r="AL61" i="41"/>
  <c r="AL79" i="41"/>
  <c r="AL91" i="41"/>
  <c r="AL52" i="41"/>
  <c r="AL60" i="41"/>
  <c r="AL68" i="41"/>
  <c r="AL76" i="41"/>
  <c r="AL84" i="41"/>
  <c r="AL92" i="41"/>
  <c r="AL55" i="41"/>
  <c r="AL53" i="41"/>
  <c r="AL85" i="41"/>
  <c r="AL56" i="41"/>
  <c r="AL72" i="41"/>
  <c r="AL88" i="41"/>
  <c r="AL59" i="41"/>
  <c r="AL93" i="41"/>
  <c r="AL57" i="41"/>
  <c r="AL75" i="41"/>
  <c r="AL50" i="41"/>
  <c r="AL58" i="41"/>
  <c r="AL74" i="41"/>
  <c r="AL90" i="41"/>
  <c r="AL51" i="41"/>
  <c r="AL67" i="41"/>
  <c r="AL83" i="41"/>
  <c r="AL49" i="41"/>
  <c r="AL65" i="41"/>
  <c r="AL81" i="41"/>
  <c r="AL46" i="41"/>
  <c r="AL54" i="41"/>
  <c r="AL62" i="41"/>
  <c r="AL70" i="41"/>
  <c r="AL78" i="41"/>
  <c r="AL86" i="41"/>
  <c r="AL94" i="41"/>
  <c r="AL69" i="41"/>
  <c r="AL87" i="41"/>
  <c r="AL71" i="41"/>
  <c r="AL48" i="41"/>
  <c r="AL64" i="41"/>
  <c r="AL80" i="41"/>
  <c r="AL73" i="41"/>
  <c r="AL89" i="41"/>
  <c r="AL66" i="41"/>
  <c r="AL82" i="41"/>
  <c r="Q6" i="41"/>
  <c r="AM18" i="1" s="1"/>
  <c r="AM3" i="1" s="1"/>
  <c r="L18" i="1"/>
  <c r="K6" i="41"/>
  <c r="AJ18" i="1" s="1"/>
  <c r="AG18" i="1"/>
  <c r="Y6" i="41"/>
  <c r="AE6" i="41"/>
  <c r="O6" i="41"/>
  <c r="AL18" i="1" s="1"/>
  <c r="AE5" i="41"/>
  <c r="AE3" i="41" s="1"/>
  <c r="AO18" i="1" s="1"/>
  <c r="AL9" i="41"/>
  <c r="AL11" i="41"/>
  <c r="AL13" i="41"/>
  <c r="AL15" i="41"/>
  <c r="AL17" i="41"/>
  <c r="AL19" i="41"/>
  <c r="AL21" i="41"/>
  <c r="AL23" i="41"/>
  <c r="AL25" i="41"/>
  <c r="AL27" i="41"/>
  <c r="AL29" i="41"/>
  <c r="AL31" i="41"/>
  <c r="AL33" i="41"/>
  <c r="AL35" i="41"/>
  <c r="AL37" i="41"/>
  <c r="AL39" i="41"/>
  <c r="AL41" i="41"/>
  <c r="AL43" i="41"/>
  <c r="AL95" i="41"/>
  <c r="AL10" i="41"/>
  <c r="AL12" i="41"/>
  <c r="AL14" i="41"/>
  <c r="AL16" i="41"/>
  <c r="AL18" i="41"/>
  <c r="AL20" i="41"/>
  <c r="AL22" i="41"/>
  <c r="AL24" i="41"/>
  <c r="AL26" i="41"/>
  <c r="AL28" i="41"/>
  <c r="AL30" i="41"/>
  <c r="AL32" i="41"/>
  <c r="AL34" i="41"/>
  <c r="AL36" i="41"/>
  <c r="AL38" i="41"/>
  <c r="AL40" i="41"/>
  <c r="AL42" i="41"/>
  <c r="AL44" i="41"/>
  <c r="AL96" i="41"/>
  <c r="AC18" i="1"/>
  <c r="I6" i="41"/>
  <c r="AI18" i="1" s="1"/>
  <c r="V6" i="41"/>
  <c r="AG98" i="41"/>
  <c r="AB6" i="41"/>
  <c r="M6" i="41"/>
  <c r="AK18" i="1" s="1"/>
  <c r="Q8" i="40"/>
  <c r="H467" i="63" l="1"/>
  <c r="I467" i="63" s="1"/>
  <c r="H512" i="63"/>
  <c r="H614" i="63" s="1"/>
  <c r="I614" i="63" s="1"/>
  <c r="H377" i="63"/>
  <c r="I377" i="63" s="1"/>
  <c r="H422" i="63"/>
  <c r="H287" i="63"/>
  <c r="I287" i="63" s="1"/>
  <c r="N287" i="63" s="1"/>
  <c r="H332" i="63"/>
  <c r="H197" i="63"/>
  <c r="I197" i="63" s="1"/>
  <c r="N197" i="63" s="1"/>
  <c r="H242" i="63"/>
  <c r="I242" i="63" s="1"/>
  <c r="N242" i="63" s="1"/>
  <c r="H108" i="63"/>
  <c r="I108" i="63" s="1"/>
  <c r="H153" i="63"/>
  <c r="H18" i="63"/>
  <c r="I18" i="63" s="1"/>
  <c r="N18" i="63" s="1"/>
  <c r="H63" i="63"/>
  <c r="I63" i="63" s="1"/>
  <c r="N63" i="63" s="1"/>
  <c r="H5" i="41"/>
  <c r="AD32" i="1" s="1"/>
  <c r="AF49" i="40"/>
  <c r="B8" i="40"/>
  <c r="B7" i="40" s="1"/>
  <c r="AC8" i="40"/>
  <c r="Z8" i="40"/>
  <c r="T8" i="40"/>
  <c r="AC5" i="40" s="1"/>
  <c r="M8" i="40"/>
  <c r="K8" i="40"/>
  <c r="I8" i="40"/>
  <c r="C8" i="40"/>
  <c r="C6" i="40" s="1"/>
  <c r="K21" i="1"/>
  <c r="L21" i="1" s="1"/>
  <c r="F8" i="40"/>
  <c r="F12" i="31"/>
  <c r="E12" i="31"/>
  <c r="C12" i="31"/>
  <c r="N614" i="63" l="1"/>
  <c r="M614" i="63"/>
  <c r="H569" i="63"/>
  <c r="I569" i="63" s="1"/>
  <c r="I512" i="63"/>
  <c r="N467" i="63"/>
  <c r="M467" i="63"/>
  <c r="I422" i="63"/>
  <c r="N377" i="63"/>
  <c r="M377" i="63"/>
  <c r="I332" i="63"/>
  <c r="M108" i="63"/>
  <c r="N108" i="63"/>
  <c r="M287" i="63"/>
  <c r="M197" i="63"/>
  <c r="M242" i="63"/>
  <c r="I153" i="63"/>
  <c r="N153" i="63" s="1"/>
  <c r="M18" i="63"/>
  <c r="M63" i="63"/>
  <c r="H5" i="40"/>
  <c r="BF21" i="1" s="1"/>
  <c r="BF18" i="1"/>
  <c r="AG21" i="1"/>
  <c r="AC3" i="40"/>
  <c r="O6" i="40"/>
  <c r="AL21" i="1" s="1"/>
  <c r="AL3" i="1" s="1"/>
  <c r="W6" i="40"/>
  <c r="Q6" i="40"/>
  <c r="F6" i="40"/>
  <c r="AH21" i="1" s="1"/>
  <c r="AH3" i="1" s="1"/>
  <c r="K6" i="40"/>
  <c r="AJ21" i="1" s="1"/>
  <c r="AJ3" i="1" s="1"/>
  <c r="AC6" i="40"/>
  <c r="AC21" i="1"/>
  <c r="AC3" i="1" s="1"/>
  <c r="T6" i="40"/>
  <c r="Z6" i="40"/>
  <c r="I6" i="40"/>
  <c r="AI21" i="1" s="1"/>
  <c r="AI3" i="1" s="1"/>
  <c r="M6" i="40"/>
  <c r="AK21" i="1" s="1"/>
  <c r="AK3" i="1" s="1"/>
  <c r="D12" i="31"/>
  <c r="I12" i="31"/>
  <c r="J12" i="31" s="1"/>
  <c r="K12" i="31" s="1"/>
  <c r="N569" i="63" l="1"/>
  <c r="M569" i="63"/>
  <c r="N512" i="63"/>
  <c r="M512" i="63"/>
  <c r="N422" i="63"/>
  <c r="M422" i="63"/>
  <c r="N332" i="63"/>
  <c r="M332" i="63"/>
  <c r="M153" i="63"/>
  <c r="BF3" i="1"/>
  <c r="K3" i="1"/>
  <c r="Q149" i="31" l="1"/>
  <c r="Q6" i="31"/>
  <c r="Q22" i="31"/>
  <c r="M21" i="31"/>
  <c r="I72" i="31"/>
  <c r="D72" i="31"/>
  <c r="J72" i="31" l="1"/>
  <c r="K72" i="31" s="1"/>
  <c r="F11" i="31"/>
  <c r="C11" i="31"/>
  <c r="E11" i="31"/>
  <c r="I11" i="31" l="1"/>
  <c r="J11" i="31" s="1"/>
  <c r="K11" i="31" s="1"/>
  <c r="D11" i="31"/>
  <c r="E71" i="31" l="1"/>
  <c r="I71" i="31" s="1"/>
  <c r="C71" i="31"/>
  <c r="AB12" i="1"/>
  <c r="Y12" i="1"/>
  <c r="D71" i="31" l="1"/>
  <c r="J71" i="31"/>
  <c r="K71" i="31" s="1"/>
  <c r="AE46" i="40"/>
  <c r="AE45" i="40"/>
  <c r="AE44" i="40"/>
  <c r="AE43" i="40"/>
  <c r="AE42" i="40"/>
  <c r="AE41" i="40"/>
  <c r="AE40" i="40"/>
  <c r="AE39" i="40"/>
  <c r="AE38" i="40"/>
  <c r="AE37" i="40"/>
  <c r="AE36" i="40"/>
  <c r="AE35" i="40"/>
  <c r="AE34" i="40"/>
  <c r="AE33" i="40"/>
  <c r="AE32" i="40"/>
  <c r="AE31" i="40"/>
  <c r="AE30" i="40"/>
  <c r="AE29" i="40"/>
  <c r="AE28" i="40"/>
  <c r="AE27" i="40"/>
  <c r="AE26" i="40"/>
  <c r="AE49" i="40" l="1"/>
  <c r="AE48" i="40"/>
  <c r="E70" i="31"/>
  <c r="C70" i="31"/>
  <c r="D70" i="31" l="1"/>
  <c r="I70" i="31"/>
  <c r="O49" i="38"/>
  <c r="N49" i="38"/>
  <c r="J70" i="31" l="1"/>
  <c r="K70" i="31" s="1"/>
  <c r="C39" i="38"/>
  <c r="O24" i="38"/>
  <c r="C14" i="38"/>
  <c r="F10" i="31" l="1"/>
  <c r="E10" i="31"/>
  <c r="C10" i="31"/>
  <c r="F9" i="31"/>
  <c r="E9" i="31"/>
  <c r="C9" i="31"/>
  <c r="D10" i="31" l="1"/>
  <c r="I10" i="31"/>
  <c r="J10" i="31" s="1"/>
  <c r="D9" i="31"/>
  <c r="I9" i="31"/>
  <c r="K10" i="31" l="1"/>
  <c r="J9" i="31"/>
  <c r="K9" i="31" s="1"/>
  <c r="G8" i="31"/>
  <c r="F8" i="31"/>
  <c r="E8" i="31"/>
  <c r="C8" i="31"/>
  <c r="G7" i="31"/>
  <c r="F7" i="31"/>
  <c r="E7" i="31"/>
  <c r="C7" i="31"/>
  <c r="I184" i="31"/>
  <c r="J184" i="31" s="1"/>
  <c r="K184" i="31" s="1"/>
  <c r="I7" i="31" l="1"/>
  <c r="J7" i="31" s="1"/>
  <c r="K7" i="31" s="1"/>
  <c r="I8" i="31"/>
  <c r="J8" i="31" s="1"/>
  <c r="K8" i="31" s="1"/>
  <c r="D8" i="31"/>
  <c r="D7" i="31"/>
  <c r="I183" i="31"/>
  <c r="J183" i="31" s="1"/>
  <c r="K183" i="31" s="1"/>
  <c r="I182" i="31" l="1"/>
  <c r="D30" i="31"/>
  <c r="M148" i="31"/>
  <c r="M5" i="31"/>
  <c r="N148" i="31" l="1"/>
  <c r="N5" i="31"/>
  <c r="N21" i="31"/>
  <c r="J182" i="31"/>
  <c r="K182" i="31" s="1"/>
  <c r="N149" i="31"/>
  <c r="N22" i="31"/>
  <c r="N6" i="31"/>
  <c r="D74" i="31"/>
  <c r="I74" i="31"/>
  <c r="J74" i="31" s="1"/>
  <c r="K74" i="31" l="1"/>
  <c r="E68" i="31" l="1"/>
  <c r="C68" i="31"/>
  <c r="D68" i="31" s="1"/>
  <c r="I68" i="31" l="1"/>
  <c r="E67" i="31"/>
  <c r="C67" i="31"/>
  <c r="I67" i="31"/>
  <c r="J68" i="31" l="1"/>
  <c r="K68" i="31" s="1"/>
  <c r="J67" i="31"/>
  <c r="K67" i="31" s="1"/>
  <c r="D67" i="31"/>
  <c r="C66" i="31" l="1"/>
  <c r="E66" i="31"/>
  <c r="I66" i="31" s="1"/>
  <c r="J66" i="31" s="1"/>
  <c r="I181" i="31"/>
  <c r="J181" i="31" s="1"/>
  <c r="K181" i="31" l="1"/>
  <c r="D66" i="31"/>
  <c r="K66" i="31"/>
  <c r="C65" i="31"/>
  <c r="E65" i="31"/>
  <c r="D65" i="31" l="1"/>
  <c r="I65" i="31"/>
  <c r="J65" i="31" s="1"/>
  <c r="K65" i="31" l="1"/>
  <c r="D64" i="31"/>
  <c r="I64" i="31"/>
  <c r="J64" i="31" s="1"/>
  <c r="E63" i="31"/>
  <c r="C63" i="31"/>
  <c r="D63" i="31" l="1"/>
  <c r="K64" i="31"/>
  <c r="I63" i="31"/>
  <c r="J63" i="31" s="1"/>
  <c r="K63" i="31" s="1"/>
  <c r="E62" i="31"/>
  <c r="C62" i="31"/>
  <c r="E61" i="31"/>
  <c r="C61" i="31"/>
  <c r="D62" i="31" l="1"/>
  <c r="D61" i="31"/>
  <c r="I62" i="31"/>
  <c r="J62" i="31" s="1"/>
  <c r="I61" i="31"/>
  <c r="J61" i="31" s="1"/>
  <c r="K62" i="31" l="1"/>
  <c r="K61" i="31"/>
  <c r="E73" i="31"/>
  <c r="C73" i="31"/>
  <c r="D73" i="31" l="1"/>
  <c r="I73" i="31"/>
  <c r="J73" i="31" s="1"/>
  <c r="K73" i="31" l="1"/>
  <c r="N24" i="38" l="1"/>
  <c r="D60" i="31" l="1"/>
  <c r="I60" i="31"/>
  <c r="J60" i="31" l="1"/>
  <c r="K60" i="31" s="1"/>
  <c r="L45" i="7"/>
  <c r="K45" i="7"/>
  <c r="K44" i="7"/>
  <c r="J44" i="7"/>
  <c r="D99" i="57" l="1"/>
  <c r="D99" i="58"/>
  <c r="D99" i="55"/>
  <c r="D99" i="56"/>
  <c r="D99" i="53"/>
  <c r="D99" i="54"/>
  <c r="D99" i="51"/>
  <c r="D99" i="52"/>
  <c r="D99" i="49"/>
  <c r="D99" i="50"/>
  <c r="D99" i="47"/>
  <c r="D99" i="48"/>
  <c r="D99" i="44"/>
  <c r="D99" i="42"/>
  <c r="D99" i="43"/>
  <c r="D49" i="40"/>
  <c r="D99" i="41"/>
  <c r="H59" i="31"/>
  <c r="F59" i="31"/>
  <c r="E59" i="31"/>
  <c r="C59" i="31"/>
  <c r="C99" i="57" l="1"/>
  <c r="AH98" i="57" s="1"/>
  <c r="C99" i="58"/>
  <c r="Y102" i="55"/>
  <c r="C99" i="56"/>
  <c r="C99" i="53"/>
  <c r="Y102" i="53" s="1"/>
  <c r="C99" i="54"/>
  <c r="C99" i="51"/>
  <c r="AH98" i="51" s="1"/>
  <c r="C99" i="52"/>
  <c r="C99" i="49"/>
  <c r="Y102" i="49" s="1"/>
  <c r="C99" i="50"/>
  <c r="C99" i="47"/>
  <c r="Y102" i="47" s="1"/>
  <c r="C99" i="48"/>
  <c r="I59" i="31"/>
  <c r="J59" i="31" s="1"/>
  <c r="K59" i="31" s="1"/>
  <c r="D59" i="31"/>
  <c r="AB102" i="51" l="1"/>
  <c r="AB100" i="51" s="1"/>
  <c r="F102" i="51"/>
  <c r="S102" i="57"/>
  <c r="S100" i="57" s="1"/>
  <c r="J101" i="57"/>
  <c r="I102" i="57"/>
  <c r="B102" i="57"/>
  <c r="C102" i="57"/>
  <c r="Q102" i="57"/>
  <c r="Q100" i="57" s="1"/>
  <c r="AE102" i="57"/>
  <c r="M102" i="57"/>
  <c r="M100" i="57" s="1"/>
  <c r="O102" i="57"/>
  <c r="AB102" i="57"/>
  <c r="AB100" i="57" s="1"/>
  <c r="F102" i="57"/>
  <c r="K102" i="57"/>
  <c r="V102" i="57"/>
  <c r="V100" i="57" s="1"/>
  <c r="Y102" i="57"/>
  <c r="Y100" i="57" s="1"/>
  <c r="AB102" i="58"/>
  <c r="Q102" i="58"/>
  <c r="I102" i="58"/>
  <c r="Y102" i="58"/>
  <c r="O102" i="58"/>
  <c r="F102" i="58"/>
  <c r="J101" i="58"/>
  <c r="AE102" i="58"/>
  <c r="S102" i="58"/>
  <c r="B102" i="58"/>
  <c r="V102" i="58"/>
  <c r="M102" i="58"/>
  <c r="C102" i="58"/>
  <c r="K102" i="58"/>
  <c r="AH98" i="58"/>
  <c r="M102" i="55"/>
  <c r="AE102" i="55"/>
  <c r="J101" i="55"/>
  <c r="K102" i="55"/>
  <c r="O102" i="55"/>
  <c r="AH98" i="55"/>
  <c r="Y100" i="55" s="1"/>
  <c r="S102" i="55"/>
  <c r="V102" i="55"/>
  <c r="I102" i="55"/>
  <c r="AB102" i="55"/>
  <c r="B102" i="55"/>
  <c r="C102" i="55"/>
  <c r="F102" i="55"/>
  <c r="Q102" i="55"/>
  <c r="AB102" i="56"/>
  <c r="Q102" i="56"/>
  <c r="I102" i="56"/>
  <c r="Y102" i="56"/>
  <c r="O102" i="56"/>
  <c r="F102" i="56"/>
  <c r="J101" i="56"/>
  <c r="V102" i="56"/>
  <c r="M102" i="56"/>
  <c r="C102" i="56"/>
  <c r="AH98" i="56"/>
  <c r="S102" i="56"/>
  <c r="K102" i="56"/>
  <c r="B102" i="56"/>
  <c r="AE102" i="56"/>
  <c r="J101" i="53"/>
  <c r="B102" i="53"/>
  <c r="O102" i="53"/>
  <c r="I102" i="53"/>
  <c r="K102" i="53"/>
  <c r="AH98" i="53"/>
  <c r="Y100" i="53" s="1"/>
  <c r="M102" i="53"/>
  <c r="AE102" i="53"/>
  <c r="C102" i="53"/>
  <c r="F102" i="53"/>
  <c r="Q102" i="53"/>
  <c r="AB102" i="53"/>
  <c r="S102" i="53"/>
  <c r="V102" i="53"/>
  <c r="AB102" i="54"/>
  <c r="Q102" i="54"/>
  <c r="I102" i="54"/>
  <c r="Y102" i="54"/>
  <c r="O102" i="54"/>
  <c r="F102" i="54"/>
  <c r="J101" i="54"/>
  <c r="V102" i="54"/>
  <c r="M102" i="54"/>
  <c r="C102" i="54"/>
  <c r="AH98" i="54"/>
  <c r="S102" i="54"/>
  <c r="K102" i="54"/>
  <c r="B102" i="54"/>
  <c r="AE102" i="54"/>
  <c r="AE102" i="51"/>
  <c r="V102" i="51"/>
  <c r="J101" i="51"/>
  <c r="Y102" i="51"/>
  <c r="S102" i="51"/>
  <c r="I102" i="51"/>
  <c r="B102" i="51"/>
  <c r="C102" i="51"/>
  <c r="Q102" i="51"/>
  <c r="K102" i="51"/>
  <c r="M102" i="51"/>
  <c r="O102" i="51"/>
  <c r="AB102" i="52"/>
  <c r="Q102" i="52"/>
  <c r="I102" i="52"/>
  <c r="Y102" i="52"/>
  <c r="O102" i="52"/>
  <c r="F102" i="52"/>
  <c r="J101" i="52"/>
  <c r="V102" i="52"/>
  <c r="M102" i="52"/>
  <c r="C102" i="52"/>
  <c r="AH98" i="52"/>
  <c r="S102" i="52"/>
  <c r="K102" i="52"/>
  <c r="B102" i="52"/>
  <c r="AE102" i="52"/>
  <c r="S102" i="49"/>
  <c r="C102" i="49"/>
  <c r="V102" i="49"/>
  <c r="AE102" i="49"/>
  <c r="B102" i="49"/>
  <c r="AH98" i="49"/>
  <c r="F102" i="49"/>
  <c r="I102" i="49"/>
  <c r="K102" i="49"/>
  <c r="M102" i="49"/>
  <c r="O102" i="49"/>
  <c r="J101" i="49"/>
  <c r="AB102" i="49"/>
  <c r="Q102" i="49"/>
  <c r="AB102" i="50"/>
  <c r="Q102" i="50"/>
  <c r="I102" i="50"/>
  <c r="Y102" i="50"/>
  <c r="O102" i="50"/>
  <c r="F102" i="50"/>
  <c r="J101" i="50"/>
  <c r="V102" i="50"/>
  <c r="M102" i="50"/>
  <c r="C102" i="50"/>
  <c r="AH98" i="50"/>
  <c r="S102" i="50"/>
  <c r="K102" i="50"/>
  <c r="B102" i="50"/>
  <c r="AE102" i="50"/>
  <c r="K102" i="47"/>
  <c r="C102" i="47"/>
  <c r="B102" i="47"/>
  <c r="J101" i="47"/>
  <c r="F102" i="47"/>
  <c r="AH98" i="47"/>
  <c r="S102" i="47"/>
  <c r="M102" i="47"/>
  <c r="O102" i="47"/>
  <c r="AE102" i="47"/>
  <c r="V102" i="47"/>
  <c r="I102" i="47"/>
  <c r="Q102" i="47"/>
  <c r="AB102" i="47"/>
  <c r="AB102" i="48"/>
  <c r="Q102" i="48"/>
  <c r="I102" i="48"/>
  <c r="Y102" i="48"/>
  <c r="O102" i="48"/>
  <c r="F102" i="48"/>
  <c r="J101" i="48"/>
  <c r="V102" i="48"/>
  <c r="M102" i="48"/>
  <c r="C102" i="48"/>
  <c r="AH98" i="48"/>
  <c r="S102" i="48"/>
  <c r="K102" i="48"/>
  <c r="B102" i="48"/>
  <c r="AE102" i="48"/>
  <c r="E58" i="31"/>
  <c r="I58" i="31" s="1"/>
  <c r="J58" i="31" s="1"/>
  <c r="K58" i="31" s="1"/>
  <c r="C58" i="31"/>
  <c r="AU14" i="1" l="1"/>
  <c r="AX14" i="1"/>
  <c r="AS10" i="1"/>
  <c r="AV13" i="1"/>
  <c r="AV9" i="1"/>
  <c r="AW11" i="1"/>
  <c r="AV12" i="1"/>
  <c r="AW5" i="1"/>
  <c r="AV8" i="1"/>
  <c r="AR15" i="1"/>
  <c r="AU10" i="1"/>
  <c r="AW10" i="1"/>
  <c r="AX10" i="1"/>
  <c r="AX13" i="1"/>
  <c r="AS13" i="1"/>
  <c r="AR9" i="1"/>
  <c r="AS9" i="1"/>
  <c r="AU11" i="1"/>
  <c r="AT11" i="1"/>
  <c r="AU6" i="1"/>
  <c r="AW6" i="1"/>
  <c r="AX6" i="1"/>
  <c r="AW26" i="1"/>
  <c r="AX26" i="1"/>
  <c r="AR12" i="1"/>
  <c r="AS12" i="1"/>
  <c r="AR5" i="1"/>
  <c r="AV19" i="1"/>
  <c r="AT19" i="1"/>
  <c r="AX8" i="1"/>
  <c r="AW14" i="1"/>
  <c r="AR10" i="1"/>
  <c r="AT9" i="1"/>
  <c r="AR6" i="1"/>
  <c r="AT26" i="1"/>
  <c r="AT12" i="1"/>
  <c r="AT5" i="1"/>
  <c r="AV14" i="1"/>
  <c r="AT14" i="1"/>
  <c r="AX15" i="1"/>
  <c r="AS15" i="1"/>
  <c r="AU15" i="1"/>
  <c r="AW13" i="1"/>
  <c r="AR13" i="1"/>
  <c r="AU9" i="1"/>
  <c r="AW9" i="1"/>
  <c r="AX9" i="1"/>
  <c r="AS26" i="1"/>
  <c r="AU12" i="1"/>
  <c r="AW12" i="1"/>
  <c r="AX12" i="1"/>
  <c r="AV5" i="1"/>
  <c r="AU19" i="1"/>
  <c r="AS19" i="1"/>
  <c r="AU8" i="1"/>
  <c r="AS11" i="1"/>
  <c r="AT13" i="1"/>
  <c r="AV11" i="1"/>
  <c r="AS6" i="1"/>
  <c r="AS5" i="1"/>
  <c r="AX5" i="1"/>
  <c r="AR14" i="1"/>
  <c r="AS14" i="1"/>
  <c r="AT15" i="1"/>
  <c r="AW15" i="1"/>
  <c r="AV15" i="1"/>
  <c r="AV10" i="1"/>
  <c r="AT10" i="1"/>
  <c r="AU13" i="1"/>
  <c r="AX11" i="1"/>
  <c r="AR11" i="1"/>
  <c r="AV6" i="1"/>
  <c r="AT6" i="1"/>
  <c r="AR26" i="1"/>
  <c r="AU26" i="1"/>
  <c r="AV26" i="1"/>
  <c r="AX19" i="1"/>
  <c r="AS8" i="1"/>
  <c r="AT8" i="1"/>
  <c r="AE100" i="55"/>
  <c r="AE103" i="55" s="1"/>
  <c r="I100" i="57"/>
  <c r="O100" i="57"/>
  <c r="AE106" i="57"/>
  <c r="AE100" i="57"/>
  <c r="K100" i="57"/>
  <c r="F100" i="57"/>
  <c r="K100" i="58"/>
  <c r="M100" i="58"/>
  <c r="AE100" i="58"/>
  <c r="Y100" i="58"/>
  <c r="AE106" i="58"/>
  <c r="V100" i="58"/>
  <c r="I100" i="58"/>
  <c r="F100" i="58"/>
  <c r="Q100" i="58"/>
  <c r="S100" i="58"/>
  <c r="O100" i="58"/>
  <c r="AB100" i="58"/>
  <c r="B101" i="53"/>
  <c r="V100" i="53"/>
  <c r="V103" i="53" s="1"/>
  <c r="Q100" i="55"/>
  <c r="Q103" i="55" s="1"/>
  <c r="AB100" i="55"/>
  <c r="AB103" i="55" s="1"/>
  <c r="B101" i="55"/>
  <c r="C103" i="57"/>
  <c r="C100" i="55"/>
  <c r="C103" i="55" s="1"/>
  <c r="F100" i="55"/>
  <c r="F103" i="55" s="1"/>
  <c r="M100" i="55"/>
  <c r="M103" i="55" s="1"/>
  <c r="S100" i="55"/>
  <c r="S103" i="55" s="1"/>
  <c r="V100" i="55"/>
  <c r="V103" i="55" s="1"/>
  <c r="K100" i="55"/>
  <c r="AE106" i="55"/>
  <c r="AE100" i="56"/>
  <c r="AE103" i="56" s="1"/>
  <c r="I100" i="55"/>
  <c r="I103" i="55" s="1"/>
  <c r="O100" i="55"/>
  <c r="O103" i="55" s="1"/>
  <c r="S100" i="56"/>
  <c r="S103" i="56" s="1"/>
  <c r="Y100" i="56"/>
  <c r="Y103" i="56" s="1"/>
  <c r="B101" i="56"/>
  <c r="C100" i="56"/>
  <c r="C103" i="56" s="1"/>
  <c r="K100" i="56"/>
  <c r="K103" i="56" s="1"/>
  <c r="I100" i="56"/>
  <c r="AE106" i="56"/>
  <c r="V100" i="56"/>
  <c r="F100" i="56"/>
  <c r="Q100" i="56"/>
  <c r="M100" i="56"/>
  <c r="O100" i="56"/>
  <c r="AB100" i="56"/>
  <c r="Y103" i="55"/>
  <c r="K100" i="53"/>
  <c r="K103" i="53" s="1"/>
  <c r="S100" i="53"/>
  <c r="S103" i="53" s="1"/>
  <c r="O100" i="53"/>
  <c r="O103" i="53" s="1"/>
  <c r="M100" i="53"/>
  <c r="M103" i="53" s="1"/>
  <c r="I100" i="53"/>
  <c r="I103" i="53" s="1"/>
  <c r="AB100" i="53"/>
  <c r="AB103" i="53" s="1"/>
  <c r="AE100" i="53"/>
  <c r="AE103" i="53" s="1"/>
  <c r="Q100" i="53"/>
  <c r="Q103" i="53" s="1"/>
  <c r="AE106" i="53"/>
  <c r="C100" i="53"/>
  <c r="C103" i="53" s="1"/>
  <c r="F100" i="53"/>
  <c r="F103" i="53" s="1"/>
  <c r="AE100" i="54"/>
  <c r="AE103" i="54" s="1"/>
  <c r="K100" i="54"/>
  <c r="K103" i="54" s="1"/>
  <c r="S100" i="54"/>
  <c r="AE106" i="54"/>
  <c r="V100" i="54"/>
  <c r="Y100" i="54"/>
  <c r="I100" i="54"/>
  <c r="B101" i="54"/>
  <c r="C100" i="54"/>
  <c r="F100" i="54"/>
  <c r="Q100" i="54"/>
  <c r="M100" i="54"/>
  <c r="O100" i="54"/>
  <c r="AB100" i="54"/>
  <c r="Y103" i="53"/>
  <c r="V100" i="51"/>
  <c r="V103" i="51" s="1"/>
  <c r="AE100" i="51"/>
  <c r="AE103" i="51" s="1"/>
  <c r="M100" i="51"/>
  <c r="M103" i="51" s="1"/>
  <c r="B101" i="51"/>
  <c r="S100" i="51"/>
  <c r="S103" i="51" s="1"/>
  <c r="AE106" i="51"/>
  <c r="Y100" i="51"/>
  <c r="Y103" i="51" s="1"/>
  <c r="I100" i="51"/>
  <c r="I103" i="51" s="1"/>
  <c r="AE100" i="52"/>
  <c r="AE103" i="52" s="1"/>
  <c r="Q100" i="51"/>
  <c r="Q103" i="51" s="1"/>
  <c r="F100" i="51"/>
  <c r="F103" i="51" s="1"/>
  <c r="C100" i="51"/>
  <c r="C103" i="51" s="1"/>
  <c r="O100" i="51"/>
  <c r="O103" i="51" s="1"/>
  <c r="K100" i="51"/>
  <c r="K103" i="51" s="1"/>
  <c r="B101" i="52"/>
  <c r="C100" i="52"/>
  <c r="C103" i="52" s="1"/>
  <c r="K100" i="52"/>
  <c r="K103" i="52" s="1"/>
  <c r="S100" i="52"/>
  <c r="AE106" i="52"/>
  <c r="V100" i="52"/>
  <c r="Y100" i="52"/>
  <c r="I100" i="52"/>
  <c r="F100" i="52"/>
  <c r="Q100" i="52"/>
  <c r="M100" i="52"/>
  <c r="O100" i="52"/>
  <c r="AB100" i="52"/>
  <c r="S100" i="49"/>
  <c r="S103" i="49" s="1"/>
  <c r="Q100" i="49"/>
  <c r="Q103" i="49" s="1"/>
  <c r="AB103" i="51"/>
  <c r="B101" i="49"/>
  <c r="AE106" i="49"/>
  <c r="M100" i="49"/>
  <c r="M103" i="49" s="1"/>
  <c r="O100" i="49"/>
  <c r="O103" i="49" s="1"/>
  <c r="C100" i="49"/>
  <c r="C103" i="49" s="1"/>
  <c r="AE100" i="49"/>
  <c r="AE103" i="49" s="1"/>
  <c r="I100" i="49"/>
  <c r="I103" i="49" s="1"/>
  <c r="AB100" i="49"/>
  <c r="AB103" i="49" s="1"/>
  <c r="Y100" i="49"/>
  <c r="Y103" i="49" s="1"/>
  <c r="K100" i="49"/>
  <c r="K103" i="49" s="1"/>
  <c r="F100" i="49"/>
  <c r="F103" i="49" s="1"/>
  <c r="V100" i="49"/>
  <c r="V103" i="49" s="1"/>
  <c r="AE100" i="50"/>
  <c r="AE103" i="50" s="1"/>
  <c r="B101" i="50"/>
  <c r="C100" i="50"/>
  <c r="C103" i="50" s="1"/>
  <c r="K100" i="50"/>
  <c r="K103" i="50" s="1"/>
  <c r="S100" i="50"/>
  <c r="AE106" i="50"/>
  <c r="V100" i="50"/>
  <c r="Y100" i="50"/>
  <c r="I100" i="50"/>
  <c r="F100" i="50"/>
  <c r="Q100" i="50"/>
  <c r="M100" i="50"/>
  <c r="O100" i="50"/>
  <c r="AB100" i="50"/>
  <c r="K100" i="47"/>
  <c r="K103" i="47" s="1"/>
  <c r="B101" i="47"/>
  <c r="B101" i="48"/>
  <c r="C100" i="47"/>
  <c r="C103" i="47" s="1"/>
  <c r="Y100" i="47"/>
  <c r="Y103" i="47" s="1"/>
  <c r="AB100" i="47"/>
  <c r="AB103" i="47" s="1"/>
  <c r="AE100" i="47"/>
  <c r="AE103" i="47" s="1"/>
  <c r="O100" i="47"/>
  <c r="O103" i="47" s="1"/>
  <c r="M100" i="47"/>
  <c r="M103" i="47" s="1"/>
  <c r="F100" i="47"/>
  <c r="F103" i="47" s="1"/>
  <c r="S100" i="47"/>
  <c r="S103" i="47" s="1"/>
  <c r="I100" i="47"/>
  <c r="I103" i="47" s="1"/>
  <c r="V100" i="47"/>
  <c r="V103" i="47" s="1"/>
  <c r="Q100" i="47"/>
  <c r="Q103" i="47" s="1"/>
  <c r="AE106" i="47"/>
  <c r="AE100" i="48"/>
  <c r="AE103" i="48" s="1"/>
  <c r="C100" i="48"/>
  <c r="C103" i="48" s="1"/>
  <c r="K100" i="48"/>
  <c r="K103" i="48" s="1"/>
  <c r="F100" i="48"/>
  <c r="F103" i="48" s="1"/>
  <c r="Q100" i="48"/>
  <c r="Q103" i="48" s="1"/>
  <c r="S100" i="48"/>
  <c r="S103" i="48" s="1"/>
  <c r="M100" i="48"/>
  <c r="O100" i="48"/>
  <c r="AB100" i="48"/>
  <c r="AE106" i="48"/>
  <c r="V100" i="48"/>
  <c r="Y100" i="48"/>
  <c r="I100" i="48"/>
  <c r="D58" i="31"/>
  <c r="AE104" i="55" l="1"/>
  <c r="BA8" i="1"/>
  <c r="BA15" i="1"/>
  <c r="AE104" i="53"/>
  <c r="AE104" i="51"/>
  <c r="BA13" i="1"/>
  <c r="AU5" i="1"/>
  <c r="AE104" i="57"/>
  <c r="AE104" i="58"/>
  <c r="BA19" i="1"/>
  <c r="AE104" i="56"/>
  <c r="BA12" i="1"/>
  <c r="K103" i="55"/>
  <c r="BA5" i="1"/>
  <c r="M103" i="56"/>
  <c r="F103" i="56"/>
  <c r="AB103" i="56"/>
  <c r="O103" i="56"/>
  <c r="Q103" i="56"/>
  <c r="V103" i="56"/>
  <c r="I103" i="56"/>
  <c r="AE104" i="54"/>
  <c r="BA6" i="1"/>
  <c r="BA26" i="1"/>
  <c r="C103" i="54"/>
  <c r="S103" i="54"/>
  <c r="AB103" i="54"/>
  <c r="Y103" i="54"/>
  <c r="O103" i="54"/>
  <c r="Q103" i="54"/>
  <c r="I103" i="54"/>
  <c r="V103" i="54"/>
  <c r="M103" i="54"/>
  <c r="F103" i="54"/>
  <c r="AE104" i="52"/>
  <c r="BA9" i="1"/>
  <c r="BA11" i="1"/>
  <c r="AB103" i="52"/>
  <c r="Y103" i="52"/>
  <c r="O103" i="52"/>
  <c r="Q103" i="52"/>
  <c r="I103" i="52"/>
  <c r="V103" i="52"/>
  <c r="M103" i="52"/>
  <c r="F103" i="52"/>
  <c r="S103" i="52"/>
  <c r="AE104" i="49"/>
  <c r="AE104" i="50"/>
  <c r="BA10" i="1"/>
  <c r="AB103" i="50"/>
  <c r="Y103" i="50"/>
  <c r="O103" i="50"/>
  <c r="Q103" i="50"/>
  <c r="I103" i="50"/>
  <c r="V103" i="50"/>
  <c r="M103" i="50"/>
  <c r="F103" i="50"/>
  <c r="S103" i="50"/>
  <c r="AE104" i="48"/>
  <c r="BA14" i="1"/>
  <c r="AE104" i="47"/>
  <c r="I103" i="48"/>
  <c r="AB103" i="48"/>
  <c r="Y103" i="48"/>
  <c r="O103" i="48"/>
  <c r="V103" i="48"/>
  <c r="M103" i="48"/>
  <c r="I180" i="31"/>
  <c r="J180" i="31" s="1"/>
  <c r="I179" i="31"/>
  <c r="J179" i="31" s="1"/>
  <c r="K179" i="31" s="1"/>
  <c r="K180" i="31" l="1"/>
  <c r="I178" i="31" l="1"/>
  <c r="J178" i="31" s="1"/>
  <c r="K178" i="31" s="1"/>
  <c r="I177" i="31" l="1"/>
  <c r="J177" i="31" s="1"/>
  <c r="K177" i="31" s="1"/>
  <c r="I57" i="31"/>
  <c r="J57" i="31" l="1"/>
  <c r="K57" i="31" s="1"/>
  <c r="D57" i="31"/>
  <c r="F56" i="31"/>
  <c r="E56" i="31"/>
  <c r="C56" i="31"/>
  <c r="D55" i="31"/>
  <c r="I55" i="31"/>
  <c r="J55" i="31" s="1"/>
  <c r="D56" i="31" l="1"/>
  <c r="I56" i="31"/>
  <c r="J56" i="31" s="1"/>
  <c r="K55" i="31"/>
  <c r="E69" i="31"/>
  <c r="C69" i="31"/>
  <c r="K56" i="31" l="1"/>
  <c r="D69" i="31"/>
  <c r="I69" i="31"/>
  <c r="J69" i="31" s="1"/>
  <c r="K69" i="31" s="1"/>
  <c r="F54" i="31"/>
  <c r="E54" i="31"/>
  <c r="I54" i="31" s="1"/>
  <c r="C54" i="31"/>
  <c r="I176" i="31"/>
  <c r="J176" i="31" s="1"/>
  <c r="K176" i="31" s="1"/>
  <c r="J54" i="31" l="1"/>
  <c r="K54" i="31" s="1"/>
  <c r="D54" i="31"/>
  <c r="L46" i="11"/>
  <c r="K46" i="11"/>
  <c r="K45" i="11"/>
  <c r="J45" i="11"/>
  <c r="AJ46" i="40"/>
  <c r="AJ45" i="40"/>
  <c r="AJ44" i="40"/>
  <c r="AJ43" i="40"/>
  <c r="AJ42" i="40"/>
  <c r="AJ41" i="40"/>
  <c r="AJ40" i="40"/>
  <c r="AJ39" i="40"/>
  <c r="AJ38" i="40"/>
  <c r="AJ37" i="40"/>
  <c r="AJ36" i="40"/>
  <c r="AJ35" i="40"/>
  <c r="AJ34" i="40"/>
  <c r="AJ33" i="40"/>
  <c r="AJ32" i="40"/>
  <c r="L36" i="13"/>
  <c r="K36" i="13"/>
  <c r="K35" i="13"/>
  <c r="J35" i="13"/>
  <c r="AB21" i="1"/>
  <c r="Y21" i="1"/>
  <c r="F21" i="1"/>
  <c r="C21" i="1"/>
  <c r="B21" i="1"/>
  <c r="AJ31" i="40"/>
  <c r="AJ30" i="40"/>
  <c r="AJ29" i="40"/>
  <c r="AJ28" i="40"/>
  <c r="AJ27" i="40"/>
  <c r="AJ26" i="40"/>
  <c r="AJ25" i="40"/>
  <c r="AJ24" i="40"/>
  <c r="AJ23" i="40"/>
  <c r="AJ22" i="40"/>
  <c r="AJ21" i="40"/>
  <c r="AJ20" i="40"/>
  <c r="AJ19" i="40"/>
  <c r="AJ18" i="40"/>
  <c r="AJ17" i="40"/>
  <c r="AJ16" i="40"/>
  <c r="AJ15" i="40"/>
  <c r="AJ14" i="40"/>
  <c r="AJ13" i="40"/>
  <c r="AJ12" i="40"/>
  <c r="AJ11" i="40"/>
  <c r="AJ10" i="40"/>
  <c r="H21" i="1" l="1"/>
  <c r="D19" i="27"/>
  <c r="E19" i="27" s="1"/>
  <c r="J21" i="1"/>
  <c r="M21" i="1" s="1"/>
  <c r="A19" i="21"/>
  <c r="AJ8" i="40" l="1"/>
  <c r="AK46" i="40" s="1"/>
  <c r="AJ9" i="40"/>
  <c r="A18" i="21"/>
  <c r="AK20" i="40" l="1"/>
  <c r="AK27" i="40"/>
  <c r="AK22" i="40"/>
  <c r="AK24" i="40"/>
  <c r="AK26" i="40"/>
  <c r="AK14" i="40"/>
  <c r="AK10" i="40"/>
  <c r="AK13" i="40"/>
  <c r="AK23" i="40"/>
  <c r="AK28" i="40"/>
  <c r="AK12" i="40"/>
  <c r="AK21" i="40"/>
  <c r="AK31" i="40"/>
  <c r="AK30" i="40"/>
  <c r="AK44" i="40"/>
  <c r="AK45" i="40"/>
  <c r="AK42" i="40"/>
  <c r="AK43" i="40"/>
  <c r="AK40" i="40"/>
  <c r="AK41" i="40"/>
  <c r="AK38" i="40"/>
  <c r="AK39" i="40"/>
  <c r="AK36" i="40"/>
  <c r="AK37" i="40"/>
  <c r="AK34" i="40"/>
  <c r="AK35" i="40"/>
  <c r="AK32" i="40"/>
  <c r="AK33" i="40"/>
  <c r="AK25" i="40"/>
  <c r="AK15" i="40"/>
  <c r="AK17" i="40"/>
  <c r="AK16" i="40"/>
  <c r="AK19" i="40"/>
  <c r="AK18" i="40"/>
  <c r="AK29" i="40"/>
  <c r="AK11" i="40"/>
  <c r="AK9" i="40"/>
  <c r="G3" i="24"/>
  <c r="M49" i="38"/>
  <c r="M24" i="38"/>
  <c r="L49" i="38" l="1"/>
  <c r="L24" i="38"/>
  <c r="K49" i="38" l="1"/>
  <c r="K24" i="38"/>
  <c r="F53" i="31" l="1"/>
  <c r="E53" i="31"/>
  <c r="C53" i="31"/>
  <c r="F52" i="31"/>
  <c r="E52" i="31"/>
  <c r="C52" i="31"/>
  <c r="C51" i="31"/>
  <c r="E51" i="31"/>
  <c r="I51" i="31" s="1"/>
  <c r="D53" i="31" l="1"/>
  <c r="D51" i="31"/>
  <c r="D52" i="31"/>
  <c r="I53" i="31"/>
  <c r="J53" i="31" s="1"/>
  <c r="K53" i="31" s="1"/>
  <c r="I52" i="31"/>
  <c r="J52" i="31" s="1"/>
  <c r="K52" i="31" s="1"/>
  <c r="J51" i="31"/>
  <c r="K51" i="31" s="1"/>
  <c r="J49" i="38"/>
  <c r="J24" i="38"/>
  <c r="F16" i="33" l="1"/>
  <c r="H28" i="1"/>
  <c r="E50" i="31" l="1"/>
  <c r="C50" i="31"/>
  <c r="I50" i="31"/>
  <c r="J50" i="31" s="1"/>
  <c r="D50" i="31" l="1"/>
  <c r="K50" i="31"/>
  <c r="E49" i="31"/>
  <c r="I49" i="31" s="1"/>
  <c r="J49" i="31" s="1"/>
  <c r="C49" i="31"/>
  <c r="E48" i="31"/>
  <c r="I48" i="31" s="1"/>
  <c r="J48" i="31" s="1"/>
  <c r="C48" i="31"/>
  <c r="E47" i="31"/>
  <c r="I47" i="31" s="1"/>
  <c r="J47" i="31" s="1"/>
  <c r="C47" i="31"/>
  <c r="D47" i="31" l="1"/>
  <c r="D49" i="31"/>
  <c r="K49" i="31"/>
  <c r="D48" i="31"/>
  <c r="K48" i="31"/>
  <c r="K47" i="31"/>
  <c r="I49" i="38"/>
  <c r="I24" i="38"/>
  <c r="H49" i="38" l="1"/>
  <c r="H24" i="38"/>
  <c r="I175" i="31" l="1"/>
  <c r="J175" i="31" s="1"/>
  <c r="I174" i="31"/>
  <c r="J174" i="31" s="1"/>
  <c r="I173" i="31"/>
  <c r="J173" i="31" s="1"/>
  <c r="K173" i="31" s="1"/>
  <c r="I172" i="31"/>
  <c r="J172" i="31" s="1"/>
  <c r="I171" i="31"/>
  <c r="J171" i="31" s="1"/>
  <c r="K175" i="31" l="1"/>
  <c r="K174" i="31"/>
  <c r="K172" i="31"/>
  <c r="K171" i="31"/>
  <c r="I170" i="31"/>
  <c r="J170" i="31" s="1"/>
  <c r="E46" i="31"/>
  <c r="I46" i="31" s="1"/>
  <c r="J46" i="31" s="1"/>
  <c r="K46" i="31" s="1"/>
  <c r="C46" i="31"/>
  <c r="D46" i="31" l="1"/>
  <c r="K170" i="31"/>
  <c r="E45" i="31" l="1"/>
  <c r="I45" i="31" s="1"/>
  <c r="J45" i="31" s="1"/>
  <c r="C45" i="31"/>
  <c r="G49" i="38"/>
  <c r="G24" i="38"/>
  <c r="D45" i="31" l="1"/>
  <c r="K45" i="31"/>
  <c r="E44" i="31"/>
  <c r="D44" i="31" s="1"/>
  <c r="I44" i="31" l="1"/>
  <c r="J44" i="31" s="1"/>
  <c r="K44" i="31" l="1"/>
  <c r="Y9" i="1" l="1"/>
  <c r="AB9" i="1"/>
  <c r="I169" i="31" l="1"/>
  <c r="J169" i="31" l="1"/>
  <c r="K169" i="31" s="1"/>
  <c r="F24" i="38"/>
  <c r="F49" i="38"/>
  <c r="E43" i="31" l="1"/>
  <c r="C43" i="31"/>
  <c r="I43" i="31"/>
  <c r="Y11" i="1"/>
  <c r="D43" i="31" l="1"/>
  <c r="J43" i="31"/>
  <c r="K43" i="31" s="1"/>
  <c r="I168" i="31" l="1"/>
  <c r="J168" i="31" l="1"/>
  <c r="K168" i="31" s="1"/>
  <c r="I167" i="31"/>
  <c r="J167" i="31" s="1"/>
  <c r="K167" i="31" s="1"/>
  <c r="I166" i="31" l="1"/>
  <c r="J166" i="31" s="1"/>
  <c r="K166" i="31" s="1"/>
  <c r="F165" i="31" l="1"/>
  <c r="E165" i="31"/>
  <c r="C165" i="31" s="1"/>
  <c r="I165" i="31" l="1"/>
  <c r="J165" i="31" l="1"/>
  <c r="K165" i="31" s="1"/>
  <c r="A7" i="35" l="1"/>
  <c r="A8" i="35" s="1"/>
  <c r="C38" i="38"/>
  <c r="C13" i="38"/>
  <c r="Y20" i="1"/>
  <c r="U41" i="1" s="1"/>
  <c r="W41" i="1" s="1"/>
  <c r="X41" i="1" s="1"/>
  <c r="H20" i="1"/>
  <c r="E49" i="38" l="1"/>
  <c r="D49" i="38"/>
  <c r="C50" i="38" s="1"/>
  <c r="C47" i="38"/>
  <c r="C45" i="38"/>
  <c r="C43" i="38"/>
  <c r="C37" i="38"/>
  <c r="C36" i="38"/>
  <c r="C35" i="38"/>
  <c r="C34" i="38"/>
  <c r="C33" i="38"/>
  <c r="C31" i="38"/>
  <c r="C30" i="38"/>
  <c r="C29" i="38"/>
  <c r="C28" i="38"/>
  <c r="C49" i="38" l="1"/>
  <c r="E24" i="38"/>
  <c r="C3" i="38"/>
  <c r="A10" i="34" l="1"/>
  <c r="A12" i="34" s="1"/>
  <c r="A13" i="34" s="1"/>
  <c r="F164" i="31"/>
  <c r="E164" i="31"/>
  <c r="C164" i="31" s="1"/>
  <c r="A14" i="34" l="1"/>
  <c r="A15" i="34" s="1"/>
  <c r="A16" i="34" s="1"/>
  <c r="A17" i="34" s="1"/>
  <c r="I164" i="31"/>
  <c r="F163" i="31"/>
  <c r="E163" i="31"/>
  <c r="C163" i="31" s="1"/>
  <c r="F162" i="31"/>
  <c r="E162" i="31"/>
  <c r="C162" i="31" s="1"/>
  <c r="F161" i="31"/>
  <c r="E161" i="31"/>
  <c r="C161" i="31" s="1"/>
  <c r="I163" i="31" l="1"/>
  <c r="J163" i="31" s="1"/>
  <c r="K163" i="31" s="1"/>
  <c r="J164" i="31"/>
  <c r="K164" i="31" s="1"/>
  <c r="E23" i="31" l="1"/>
  <c r="C23" i="31"/>
  <c r="F25" i="31"/>
  <c r="E25" i="31"/>
  <c r="C25" i="31"/>
  <c r="E42" i="31"/>
  <c r="C42" i="31"/>
  <c r="E41" i="31"/>
  <c r="I41" i="31" s="1"/>
  <c r="C41" i="31"/>
  <c r="D23" i="31" l="1"/>
  <c r="D42" i="31"/>
  <c r="D25" i="31"/>
  <c r="I42" i="31"/>
  <c r="J42" i="31" s="1"/>
  <c r="K42" i="31" s="1"/>
  <c r="I25" i="31"/>
  <c r="J25" i="31" s="1"/>
  <c r="K25" i="31" s="1"/>
  <c r="I23" i="31"/>
  <c r="J23" i="31" s="1"/>
  <c r="K23" i="31" s="1"/>
  <c r="J41" i="31"/>
  <c r="K41" i="31" s="1"/>
  <c r="D41" i="31"/>
  <c r="C4" i="38" l="1"/>
  <c r="D24" i="38" l="1"/>
  <c r="C25" i="38" s="1"/>
  <c r="F160" i="31" l="1"/>
  <c r="E160" i="31"/>
  <c r="C160" i="31" s="1"/>
  <c r="C22" i="38" l="1"/>
  <c r="C20" i="38"/>
  <c r="C18" i="38"/>
  <c r="C17" i="38"/>
  <c r="C12" i="38"/>
  <c r="C11" i="38"/>
  <c r="C10" i="38"/>
  <c r="C9" i="38"/>
  <c r="C8" i="38"/>
  <c r="C6" i="38"/>
  <c r="C5" i="38"/>
  <c r="C24" i="38" l="1"/>
  <c r="E24" i="31"/>
  <c r="C24" i="31"/>
  <c r="D24" i="31" l="1"/>
  <c r="I24" i="31"/>
  <c r="J24" i="31" s="1"/>
  <c r="K24" i="31" s="1"/>
  <c r="E26" i="31" l="1"/>
  <c r="C26" i="31"/>
  <c r="E27" i="31"/>
  <c r="C27" i="31"/>
  <c r="I40" i="31"/>
  <c r="J40" i="31" s="1"/>
  <c r="K40" i="31" s="1"/>
  <c r="C40" i="31"/>
  <c r="D40" i="31" s="1"/>
  <c r="E39" i="31"/>
  <c r="I39" i="31" s="1"/>
  <c r="J39" i="31" s="1"/>
  <c r="C39" i="31"/>
  <c r="D27" i="31" l="1"/>
  <c r="D26" i="31"/>
  <c r="I26" i="31"/>
  <c r="J26" i="31" s="1"/>
  <c r="K26" i="31" s="1"/>
  <c r="I27" i="31"/>
  <c r="D39" i="31"/>
  <c r="K39" i="31"/>
  <c r="J27" i="31" l="1"/>
  <c r="K27" i="31" s="1"/>
  <c r="E28" i="31" l="1"/>
  <c r="C28" i="31"/>
  <c r="C29" i="31"/>
  <c r="E29" i="31"/>
  <c r="I29" i="31" s="1"/>
  <c r="I30" i="31"/>
  <c r="J30" i="31" s="1"/>
  <c r="K30" i="31" s="1"/>
  <c r="C157" i="31"/>
  <c r="E158" i="31"/>
  <c r="C158" i="31" s="1"/>
  <c r="E156" i="31"/>
  <c r="C156" i="31" s="1"/>
  <c r="E155" i="31"/>
  <c r="C155" i="31" s="1"/>
  <c r="I151" i="31"/>
  <c r="I152" i="31"/>
  <c r="I153" i="31"/>
  <c r="I154" i="31"/>
  <c r="E31" i="31"/>
  <c r="I31" i="31" s="1"/>
  <c r="C31" i="31"/>
  <c r="I157" i="31"/>
  <c r="E32" i="31"/>
  <c r="I32" i="31" s="1"/>
  <c r="C32" i="31"/>
  <c r="E33" i="31"/>
  <c r="I33" i="31" s="1"/>
  <c r="C33" i="31"/>
  <c r="E34" i="31"/>
  <c r="I34" i="31" s="1"/>
  <c r="C34" i="31"/>
  <c r="E159" i="31"/>
  <c r="C159" i="31" s="1"/>
  <c r="I162" i="31"/>
  <c r="I161" i="31"/>
  <c r="I160" i="31"/>
  <c r="H148" i="31"/>
  <c r="H147" i="31" s="1"/>
  <c r="G148" i="31"/>
  <c r="G147" i="31" s="1"/>
  <c r="F148" i="31"/>
  <c r="E38" i="31"/>
  <c r="C38" i="31"/>
  <c r="E37" i="31"/>
  <c r="I37" i="31" s="1"/>
  <c r="C37" i="31"/>
  <c r="I155" i="31" l="1"/>
  <c r="I159" i="31"/>
  <c r="J159" i="31" s="1"/>
  <c r="K159" i="31" s="1"/>
  <c r="D38" i="31"/>
  <c r="D33" i="31"/>
  <c r="I158" i="31"/>
  <c r="J158" i="31" s="1"/>
  <c r="K158" i="31" s="1"/>
  <c r="D32" i="31"/>
  <c r="I38" i="31"/>
  <c r="E148" i="31"/>
  <c r="E147" i="31" s="1"/>
  <c r="D31" i="31"/>
  <c r="D28" i="31"/>
  <c r="D34" i="31"/>
  <c r="I156" i="31"/>
  <c r="I28" i="31"/>
  <c r="J28" i="31" s="1"/>
  <c r="K28" i="31" s="1"/>
  <c r="J29" i="31"/>
  <c r="K29" i="31" s="1"/>
  <c r="D29" i="31"/>
  <c r="J151" i="31"/>
  <c r="J152" i="31"/>
  <c r="K152" i="31" s="1"/>
  <c r="J153" i="31"/>
  <c r="K153" i="31" s="1"/>
  <c r="J154" i="31"/>
  <c r="K154" i="31" s="1"/>
  <c r="J155" i="31"/>
  <c r="K155" i="31" s="1"/>
  <c r="J31" i="31"/>
  <c r="K31" i="31" s="1"/>
  <c r="J157" i="31"/>
  <c r="K157" i="31" s="1"/>
  <c r="J32" i="31"/>
  <c r="K32" i="31" s="1"/>
  <c r="J33" i="31"/>
  <c r="K33" i="31" s="1"/>
  <c r="J34" i="31"/>
  <c r="K34" i="31" s="1"/>
  <c r="J37" i="31"/>
  <c r="K37" i="31" s="1"/>
  <c r="D37" i="31"/>
  <c r="J161" i="31"/>
  <c r="K161" i="31" s="1"/>
  <c r="J160" i="31"/>
  <c r="K160" i="31" s="1"/>
  <c r="J162" i="31"/>
  <c r="K162" i="31" s="1"/>
  <c r="F147" i="31"/>
  <c r="I148" i="31" l="1"/>
  <c r="E149" i="31" s="1"/>
  <c r="J156" i="31"/>
  <c r="K156" i="31" s="1"/>
  <c r="J38" i="31"/>
  <c r="K38" i="31" s="1"/>
  <c r="K151" i="31"/>
  <c r="J148" i="31"/>
  <c r="Q147" i="31" l="1"/>
  <c r="R147" i="31" s="1"/>
  <c r="G149" i="31"/>
  <c r="I149" i="31"/>
  <c r="F149" i="31"/>
  <c r="H149" i="31"/>
  <c r="L148" i="31" l="1"/>
  <c r="K149" i="31"/>
  <c r="S147" i="31"/>
  <c r="Q148" i="31" l="1"/>
  <c r="S148" i="31" s="1"/>
  <c r="L149" i="31"/>
  <c r="L147" i="31" s="1"/>
  <c r="E36" i="31"/>
  <c r="C36" i="31"/>
  <c r="C21" i="31" s="1"/>
  <c r="AB6" i="1"/>
  <c r="Y6" i="1"/>
  <c r="R148" i="31" l="1"/>
  <c r="D36" i="31"/>
  <c r="E21" i="31"/>
  <c r="D21" i="31" s="1"/>
  <c r="I36" i="31"/>
  <c r="I35" i="31"/>
  <c r="D35" i="31"/>
  <c r="H21" i="31"/>
  <c r="H20" i="31" s="1"/>
  <c r="G21" i="31"/>
  <c r="F21" i="31"/>
  <c r="F20" i="31" s="1"/>
  <c r="E20" i="31" l="1"/>
  <c r="J35" i="31"/>
  <c r="K35" i="31" s="1"/>
  <c r="J36" i="31"/>
  <c r="K36" i="31" s="1"/>
  <c r="G20" i="31"/>
  <c r="K21" i="31" l="1"/>
  <c r="K22" i="31" s="1"/>
  <c r="J21" i="31"/>
  <c r="D142" i="31"/>
  <c r="I21" i="31"/>
  <c r="Q20" i="31" l="1"/>
  <c r="S20" i="31" s="1"/>
  <c r="Q21" i="31"/>
  <c r="S21" i="31" s="1"/>
  <c r="L21" i="31"/>
  <c r="I22" i="31"/>
  <c r="E22" i="31"/>
  <c r="F22" i="31"/>
  <c r="H22" i="31"/>
  <c r="G22" i="31"/>
  <c r="R20" i="31" l="1"/>
  <c r="R21" i="31"/>
  <c r="L22" i="31"/>
  <c r="L20" i="31" s="1"/>
  <c r="AB16" i="1"/>
  <c r="Y16" i="1"/>
  <c r="H5" i="31" l="1"/>
  <c r="H4" i="31" s="1"/>
  <c r="G5" i="31"/>
  <c r="G4" i="31" s="1"/>
  <c r="C5" i="31" l="1"/>
  <c r="F5" i="31"/>
  <c r="F4" i="31" s="1"/>
  <c r="I5" i="31"/>
  <c r="D15" i="31"/>
  <c r="E5" i="31"/>
  <c r="E4" i="31" s="1"/>
  <c r="Y15" i="1"/>
  <c r="AB15" i="1"/>
  <c r="D5" i="31" l="1"/>
  <c r="E6" i="31"/>
  <c r="F6" i="31"/>
  <c r="H6" i="31"/>
  <c r="I6" i="31"/>
  <c r="G6" i="31"/>
  <c r="K5" i="31" l="1"/>
  <c r="Q4" i="31" s="1"/>
  <c r="J5" i="31"/>
  <c r="R4" i="31" l="1"/>
  <c r="S4" i="31"/>
  <c r="K6" i="31"/>
  <c r="Q5" i="31" s="1"/>
  <c r="L5" i="31"/>
  <c r="AB13" i="1"/>
  <c r="Y13" i="1"/>
  <c r="Y14" i="1"/>
  <c r="R5" i="31" l="1"/>
  <c r="S5" i="31"/>
  <c r="L6" i="31"/>
  <c r="L4" i="31" s="1"/>
  <c r="Y17" i="1" l="1"/>
  <c r="U40" i="1" s="1"/>
  <c r="AB18" i="1"/>
  <c r="Y18" i="1"/>
  <c r="D45" i="7" l="1"/>
  <c r="D36" i="13" l="1"/>
  <c r="D46" i="11"/>
  <c r="AB5" i="1" l="1"/>
  <c r="Y5" i="1"/>
  <c r="AB11" i="1" l="1"/>
  <c r="L30" i="27" l="1"/>
  <c r="A5" i="27"/>
  <c r="A6" i="27" l="1"/>
  <c r="A7" i="27" s="1"/>
  <c r="A8" i="27" l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2" i="27" s="1"/>
  <c r="AB14" i="1"/>
  <c r="AB10" i="1" l="1"/>
  <c r="Y10" i="1"/>
  <c r="AB26" i="1" l="1"/>
  <c r="Y26" i="1"/>
  <c r="A9" i="35" l="1"/>
  <c r="A10" i="35" l="1"/>
  <c r="A11" i="35" l="1"/>
  <c r="A12" i="35" s="1"/>
  <c r="A13" i="35" s="1"/>
  <c r="A14" i="35" l="1"/>
  <c r="A15" i="35" s="1"/>
  <c r="A16" i="35" s="1"/>
  <c r="A17" i="35" s="1"/>
  <c r="A18" i="35" s="1"/>
  <c r="A19" i="35" s="1"/>
  <c r="A20" i="35" s="1"/>
  <c r="A21" i="35" s="1"/>
  <c r="A28" i="35" l="1"/>
  <c r="A29" i="35" s="1"/>
  <c r="A30" i="35" s="1"/>
  <c r="A31" i="35" s="1"/>
  <c r="A32" i="35" s="1"/>
  <c r="A34" i="35" s="1"/>
  <c r="A22" i="35"/>
  <c r="A23" i="35" s="1"/>
  <c r="C99" i="44"/>
  <c r="AB102" i="44" l="1"/>
  <c r="Q102" i="44"/>
  <c r="I102" i="44"/>
  <c r="Y102" i="44"/>
  <c r="O102" i="44"/>
  <c r="F102" i="44"/>
  <c r="J101" i="44"/>
  <c r="V102" i="44"/>
  <c r="M102" i="44"/>
  <c r="C102" i="44"/>
  <c r="AH98" i="44"/>
  <c r="K102" i="44"/>
  <c r="B102" i="44"/>
  <c r="AE102" i="44"/>
  <c r="S102" i="44"/>
  <c r="C99" i="42"/>
  <c r="C99" i="43"/>
  <c r="B45" i="7"/>
  <c r="H44" i="7" s="1"/>
  <c r="C99" i="41"/>
  <c r="B36" i="13"/>
  <c r="I35" i="13" s="1"/>
  <c r="B46" i="11"/>
  <c r="C49" i="40"/>
  <c r="AU16" i="1" l="1"/>
  <c r="AV16" i="1"/>
  <c r="AT16" i="1"/>
  <c r="AR16" i="1"/>
  <c r="AS16" i="1"/>
  <c r="AW16" i="1"/>
  <c r="AX16" i="1"/>
  <c r="J101" i="42"/>
  <c r="J101" i="41"/>
  <c r="J51" i="40"/>
  <c r="AF48" i="40"/>
  <c r="B101" i="44"/>
  <c r="K100" i="44"/>
  <c r="K103" i="44" s="1"/>
  <c r="S100" i="44"/>
  <c r="S103" i="44" s="1"/>
  <c r="AE100" i="44"/>
  <c r="AE103" i="44" s="1"/>
  <c r="Y100" i="44"/>
  <c r="Y103" i="44" s="1"/>
  <c r="C100" i="44"/>
  <c r="C103" i="44" s="1"/>
  <c r="AE106" i="44"/>
  <c r="V100" i="44"/>
  <c r="I100" i="44"/>
  <c r="F100" i="44"/>
  <c r="Q100" i="44"/>
  <c r="M100" i="44"/>
  <c r="O100" i="44"/>
  <c r="AB100" i="44"/>
  <c r="I102" i="42"/>
  <c r="S102" i="42"/>
  <c r="V102" i="42"/>
  <c r="Y102" i="42"/>
  <c r="K102" i="42"/>
  <c r="Q102" i="42"/>
  <c r="B102" i="42"/>
  <c r="F102" i="42"/>
  <c r="M102" i="42"/>
  <c r="O102" i="42"/>
  <c r="AB102" i="42"/>
  <c r="C102" i="42"/>
  <c r="AE102" i="42"/>
  <c r="AH98" i="42"/>
  <c r="AB102" i="43"/>
  <c r="Q102" i="43"/>
  <c r="I102" i="43"/>
  <c r="Y102" i="43"/>
  <c r="O102" i="43"/>
  <c r="F102" i="43"/>
  <c r="J101" i="43"/>
  <c r="V102" i="43"/>
  <c r="M102" i="43"/>
  <c r="C102" i="43"/>
  <c r="AH98" i="43"/>
  <c r="S102" i="43"/>
  <c r="K102" i="43"/>
  <c r="AE102" i="43"/>
  <c r="B102" i="43"/>
  <c r="M52" i="40"/>
  <c r="O52" i="40"/>
  <c r="AH98" i="41"/>
  <c r="S102" i="41"/>
  <c r="C102" i="41"/>
  <c r="I102" i="41"/>
  <c r="F102" i="41"/>
  <c r="AB102" i="41"/>
  <c r="AE102" i="41"/>
  <c r="V102" i="41"/>
  <c r="Y102" i="41"/>
  <c r="Q102" i="41"/>
  <c r="M102" i="41"/>
  <c r="O102" i="41"/>
  <c r="K102" i="41"/>
  <c r="W52" i="40"/>
  <c r="C44" i="7"/>
  <c r="B44" i="7"/>
  <c r="I44" i="7"/>
  <c r="L44" i="7"/>
  <c r="F44" i="7"/>
  <c r="B102" i="41"/>
  <c r="Q52" i="40"/>
  <c r="Z52" i="40"/>
  <c r="AC52" i="40"/>
  <c r="T52" i="40"/>
  <c r="I52" i="40"/>
  <c r="K52" i="40"/>
  <c r="C52" i="40"/>
  <c r="F52" i="40"/>
  <c r="B52" i="40"/>
  <c r="H35" i="13"/>
  <c r="I45" i="11"/>
  <c r="L45" i="11"/>
  <c r="F35" i="13"/>
  <c r="F45" i="11"/>
  <c r="H45" i="11"/>
  <c r="C35" i="13"/>
  <c r="L35" i="13"/>
  <c r="B35" i="13"/>
  <c r="B45" i="11"/>
  <c r="C45" i="11"/>
  <c r="D4" i="33"/>
  <c r="D11" i="33" s="1"/>
  <c r="F25" i="33"/>
  <c r="F24" i="33"/>
  <c r="AT21" i="1" l="1"/>
  <c r="AR17" i="1"/>
  <c r="AX21" i="1"/>
  <c r="AU17" i="1"/>
  <c r="AX17" i="1"/>
  <c r="AV20" i="1"/>
  <c r="AR21" i="1"/>
  <c r="AW18" i="1"/>
  <c r="AW21" i="1"/>
  <c r="AZ17" i="1"/>
  <c r="AX20" i="1"/>
  <c r="AZ20" i="1"/>
  <c r="AS17" i="1"/>
  <c r="AS20" i="1"/>
  <c r="AV18" i="1"/>
  <c r="AX18" i="1"/>
  <c r="AT18" i="1"/>
  <c r="AW17" i="1"/>
  <c r="AU21" i="1"/>
  <c r="AY18" i="1"/>
  <c r="AY3" i="1" s="1"/>
  <c r="AV17" i="1"/>
  <c r="AT17" i="1"/>
  <c r="AW20" i="1"/>
  <c r="AU20" i="1"/>
  <c r="AT20" i="1"/>
  <c r="AV21" i="1"/>
  <c r="I11" i="33"/>
  <c r="B101" i="43"/>
  <c r="B101" i="41"/>
  <c r="B51" i="40"/>
  <c r="B101" i="42"/>
  <c r="AE104" i="44"/>
  <c r="BA16" i="1"/>
  <c r="M103" i="44"/>
  <c r="V103" i="44"/>
  <c r="Q103" i="44"/>
  <c r="AB103" i="44"/>
  <c r="F103" i="44"/>
  <c r="O103" i="44"/>
  <c r="I103" i="44"/>
  <c r="AB100" i="42"/>
  <c r="AB103" i="42" s="1"/>
  <c r="AE100" i="42"/>
  <c r="AE103" i="42" s="1"/>
  <c r="C100" i="42"/>
  <c r="C103" i="42" s="1"/>
  <c r="AE106" i="42"/>
  <c r="AR20" i="1"/>
  <c r="S100" i="43"/>
  <c r="S103" i="43" s="1"/>
  <c r="O100" i="42"/>
  <c r="O103" i="42" s="1"/>
  <c r="I100" i="42"/>
  <c r="I103" i="42" s="1"/>
  <c r="Y100" i="42"/>
  <c r="Y103" i="42" s="1"/>
  <c r="V100" i="42"/>
  <c r="V103" i="42" s="1"/>
  <c r="K100" i="42"/>
  <c r="F100" i="42"/>
  <c r="S100" i="42"/>
  <c r="S103" i="42" s="1"/>
  <c r="Q100" i="42"/>
  <c r="Q103" i="42" s="1"/>
  <c r="M100" i="42"/>
  <c r="M103" i="42" s="1"/>
  <c r="Y100" i="43"/>
  <c r="Y103" i="43" s="1"/>
  <c r="I100" i="43"/>
  <c r="AE106" i="43"/>
  <c r="V100" i="43"/>
  <c r="AE100" i="43"/>
  <c r="C100" i="43"/>
  <c r="F100" i="43"/>
  <c r="Q100" i="43"/>
  <c r="K100" i="43"/>
  <c r="M100" i="43"/>
  <c r="O100" i="43"/>
  <c r="AB100" i="43"/>
  <c r="AU18" i="1"/>
  <c r="AS18" i="1"/>
  <c r="AR18" i="1"/>
  <c r="AS21" i="1"/>
  <c r="AC50" i="40"/>
  <c r="AC53" i="40" s="1"/>
  <c r="Y100" i="41"/>
  <c r="Y103" i="41" s="1"/>
  <c r="K100" i="41"/>
  <c r="K103" i="41" s="1"/>
  <c r="F100" i="41"/>
  <c r="F103" i="41" s="1"/>
  <c r="O50" i="40"/>
  <c r="AE106" i="41"/>
  <c r="AC56" i="40"/>
  <c r="Q100" i="41"/>
  <c r="Q103" i="41" s="1"/>
  <c r="AB100" i="41"/>
  <c r="AB103" i="41" s="1"/>
  <c r="AE100" i="41"/>
  <c r="AE103" i="41" s="1"/>
  <c r="K50" i="40"/>
  <c r="K53" i="40" s="1"/>
  <c r="O100" i="41"/>
  <c r="O103" i="41" s="1"/>
  <c r="C100" i="41"/>
  <c r="C103" i="41" s="1"/>
  <c r="S103" i="41"/>
  <c r="M100" i="41"/>
  <c r="M103" i="41" s="1"/>
  <c r="V100" i="41"/>
  <c r="I100" i="41"/>
  <c r="I103" i="41" s="1"/>
  <c r="C50" i="40"/>
  <c r="C53" i="40" s="1"/>
  <c r="I50" i="40"/>
  <c r="Z50" i="40"/>
  <c r="Z53" i="40" s="1"/>
  <c r="F50" i="40"/>
  <c r="T50" i="40"/>
  <c r="M50" i="40"/>
  <c r="M53" i="40" s="1"/>
  <c r="Q50" i="40"/>
  <c r="Q53" i="40" s="1"/>
  <c r="W50" i="40"/>
  <c r="W53" i="40" s="1"/>
  <c r="D25" i="33"/>
  <c r="D7" i="33"/>
  <c r="I7" i="33" s="1"/>
  <c r="D6" i="33"/>
  <c r="E6" i="33" s="1"/>
  <c r="D16" i="33"/>
  <c r="D12" i="33"/>
  <c r="D24" i="33"/>
  <c r="AZ3" i="1" l="1"/>
  <c r="AT3" i="1"/>
  <c r="AV3" i="1"/>
  <c r="AX3" i="1"/>
  <c r="AW3" i="1"/>
  <c r="AE104" i="42"/>
  <c r="F7" i="33"/>
  <c r="I24" i="33"/>
  <c r="I16" i="33"/>
  <c r="I12" i="33"/>
  <c r="I25" i="33"/>
  <c r="F6" i="33"/>
  <c r="AR3" i="1"/>
  <c r="AE104" i="43"/>
  <c r="BA17" i="1"/>
  <c r="BA20" i="1"/>
  <c r="F103" i="42"/>
  <c r="K103" i="42"/>
  <c r="AB103" i="43"/>
  <c r="C103" i="43"/>
  <c r="I103" i="43"/>
  <c r="F103" i="43"/>
  <c r="O103" i="43"/>
  <c r="AE103" i="43"/>
  <c r="K103" i="43"/>
  <c r="M103" i="43"/>
  <c r="Q103" i="43"/>
  <c r="V103" i="43"/>
  <c r="AE104" i="41"/>
  <c r="BA18" i="1"/>
  <c r="AS3" i="1"/>
  <c r="AC54" i="40"/>
  <c r="BA21" i="1"/>
  <c r="O53" i="40"/>
  <c r="V103" i="41"/>
  <c r="T53" i="40"/>
  <c r="I53" i="40"/>
  <c r="F53" i="40"/>
  <c r="D17" i="3"/>
  <c r="D22" i="2"/>
  <c r="D22" i="4"/>
  <c r="D22" i="6"/>
  <c r="BA3" i="1" l="1"/>
  <c r="B22" i="2"/>
  <c r="B22" i="6"/>
  <c r="B22" i="4"/>
  <c r="B17" i="3"/>
  <c r="C16" i="3" l="1"/>
  <c r="B16" i="3"/>
  <c r="L16" i="3"/>
  <c r="I16" i="3"/>
  <c r="F16" i="3"/>
  <c r="L21" i="4"/>
  <c r="B21" i="4"/>
  <c r="F21" i="4"/>
  <c r="C21" i="4"/>
  <c r="I21" i="4"/>
  <c r="L21" i="6"/>
  <c r="F21" i="6"/>
  <c r="I21" i="6"/>
  <c r="B21" i="6"/>
  <c r="C21" i="6"/>
  <c r="B21" i="2"/>
  <c r="F21" i="2"/>
  <c r="L21" i="2"/>
  <c r="C21" i="2"/>
  <c r="I21" i="2"/>
  <c r="AU3" i="1" l="1"/>
  <c r="AY35" i="1" s="1"/>
  <c r="AU34" i="1" l="1"/>
  <c r="AU39" i="1" s="1"/>
  <c r="AU42" i="1" l="1"/>
  <c r="AW42" i="1" s="1"/>
  <c r="AU35" i="1"/>
  <c r="AU41" i="1"/>
  <c r="AW41" i="1" s="1"/>
  <c r="AV41" i="1" s="1"/>
  <c r="AU43" i="1"/>
  <c r="AW43" i="1" s="1"/>
  <c r="AU51" i="1"/>
  <c r="AW51" i="1" s="1"/>
  <c r="AV51" i="1" s="1"/>
  <c r="AU38" i="1"/>
  <c r="AW38" i="1" s="1"/>
  <c r="AU48" i="1"/>
  <c r="AW48" i="1" s="1"/>
  <c r="AU49" i="1"/>
  <c r="AW49" i="1" s="1"/>
  <c r="AU50" i="1"/>
  <c r="AW50" i="1" s="1"/>
  <c r="AU47" i="1"/>
  <c r="AW47" i="1" s="1"/>
  <c r="AW39" i="1"/>
  <c r="AU46" i="1"/>
  <c r="AW46" i="1" s="1"/>
  <c r="AU40" i="1"/>
  <c r="AW40" i="1" s="1"/>
  <c r="AU45" i="1"/>
  <c r="AW45" i="1" s="1"/>
  <c r="AU44" i="1"/>
  <c r="AW44" i="1" s="1"/>
  <c r="E4" i="29"/>
  <c r="AV38" i="1" l="1"/>
  <c r="AX38" i="1" s="1"/>
  <c r="AW53" i="1"/>
  <c r="AX51" i="1"/>
  <c r="AV49" i="1"/>
  <c r="AV40" i="1"/>
  <c r="AV43" i="1"/>
  <c r="AV45" i="1"/>
  <c r="AV46" i="1"/>
  <c r="AV50" i="1"/>
  <c r="AV39" i="1"/>
  <c r="AV42" i="1" l="1"/>
  <c r="AX49" i="1"/>
  <c r="AV48" i="1"/>
  <c r="AV47" i="1"/>
  <c r="AV44" i="1"/>
  <c r="AX46" i="1"/>
  <c r="AX43" i="1"/>
  <c r="AX50" i="1"/>
  <c r="AX40" i="1"/>
  <c r="AX41" i="1"/>
  <c r="AX39" i="1"/>
  <c r="AX45" i="1"/>
  <c r="AU53" i="1" l="1"/>
  <c r="AX48" i="1"/>
  <c r="AX47" i="1"/>
  <c r="AX44" i="1"/>
  <c r="AV53" i="1"/>
  <c r="E38" i="29"/>
  <c r="AX53" i="1" l="1"/>
  <c r="B47" i="29"/>
  <c r="C24" i="29" l="1"/>
  <c r="K56" i="29" l="1"/>
  <c r="J47" i="29"/>
  <c r="J46" i="29"/>
  <c r="J44" i="29"/>
  <c r="N44" i="29"/>
  <c r="O44" i="29" l="1"/>
  <c r="P41" i="29" l="1"/>
  <c r="O41" i="29"/>
  <c r="N41" i="29"/>
  <c r="K47" i="29"/>
  <c r="K46" i="29"/>
  <c r="C54" i="29"/>
  <c r="B56" i="29"/>
  <c r="R32" i="29" l="1"/>
  <c r="C53" i="29"/>
  <c r="B53" i="29"/>
  <c r="C26" i="29" l="1"/>
  <c r="B46" i="29"/>
  <c r="E20" i="29"/>
  <c r="E21" i="29"/>
  <c r="D32" i="29" l="1"/>
  <c r="C32" i="29"/>
  <c r="G45" i="29"/>
  <c r="B55" i="29"/>
  <c r="B54" i="29"/>
  <c r="C34" i="29"/>
  <c r="E34" i="29" s="1"/>
  <c r="E3" i="29"/>
  <c r="E31" i="29"/>
  <c r="E33" i="29"/>
  <c r="E32" i="29" l="1"/>
  <c r="E6" i="29"/>
  <c r="C27" i="29"/>
  <c r="E27" i="29" s="1"/>
  <c r="E25" i="29"/>
  <c r="E24" i="29"/>
  <c r="E26" i="29"/>
  <c r="E17" i="29"/>
  <c r="E23" i="29"/>
  <c r="E22" i="29"/>
  <c r="E19" i="29"/>
  <c r="E18" i="29"/>
  <c r="C8" i="29"/>
  <c r="E8" i="29" s="1"/>
  <c r="D9" i="29"/>
  <c r="D10" i="29" s="1"/>
  <c r="E36" i="29" l="1"/>
  <c r="E10" i="29"/>
  <c r="D11" i="29"/>
  <c r="E9" i="29"/>
  <c r="E29" i="29"/>
  <c r="C11" i="29"/>
  <c r="C15" i="29" s="1"/>
  <c r="D51" i="29" l="1"/>
  <c r="D49" i="29"/>
  <c r="D12" i="29"/>
  <c r="E11" i="29"/>
  <c r="E12" i="29" l="1"/>
  <c r="D13" i="29"/>
  <c r="E13" i="29" s="1"/>
  <c r="E15" i="29" l="1"/>
  <c r="D47" i="29" s="1"/>
  <c r="H18" i="1"/>
  <c r="D55" i="29" l="1"/>
  <c r="E55" i="29" s="1"/>
  <c r="D54" i="29"/>
  <c r="D46" i="29"/>
  <c r="E46" i="29" s="1"/>
  <c r="L41" i="29"/>
  <c r="D53" i="29"/>
  <c r="D44" i="29"/>
  <c r="E54" i="29"/>
  <c r="F49" i="29"/>
  <c r="G49" i="29" s="1"/>
  <c r="E49" i="29"/>
  <c r="F51" i="29"/>
  <c r="G51" i="29" s="1"/>
  <c r="E51" i="29"/>
  <c r="F47" i="29" l="1"/>
  <c r="M18" i="1"/>
  <c r="F53" i="29"/>
  <c r="Q53" i="29" s="1"/>
  <c r="E44" i="29"/>
  <c r="F46" i="29"/>
  <c r="Q46" i="29" s="1"/>
  <c r="E47" i="29"/>
  <c r="F44" i="29"/>
  <c r="M44" i="29" s="1"/>
  <c r="F55" i="29"/>
  <c r="E53" i="29"/>
  <c r="F54" i="29"/>
  <c r="F56" i="29"/>
  <c r="L56" i="29" s="1"/>
  <c r="L47" i="29" l="1"/>
  <c r="F50" i="29"/>
  <c r="G50" i="29" s="1"/>
  <c r="G53" i="29"/>
  <c r="G55" i="29"/>
  <c r="Q55" i="29"/>
  <c r="G44" i="29"/>
  <c r="G54" i="29"/>
  <c r="Q54" i="29"/>
  <c r="Q47" i="29"/>
  <c r="G46" i="29"/>
  <c r="Q44" i="29"/>
  <c r="L46" i="29"/>
  <c r="G47" i="29"/>
  <c r="H17" i="1" l="1"/>
  <c r="T40" i="1" s="1"/>
  <c r="H16" i="1" l="1"/>
  <c r="M16" i="1" l="1"/>
  <c r="D33" i="20" l="1"/>
  <c r="G7" i="20" l="1"/>
  <c r="G8" i="20"/>
  <c r="G4" i="20"/>
  <c r="G27" i="20" l="1"/>
  <c r="A4" i="20"/>
  <c r="J3" i="1" l="1"/>
  <c r="H5" i="1" l="1"/>
  <c r="H6" i="1"/>
  <c r="H9" i="1"/>
  <c r="H8" i="1"/>
  <c r="H10" i="1"/>
  <c r="H26" i="1"/>
  <c r="H11" i="1"/>
  <c r="H13" i="1"/>
  <c r="H15" i="1"/>
  <c r="H12" i="1"/>
  <c r="H3" i="1" l="1"/>
  <c r="M11" i="1"/>
  <c r="L12" i="1"/>
  <c r="H145" i="63" l="1"/>
  <c r="H606" i="63" s="1"/>
  <c r="H55" i="63"/>
  <c r="I55" i="63" s="1"/>
  <c r="N55" i="63" s="1"/>
  <c r="H100" i="63"/>
  <c r="L28" i="1"/>
  <c r="H10" i="63"/>
  <c r="H29" i="1"/>
  <c r="I2" i="60" s="1"/>
  <c r="G2" i="60" s="1"/>
  <c r="M26" i="1"/>
  <c r="M9" i="1"/>
  <c r="L3" i="1"/>
  <c r="M15" i="1"/>
  <c r="M13" i="1"/>
  <c r="H561" i="63" l="1"/>
  <c r="H471" i="63"/>
  <c r="H516" i="63"/>
  <c r="H381" i="63"/>
  <c r="H426" i="63"/>
  <c r="H291" i="63"/>
  <c r="H336" i="63"/>
  <c r="H201" i="63"/>
  <c r="H246" i="63"/>
  <c r="I145" i="63"/>
  <c r="N145" i="63" s="1"/>
  <c r="I100" i="63"/>
  <c r="N100" i="63" s="1"/>
  <c r="M55" i="63"/>
  <c r="K55" i="63"/>
  <c r="I10" i="63"/>
  <c r="N10" i="63" s="1"/>
  <c r="I2" i="48"/>
  <c r="G2" i="48" s="1"/>
  <c r="I2" i="41"/>
  <c r="I2" i="52"/>
  <c r="G2" i="52" s="1"/>
  <c r="I2" i="49"/>
  <c r="G2" i="49" s="1"/>
  <c r="I2" i="54"/>
  <c r="G2" i="54" s="1"/>
  <c r="I2" i="51"/>
  <c r="G2" i="51" s="1"/>
  <c r="I2" i="56"/>
  <c r="G2" i="56" s="1"/>
  <c r="I2" i="55"/>
  <c r="G2" i="55" s="1"/>
  <c r="I2" i="58"/>
  <c r="G2" i="58" s="1"/>
  <c r="AQ22" i="1"/>
  <c r="BC22" i="1" s="1"/>
  <c r="K3" i="60"/>
  <c r="F3" i="60"/>
  <c r="I3" i="60" s="1"/>
  <c r="I2" i="47"/>
  <c r="G2" i="47" s="1"/>
  <c r="I2" i="50"/>
  <c r="G2" i="50" s="1"/>
  <c r="I2" i="53"/>
  <c r="G2" i="53" s="1"/>
  <c r="I2" i="57"/>
  <c r="G2" i="57" s="1"/>
  <c r="I2" i="43"/>
  <c r="G2" i="43" s="1"/>
  <c r="I2" i="44"/>
  <c r="G2" i="44" s="1"/>
  <c r="I2" i="40"/>
  <c r="G2" i="40" s="1"/>
  <c r="I2" i="42"/>
  <c r="G2" i="42" s="1"/>
  <c r="K145" i="63" l="1"/>
  <c r="M145" i="63"/>
  <c r="M100" i="63"/>
  <c r="K100" i="63"/>
  <c r="K10" i="63"/>
  <c r="M10" i="63"/>
  <c r="AQ20" i="1"/>
  <c r="BC20" i="1" s="1"/>
  <c r="AF22" i="1"/>
  <c r="F3" i="49"/>
  <c r="K99" i="49" s="1"/>
  <c r="P99" i="49" s="1"/>
  <c r="AQ26" i="1"/>
  <c r="BC26" i="1" s="1"/>
  <c r="AQ12" i="1"/>
  <c r="BC12" i="1" s="1"/>
  <c r="K3" i="52"/>
  <c r="AQ10" i="1"/>
  <c r="BC10" i="1" s="1"/>
  <c r="K3" i="51"/>
  <c r="AQ8" i="1"/>
  <c r="BC8" i="1" s="1"/>
  <c r="F3" i="55"/>
  <c r="I3" i="55" s="1"/>
  <c r="AQ21" i="1"/>
  <c r="BC21" i="1" s="1"/>
  <c r="AQ17" i="1"/>
  <c r="BC17" i="1" s="1"/>
  <c r="AQ15" i="1"/>
  <c r="AQ19" i="1"/>
  <c r="BC19" i="1" s="1"/>
  <c r="AQ6" i="1"/>
  <c r="BC6" i="1" s="1"/>
  <c r="F3" i="48"/>
  <c r="K99" i="48" s="1"/>
  <c r="P99" i="48" s="1"/>
  <c r="F6" i="58"/>
  <c r="AQ9" i="1"/>
  <c r="BC9" i="1" s="1"/>
  <c r="K3" i="48"/>
  <c r="F3" i="52"/>
  <c r="K99" i="52" s="1"/>
  <c r="P99" i="52" s="1"/>
  <c r="K3" i="55"/>
  <c r="AQ13" i="1"/>
  <c r="BC13" i="1" s="1"/>
  <c r="AQ5" i="1"/>
  <c r="BC5" i="1" s="1"/>
  <c r="AQ14" i="1"/>
  <c r="BC14" i="1" s="1"/>
  <c r="Q6" i="58"/>
  <c r="Q103" i="58" s="1"/>
  <c r="K3" i="49"/>
  <c r="K3" i="54"/>
  <c r="AE6" i="58"/>
  <c r="AE103" i="58" s="1"/>
  <c r="F3" i="54"/>
  <c r="K99" i="54" s="1"/>
  <c r="P99" i="54" s="1"/>
  <c r="K6" i="58"/>
  <c r="AQ11" i="1"/>
  <c r="BC11" i="1" s="1"/>
  <c r="F3" i="51"/>
  <c r="K99" i="51" s="1"/>
  <c r="P99" i="51" s="1"/>
  <c r="K3" i="56"/>
  <c r="F3" i="56"/>
  <c r="K99" i="56" s="1"/>
  <c r="P99" i="56" s="1"/>
  <c r="O6" i="58"/>
  <c r="O103" i="58" s="1"/>
  <c r="S6" i="58"/>
  <c r="S103" i="58" s="1"/>
  <c r="F3" i="58"/>
  <c r="K99" i="58" s="1"/>
  <c r="Y6" i="58"/>
  <c r="Y103" i="58" s="1"/>
  <c r="V6" i="58"/>
  <c r="V103" i="58" s="1"/>
  <c r="AB6" i="58"/>
  <c r="AB103" i="58" s="1"/>
  <c r="AE3" i="58"/>
  <c r="M6" i="58"/>
  <c r="I6" i="58"/>
  <c r="I3" i="58"/>
  <c r="K3" i="50"/>
  <c r="F3" i="50"/>
  <c r="K99" i="50" s="1"/>
  <c r="P99" i="50" s="1"/>
  <c r="K3" i="47"/>
  <c r="F3" i="53"/>
  <c r="K99" i="53" s="1"/>
  <c r="P99" i="53" s="1"/>
  <c r="K3" i="53"/>
  <c r="Y6" i="57"/>
  <c r="Y103" i="57" s="1"/>
  <c r="V6" i="57"/>
  <c r="V103" i="57" s="1"/>
  <c r="K6" i="57"/>
  <c r="F5" i="60"/>
  <c r="AB6" i="57"/>
  <c r="AB103" i="57" s="1"/>
  <c r="Q6" i="57"/>
  <c r="Q103" i="57" s="1"/>
  <c r="F6" i="57"/>
  <c r="M6" i="57"/>
  <c r="M103" i="57" s="1"/>
  <c r="AE3" i="57"/>
  <c r="I6" i="57"/>
  <c r="O6" i="57"/>
  <c r="O103" i="57" s="1"/>
  <c r="I3" i="57"/>
  <c r="F3" i="47"/>
  <c r="K99" i="47" s="1"/>
  <c r="P99" i="47" s="1"/>
  <c r="AE6" i="57"/>
  <c r="AE103" i="57" s="1"/>
  <c r="S6" i="57"/>
  <c r="S103" i="57" s="1"/>
  <c r="F3" i="57"/>
  <c r="K99" i="57" s="1"/>
  <c r="K85" i="60"/>
  <c r="P85" i="60" s="1"/>
  <c r="F85" i="60"/>
  <c r="K3" i="44"/>
  <c r="AQ16" i="1"/>
  <c r="F3" i="40"/>
  <c r="K49" i="40" s="1"/>
  <c r="P49" i="40" s="1"/>
  <c r="K3" i="40"/>
  <c r="F3" i="42"/>
  <c r="K3" i="42"/>
  <c r="F3" i="43"/>
  <c r="K99" i="43" s="1"/>
  <c r="P99" i="43" s="1"/>
  <c r="K3" i="43"/>
  <c r="F3" i="44"/>
  <c r="K99" i="44" s="1"/>
  <c r="P99" i="44" s="1"/>
  <c r="G2" i="41"/>
  <c r="K99" i="55" l="1"/>
  <c r="P99" i="55" s="1"/>
  <c r="I3" i="49"/>
  <c r="AF13" i="1" s="1"/>
  <c r="I3" i="48"/>
  <c r="F99" i="48" s="1"/>
  <c r="AH8" i="1"/>
  <c r="K103" i="57"/>
  <c r="AF19" i="1"/>
  <c r="F87" i="60"/>
  <c r="I103" i="57"/>
  <c r="AI19" i="1"/>
  <c r="AO8" i="1"/>
  <c r="AJ19" i="1"/>
  <c r="AF5" i="1"/>
  <c r="AF8" i="1"/>
  <c r="AE22" i="1"/>
  <c r="AO19" i="1"/>
  <c r="AH19" i="1"/>
  <c r="F103" i="58"/>
  <c r="I3" i="51"/>
  <c r="I3" i="52"/>
  <c r="I103" i="58"/>
  <c r="F99" i="58"/>
  <c r="K103" i="58"/>
  <c r="I3" i="50"/>
  <c r="I3" i="54"/>
  <c r="I3" i="56"/>
  <c r="F5" i="58"/>
  <c r="M103" i="58"/>
  <c r="I3" i="53"/>
  <c r="AJ8" i="1"/>
  <c r="AI8" i="1"/>
  <c r="F103" i="57"/>
  <c r="F5" i="57"/>
  <c r="I3" i="47"/>
  <c r="F99" i="57"/>
  <c r="J4" i="60"/>
  <c r="BD22" i="1"/>
  <c r="AF82" i="60"/>
  <c r="AF81" i="60"/>
  <c r="AF80" i="60"/>
  <c r="AF79" i="60"/>
  <c r="AF78" i="60"/>
  <c r="AF77" i="60"/>
  <c r="AF76" i="60"/>
  <c r="AF75" i="60"/>
  <c r="AF74" i="60"/>
  <c r="AF73" i="60"/>
  <c r="AF72" i="60"/>
  <c r="AF71" i="60"/>
  <c r="AF70" i="60"/>
  <c r="AF69" i="60"/>
  <c r="AF68" i="60"/>
  <c r="AF67" i="60"/>
  <c r="AF66" i="60"/>
  <c r="AF65" i="60"/>
  <c r="AF64" i="60"/>
  <c r="AF63" i="60"/>
  <c r="AF62" i="60"/>
  <c r="AF61" i="60"/>
  <c r="AF60" i="60"/>
  <c r="AF59" i="60"/>
  <c r="AF58" i="60"/>
  <c r="AF57" i="60"/>
  <c r="AF56" i="60"/>
  <c r="AF55" i="60"/>
  <c r="AF54" i="60"/>
  <c r="AF53" i="60"/>
  <c r="AF52" i="60"/>
  <c r="AF51" i="60"/>
  <c r="AF50" i="60"/>
  <c r="AF49" i="60"/>
  <c r="AF48" i="60"/>
  <c r="AF47" i="60"/>
  <c r="AF46" i="60"/>
  <c r="AF45" i="60"/>
  <c r="AF44" i="60"/>
  <c r="AF43" i="60"/>
  <c r="AF42" i="60"/>
  <c r="AF41" i="60"/>
  <c r="AF40" i="60"/>
  <c r="AF39" i="60"/>
  <c r="AF38" i="60"/>
  <c r="AF37" i="60"/>
  <c r="AF36" i="60"/>
  <c r="AF35" i="60"/>
  <c r="AF34" i="60"/>
  <c r="AF33" i="60"/>
  <c r="AF32" i="60"/>
  <c r="AF31" i="60"/>
  <c r="AF30" i="60"/>
  <c r="AF29" i="60"/>
  <c r="AF25" i="60"/>
  <c r="AF28" i="60"/>
  <c r="AF24" i="60"/>
  <c r="AF26" i="60"/>
  <c r="AF27" i="60"/>
  <c r="AF23" i="60"/>
  <c r="AF22" i="60"/>
  <c r="Q7" i="60"/>
  <c r="V7" i="60"/>
  <c r="K7" i="60"/>
  <c r="I7" i="60"/>
  <c r="Y7" i="60"/>
  <c r="AE4" i="60"/>
  <c r="S7" i="60"/>
  <c r="M7" i="60"/>
  <c r="AB7" i="60"/>
  <c r="AE7" i="60"/>
  <c r="C7" i="60"/>
  <c r="O7" i="60"/>
  <c r="F7" i="60"/>
  <c r="J3" i="60"/>
  <c r="J85" i="60"/>
  <c r="I85" i="60"/>
  <c r="K87" i="60"/>
  <c r="M87" i="60"/>
  <c r="Y87" i="60"/>
  <c r="C87" i="60"/>
  <c r="Q87" i="60"/>
  <c r="S87" i="60"/>
  <c r="AE87" i="60"/>
  <c r="O87" i="60"/>
  <c r="AE91" i="60"/>
  <c r="I87" i="60"/>
  <c r="V87" i="60"/>
  <c r="AB87" i="60"/>
  <c r="K99" i="42"/>
  <c r="P99" i="42" s="1"/>
  <c r="I3" i="42"/>
  <c r="F5" i="42" s="1"/>
  <c r="I3" i="40"/>
  <c r="I3" i="43"/>
  <c r="F5" i="43" s="1"/>
  <c r="I3" i="44"/>
  <c r="F99" i="55"/>
  <c r="F5" i="55"/>
  <c r="K3" i="41"/>
  <c r="AQ18" i="1"/>
  <c r="AQ3" i="1" s="1"/>
  <c r="BC3" i="1" s="1"/>
  <c r="F3" i="41"/>
  <c r="K99" i="41" s="1"/>
  <c r="P99" i="41" s="1"/>
  <c r="F99" i="49" l="1"/>
  <c r="BD13" i="1" s="1"/>
  <c r="BE22" i="1"/>
  <c r="F5" i="49"/>
  <c r="AE7" i="49" s="1"/>
  <c r="AF14" i="1"/>
  <c r="F5" i="48"/>
  <c r="AF79" i="48" s="1"/>
  <c r="F99" i="44"/>
  <c r="S101" i="44" s="1"/>
  <c r="AD8" i="1"/>
  <c r="AE8" i="1" s="1"/>
  <c r="AF10" i="1"/>
  <c r="AF9" i="1"/>
  <c r="AF87" i="55"/>
  <c r="AF26" i="1"/>
  <c r="F49" i="40"/>
  <c r="K51" i="40" s="1"/>
  <c r="BD8" i="1"/>
  <c r="AD19" i="1"/>
  <c r="AE19" i="1" s="1"/>
  <c r="F99" i="51"/>
  <c r="M101" i="51" s="1"/>
  <c r="BD14" i="1"/>
  <c r="AF6" i="1"/>
  <c r="AE101" i="55"/>
  <c r="F99" i="47"/>
  <c r="AE105" i="47" s="1"/>
  <c r="AF12" i="1"/>
  <c r="BD19" i="1"/>
  <c r="AF91" i="43"/>
  <c r="F99" i="42"/>
  <c r="AF80" i="42"/>
  <c r="AF11" i="1"/>
  <c r="F5" i="51"/>
  <c r="J4" i="58"/>
  <c r="AB101" i="58"/>
  <c r="I101" i="58"/>
  <c r="AE105" i="58"/>
  <c r="M101" i="58"/>
  <c r="F5" i="52"/>
  <c r="F99" i="52"/>
  <c r="Q101" i="58"/>
  <c r="AE101" i="58"/>
  <c r="S101" i="58"/>
  <c r="V101" i="58"/>
  <c r="AF17" i="58"/>
  <c r="AF90" i="58"/>
  <c r="F101" i="58"/>
  <c r="O101" i="58"/>
  <c r="Y101" i="58"/>
  <c r="AF74" i="58"/>
  <c r="AF43" i="58"/>
  <c r="Y7" i="58"/>
  <c r="AF28" i="58"/>
  <c r="K101" i="58"/>
  <c r="AF67" i="58"/>
  <c r="AF37" i="58"/>
  <c r="AF76" i="58"/>
  <c r="AF26" i="58"/>
  <c r="AF53" i="58"/>
  <c r="AF92" i="58"/>
  <c r="O7" i="58"/>
  <c r="AF42" i="58"/>
  <c r="AF63" i="58"/>
  <c r="AF69" i="58"/>
  <c r="AF44" i="58"/>
  <c r="AE7" i="58"/>
  <c r="AF35" i="58"/>
  <c r="AF58" i="58"/>
  <c r="AF95" i="58"/>
  <c r="AF85" i="58"/>
  <c r="AF60" i="58"/>
  <c r="AF19" i="58"/>
  <c r="AF24" i="57"/>
  <c r="F5" i="50"/>
  <c r="F99" i="50"/>
  <c r="F5" i="54"/>
  <c r="F5" i="56"/>
  <c r="F99" i="54"/>
  <c r="F99" i="56"/>
  <c r="S7" i="58"/>
  <c r="AF71" i="58"/>
  <c r="AF46" i="58"/>
  <c r="AF83" i="58"/>
  <c r="AF57" i="58"/>
  <c r="AF59" i="58"/>
  <c r="AF64" i="58"/>
  <c r="V7" i="58"/>
  <c r="AF51" i="58"/>
  <c r="AF34" i="58"/>
  <c r="AF66" i="58"/>
  <c r="AF27" i="58"/>
  <c r="AF29" i="58"/>
  <c r="AF45" i="58"/>
  <c r="AF61" i="58"/>
  <c r="AF77" i="58"/>
  <c r="AF93" i="58"/>
  <c r="AF75" i="58"/>
  <c r="AF36" i="58"/>
  <c r="AF52" i="58"/>
  <c r="AF68" i="58"/>
  <c r="AF84" i="58"/>
  <c r="I99" i="58"/>
  <c r="AF20" i="58"/>
  <c r="M7" i="58"/>
  <c r="I7" i="58"/>
  <c r="AF39" i="58"/>
  <c r="AF30" i="58"/>
  <c r="AF62" i="58"/>
  <c r="AF78" i="58"/>
  <c r="AF94" i="58"/>
  <c r="AF25" i="58"/>
  <c r="AF41" i="58"/>
  <c r="AF73" i="58"/>
  <c r="AF89" i="58"/>
  <c r="AF32" i="58"/>
  <c r="AF48" i="58"/>
  <c r="AF80" i="58"/>
  <c r="AF96" i="58"/>
  <c r="Q7" i="58"/>
  <c r="AF16" i="58"/>
  <c r="AF21" i="58"/>
  <c r="K7" i="58"/>
  <c r="AE4" i="58"/>
  <c r="AF79" i="58"/>
  <c r="AF50" i="58"/>
  <c r="AF82" i="58"/>
  <c r="AF87" i="58"/>
  <c r="AB7" i="58"/>
  <c r="F7" i="58"/>
  <c r="AF23" i="58"/>
  <c r="AF55" i="58"/>
  <c r="AF22" i="58"/>
  <c r="AF38" i="58"/>
  <c r="AF54" i="58"/>
  <c r="AF70" i="58"/>
  <c r="AF86" i="58"/>
  <c r="AF47" i="58"/>
  <c r="AF91" i="58"/>
  <c r="AF33" i="58"/>
  <c r="AF49" i="58"/>
  <c r="AF65" i="58"/>
  <c r="AF81" i="58"/>
  <c r="AF31" i="58"/>
  <c r="AF24" i="58"/>
  <c r="AF40" i="58"/>
  <c r="AF56" i="58"/>
  <c r="AF72" i="58"/>
  <c r="AF88" i="58"/>
  <c r="J99" i="58"/>
  <c r="AF15" i="58"/>
  <c r="AF18" i="58"/>
  <c r="J3" i="58"/>
  <c r="AF28" i="57"/>
  <c r="AF43" i="57"/>
  <c r="Y7" i="57"/>
  <c r="AF33" i="57"/>
  <c r="F5" i="53"/>
  <c r="AF37" i="57"/>
  <c r="F99" i="53"/>
  <c r="F5" i="47"/>
  <c r="AF15" i="1"/>
  <c r="BC15" i="1" s="1"/>
  <c r="AE101" i="57"/>
  <c r="S101" i="57"/>
  <c r="F101" i="57"/>
  <c r="AF51" i="57"/>
  <c r="Q7" i="57"/>
  <c r="AF30" i="57"/>
  <c r="AF47" i="57"/>
  <c r="AF36" i="57"/>
  <c r="AF74" i="57"/>
  <c r="AF48" i="57"/>
  <c r="AF91" i="57"/>
  <c r="AF70" i="57"/>
  <c r="AB7" i="57"/>
  <c r="AF65" i="57"/>
  <c r="AF71" i="57"/>
  <c r="AF88" i="57"/>
  <c r="AF89" i="57"/>
  <c r="AF34" i="57"/>
  <c r="AF85" i="57"/>
  <c r="AF76" i="57"/>
  <c r="AF57" i="57"/>
  <c r="AF35" i="57"/>
  <c r="AF58" i="57"/>
  <c r="AF94" i="57"/>
  <c r="K7" i="57"/>
  <c r="I7" i="57"/>
  <c r="AF32" i="57"/>
  <c r="AF55" i="57"/>
  <c r="AF78" i="57"/>
  <c r="AF73" i="57"/>
  <c r="M7" i="57"/>
  <c r="AF72" i="57"/>
  <c r="AF45" i="57"/>
  <c r="AF31" i="57"/>
  <c r="AF38" i="57"/>
  <c r="V7" i="57"/>
  <c r="AF66" i="57"/>
  <c r="AF52" i="57"/>
  <c r="AF82" i="57"/>
  <c r="AE4" i="57"/>
  <c r="AF27" i="57"/>
  <c r="AF60" i="57"/>
  <c r="AF83" i="57"/>
  <c r="AF81" i="57"/>
  <c r="AF42" i="57"/>
  <c r="AF90" i="57"/>
  <c r="AF54" i="57"/>
  <c r="AF80" i="57"/>
  <c r="AF69" i="57"/>
  <c r="AF39" i="57"/>
  <c r="AF62" i="57"/>
  <c r="AF29" i="57"/>
  <c r="F7" i="57"/>
  <c r="AF56" i="57"/>
  <c r="AF79" i="57"/>
  <c r="AF61" i="57"/>
  <c r="AF22" i="57"/>
  <c r="AF84" i="57"/>
  <c r="AF41" i="57"/>
  <c r="AF75" i="57"/>
  <c r="AF92" i="57"/>
  <c r="AF68" i="57"/>
  <c r="AF50" i="57"/>
  <c r="AF44" i="57"/>
  <c r="AF67" i="57"/>
  <c r="AF25" i="57"/>
  <c r="AF26" i="57"/>
  <c r="AE7" i="57"/>
  <c r="AF93" i="57"/>
  <c r="AF64" i="57"/>
  <c r="AF87" i="57"/>
  <c r="AF23" i="57"/>
  <c r="AF46" i="57"/>
  <c r="AF95" i="57"/>
  <c r="S7" i="57"/>
  <c r="AF40" i="57"/>
  <c r="AF63" i="57"/>
  <c r="AF86" i="57"/>
  <c r="AF53" i="57"/>
  <c r="AF77" i="57"/>
  <c r="AF49" i="57"/>
  <c r="J3" i="57"/>
  <c r="AF59" i="57"/>
  <c r="O7" i="57"/>
  <c r="AF96" i="57"/>
  <c r="AB101" i="57"/>
  <c r="Y101" i="57"/>
  <c r="AE105" i="57"/>
  <c r="Q101" i="57"/>
  <c r="M101" i="57"/>
  <c r="J99" i="57"/>
  <c r="I99" i="57"/>
  <c r="I101" i="57"/>
  <c r="J4" i="57"/>
  <c r="O101" i="57"/>
  <c r="V101" i="57"/>
  <c r="K101" i="57"/>
  <c r="G5" i="60"/>
  <c r="G85" i="60"/>
  <c r="AF84" i="60"/>
  <c r="AF69" i="43"/>
  <c r="AB101" i="48"/>
  <c r="Y101" i="48"/>
  <c r="C101" i="48"/>
  <c r="Q101" i="48"/>
  <c r="K101" i="48"/>
  <c r="V101" i="48"/>
  <c r="J4" i="48"/>
  <c r="F101" i="48"/>
  <c r="AE105" i="48"/>
  <c r="S101" i="48"/>
  <c r="I101" i="48"/>
  <c r="AE101" i="48"/>
  <c r="O101" i="48"/>
  <c r="M101" i="48"/>
  <c r="M101" i="55"/>
  <c r="AF93" i="55"/>
  <c r="AE4" i="43"/>
  <c r="AF76" i="43"/>
  <c r="AF72" i="43"/>
  <c r="AF65" i="43"/>
  <c r="AF78" i="43"/>
  <c r="AF84" i="43"/>
  <c r="AF87" i="43"/>
  <c r="AF83" i="43"/>
  <c r="AF95" i="43"/>
  <c r="Q7" i="43"/>
  <c r="I7" i="43"/>
  <c r="AF60" i="43"/>
  <c r="M7" i="43"/>
  <c r="AF77" i="43"/>
  <c r="AF71" i="43"/>
  <c r="AF94" i="43"/>
  <c r="K7" i="43"/>
  <c r="AE7" i="43"/>
  <c r="O7" i="43"/>
  <c r="AF80" i="43"/>
  <c r="AF61" i="43"/>
  <c r="AF21" i="1"/>
  <c r="F5" i="40"/>
  <c r="AF92" i="43"/>
  <c r="AE17" i="1"/>
  <c r="AF68" i="43"/>
  <c r="AF62" i="43"/>
  <c r="AF70" i="43"/>
  <c r="AF58" i="43"/>
  <c r="AF64" i="43"/>
  <c r="AF67" i="43"/>
  <c r="F99" i="43"/>
  <c r="AF63" i="43"/>
  <c r="AB7" i="43"/>
  <c r="AF59" i="43"/>
  <c r="S7" i="43"/>
  <c r="AF56" i="43"/>
  <c r="AF81" i="43"/>
  <c r="AF96" i="43"/>
  <c r="Y7" i="43"/>
  <c r="AF86" i="43"/>
  <c r="V7" i="43"/>
  <c r="AF79" i="43"/>
  <c r="AF93" i="43"/>
  <c r="AF55" i="43"/>
  <c r="J3" i="43"/>
  <c r="AF74" i="43"/>
  <c r="AF73" i="43"/>
  <c r="AF66" i="43"/>
  <c r="C7" i="43"/>
  <c r="AF85" i="43"/>
  <c r="F7" i="43"/>
  <c r="AF75" i="43"/>
  <c r="AF88" i="43"/>
  <c r="AF57" i="43"/>
  <c r="AF90" i="43"/>
  <c r="AF89" i="43"/>
  <c r="AF82" i="43"/>
  <c r="I7" i="55"/>
  <c r="AF95" i="55"/>
  <c r="AF73" i="55"/>
  <c r="S7" i="55"/>
  <c r="AF92" i="55"/>
  <c r="AF89" i="55"/>
  <c r="AF78" i="55"/>
  <c r="AF68" i="55"/>
  <c r="AF71" i="55"/>
  <c r="AF77" i="55"/>
  <c r="AE7" i="55"/>
  <c r="AF94" i="55"/>
  <c r="AF74" i="55"/>
  <c r="M7" i="55"/>
  <c r="AF76" i="55"/>
  <c r="C7" i="55"/>
  <c r="AF79" i="55"/>
  <c r="AB7" i="55"/>
  <c r="AF16" i="1"/>
  <c r="BC16" i="1" s="1"/>
  <c r="F5" i="44"/>
  <c r="AF84" i="55"/>
  <c r="AF90" i="55"/>
  <c r="AB101" i="55"/>
  <c r="AE105" i="55"/>
  <c r="C101" i="55"/>
  <c r="V101" i="55"/>
  <c r="J4" i="55"/>
  <c r="O101" i="55"/>
  <c r="J99" i="55"/>
  <c r="AF85" i="55"/>
  <c r="S101" i="55"/>
  <c r="Y101" i="55"/>
  <c r="K101" i="55"/>
  <c r="I101" i="55"/>
  <c r="F101" i="55"/>
  <c r="BD5" i="1"/>
  <c r="Q101" i="55"/>
  <c r="AF91" i="55"/>
  <c r="AF75" i="55"/>
  <c r="K7" i="55"/>
  <c r="AF88" i="55"/>
  <c r="AF72" i="55"/>
  <c r="AF82" i="55"/>
  <c r="Q7" i="55"/>
  <c r="AF86" i="55"/>
  <c r="AE5" i="1"/>
  <c r="AD5" i="1" s="1"/>
  <c r="AF83" i="55"/>
  <c r="AF67" i="55"/>
  <c r="AE4" i="55"/>
  <c r="AF96" i="55"/>
  <c r="AF80" i="55"/>
  <c r="O7" i="55"/>
  <c r="J3" i="55"/>
  <c r="AF70" i="55"/>
  <c r="F7" i="55"/>
  <c r="AF81" i="55"/>
  <c r="Y7" i="55"/>
  <c r="V7" i="55"/>
  <c r="I99" i="55"/>
  <c r="AF69" i="55"/>
  <c r="I3" i="41"/>
  <c r="M6" i="1"/>
  <c r="M14" i="1"/>
  <c r="M5" i="1"/>
  <c r="M12" i="1"/>
  <c r="Y101" i="49" l="1"/>
  <c r="AE101" i="49"/>
  <c r="J4" i="49"/>
  <c r="Q101" i="49"/>
  <c r="AE105" i="49"/>
  <c r="AB101" i="49"/>
  <c r="M101" i="49"/>
  <c r="C101" i="49"/>
  <c r="AB7" i="49"/>
  <c r="O101" i="49"/>
  <c r="F101" i="49"/>
  <c r="AF83" i="49"/>
  <c r="V101" i="49"/>
  <c r="K101" i="49"/>
  <c r="S101" i="49"/>
  <c r="I101" i="49"/>
  <c r="Y7" i="49"/>
  <c r="C7" i="49"/>
  <c r="I7" i="49"/>
  <c r="I99" i="49"/>
  <c r="AF84" i="49"/>
  <c r="AF88" i="49"/>
  <c r="AF76" i="49"/>
  <c r="AF80" i="49"/>
  <c r="Q7" i="49"/>
  <c r="AE13" i="1"/>
  <c r="BE13" i="1" s="1"/>
  <c r="AC51" i="40"/>
  <c r="M51" i="40"/>
  <c r="J99" i="49"/>
  <c r="AF70" i="49"/>
  <c r="AF85" i="49"/>
  <c r="F7" i="49"/>
  <c r="AF67" i="49"/>
  <c r="AF72" i="49"/>
  <c r="AF93" i="49"/>
  <c r="AF86" i="49"/>
  <c r="O7" i="49"/>
  <c r="AF91" i="49"/>
  <c r="AF94" i="49"/>
  <c r="AF87" i="49"/>
  <c r="AF77" i="49"/>
  <c r="AF90" i="49"/>
  <c r="M7" i="49"/>
  <c r="J3" i="49"/>
  <c r="AF71" i="49"/>
  <c r="AE4" i="49"/>
  <c r="AF82" i="49"/>
  <c r="AF73" i="49"/>
  <c r="AF69" i="49"/>
  <c r="AF78" i="49"/>
  <c r="AF75" i="49"/>
  <c r="AF92" i="49"/>
  <c r="AF74" i="49"/>
  <c r="AF79" i="49"/>
  <c r="AF96" i="49"/>
  <c r="V7" i="49"/>
  <c r="AF95" i="49"/>
  <c r="S7" i="49"/>
  <c r="AF89" i="49"/>
  <c r="K7" i="49"/>
  <c r="AF81" i="49"/>
  <c r="AF68" i="49"/>
  <c r="AF67" i="48"/>
  <c r="O7" i="48"/>
  <c r="AF80" i="48"/>
  <c r="C51" i="40"/>
  <c r="I99" i="48"/>
  <c r="M101" i="44"/>
  <c r="AF82" i="48"/>
  <c r="C7" i="48"/>
  <c r="AF94" i="48"/>
  <c r="F101" i="44"/>
  <c r="Y101" i="44"/>
  <c r="AF77" i="48"/>
  <c r="AF72" i="48"/>
  <c r="AF88" i="48"/>
  <c r="J3" i="48"/>
  <c r="C101" i="44"/>
  <c r="AE105" i="44"/>
  <c r="S101" i="47"/>
  <c r="Q101" i="44"/>
  <c r="AE101" i="44"/>
  <c r="O101" i="44"/>
  <c r="F101" i="47"/>
  <c r="V101" i="44"/>
  <c r="J4" i="44"/>
  <c r="K101" i="44"/>
  <c r="AB101" i="44"/>
  <c r="I101" i="44"/>
  <c r="F7" i="48"/>
  <c r="AF76" i="48"/>
  <c r="K101" i="47"/>
  <c r="AE101" i="47"/>
  <c r="M101" i="47"/>
  <c r="AF75" i="48"/>
  <c r="AF69" i="48"/>
  <c r="AF95" i="48"/>
  <c r="AF86" i="48"/>
  <c r="AF89" i="48"/>
  <c r="Q7" i="48"/>
  <c r="AF71" i="48"/>
  <c r="AF91" i="48"/>
  <c r="I7" i="48"/>
  <c r="V7" i="48"/>
  <c r="AF92" i="48"/>
  <c r="AF93" i="48"/>
  <c r="AF90" i="48"/>
  <c r="AF83" i="48"/>
  <c r="AE4" i="48"/>
  <c r="M7" i="48"/>
  <c r="AF85" i="48"/>
  <c r="AE7" i="48"/>
  <c r="AF78" i="48"/>
  <c r="S7" i="48"/>
  <c r="AF68" i="48"/>
  <c r="AF73" i="48"/>
  <c r="AB7" i="48"/>
  <c r="AF84" i="48"/>
  <c r="K7" i="48"/>
  <c r="J99" i="48"/>
  <c r="AE14" i="1"/>
  <c r="BE14" i="1" s="1"/>
  <c r="AF70" i="48"/>
  <c r="AF96" i="48"/>
  <c r="Y7" i="48"/>
  <c r="AF81" i="48"/>
  <c r="AF74" i="48"/>
  <c r="AF87" i="48"/>
  <c r="O101" i="51"/>
  <c r="AE101" i="51"/>
  <c r="I101" i="51"/>
  <c r="K101" i="51"/>
  <c r="S101" i="51"/>
  <c r="V101" i="51"/>
  <c r="J4" i="51"/>
  <c r="Y101" i="51"/>
  <c r="BD15" i="1"/>
  <c r="Y101" i="47"/>
  <c r="AB101" i="47"/>
  <c r="I101" i="47"/>
  <c r="J4" i="47"/>
  <c r="V101" i="47"/>
  <c r="C101" i="47"/>
  <c r="Q101" i="47"/>
  <c r="BE19" i="1"/>
  <c r="BD21" i="1"/>
  <c r="F51" i="40"/>
  <c r="F101" i="51"/>
  <c r="Q101" i="51"/>
  <c r="AB101" i="51"/>
  <c r="T51" i="40"/>
  <c r="C101" i="51"/>
  <c r="AE105" i="51"/>
  <c r="Q51" i="40"/>
  <c r="I51" i="40"/>
  <c r="Z51" i="40"/>
  <c r="BE8" i="1"/>
  <c r="J4" i="40"/>
  <c r="O51" i="40"/>
  <c r="W51" i="40"/>
  <c r="X32" i="1"/>
  <c r="AF75" i="52"/>
  <c r="I101" i="43"/>
  <c r="AF94" i="56"/>
  <c r="O101" i="47"/>
  <c r="AC55" i="40"/>
  <c r="AE26" i="1"/>
  <c r="AD26" i="1" s="1"/>
  <c r="J4" i="54"/>
  <c r="O7" i="40"/>
  <c r="J4" i="53"/>
  <c r="AF93" i="54"/>
  <c r="BD20" i="1"/>
  <c r="AF91" i="50"/>
  <c r="J3" i="44"/>
  <c r="BD12" i="1"/>
  <c r="BD10" i="1"/>
  <c r="Y101" i="52"/>
  <c r="AF95" i="51"/>
  <c r="BD11" i="1"/>
  <c r="BD16" i="1"/>
  <c r="F101" i="42"/>
  <c r="AE105" i="42"/>
  <c r="AB101" i="42"/>
  <c r="K101" i="42"/>
  <c r="M101" i="42"/>
  <c r="J4" i="42"/>
  <c r="I101" i="42"/>
  <c r="O101" i="42"/>
  <c r="AE101" i="42"/>
  <c r="V101" i="42"/>
  <c r="Y101" i="42"/>
  <c r="S101" i="42"/>
  <c r="C101" i="42"/>
  <c r="Q101" i="42"/>
  <c r="M29" i="1"/>
  <c r="M32" i="1" s="1"/>
  <c r="AP22" i="1" s="1"/>
  <c r="AD22" i="1" s="1"/>
  <c r="AF67" i="51"/>
  <c r="AF74" i="51"/>
  <c r="AF75" i="51"/>
  <c r="AF70" i="51"/>
  <c r="AF94" i="51"/>
  <c r="AF83" i="51"/>
  <c r="V7" i="51"/>
  <c r="Y7" i="51"/>
  <c r="AF69" i="51"/>
  <c r="AF90" i="51"/>
  <c r="AF88" i="52"/>
  <c r="AF82" i="51"/>
  <c r="AF86" i="51"/>
  <c r="AF65" i="51"/>
  <c r="AF71" i="51"/>
  <c r="AB7" i="51"/>
  <c r="Q7" i="51"/>
  <c r="AF85" i="51"/>
  <c r="AF91" i="51"/>
  <c r="F7" i="51"/>
  <c r="O7" i="51"/>
  <c r="AF89" i="51"/>
  <c r="AF88" i="51"/>
  <c r="M7" i="51"/>
  <c r="S7" i="51"/>
  <c r="AE4" i="51"/>
  <c r="AF73" i="51"/>
  <c r="I99" i="51"/>
  <c r="AF64" i="51"/>
  <c r="AF81" i="51"/>
  <c r="AF87" i="51"/>
  <c r="AF84" i="51"/>
  <c r="AF72" i="51"/>
  <c r="AE7" i="51"/>
  <c r="AF92" i="51"/>
  <c r="AF77" i="51"/>
  <c r="AF80" i="51"/>
  <c r="AF63" i="51"/>
  <c r="AF61" i="51"/>
  <c r="AF68" i="51"/>
  <c r="AF79" i="51"/>
  <c r="AF66" i="51"/>
  <c r="AF76" i="51"/>
  <c r="AF96" i="51"/>
  <c r="AE11" i="1"/>
  <c r="I7" i="51"/>
  <c r="AF62" i="51"/>
  <c r="J99" i="51"/>
  <c r="K7" i="51"/>
  <c r="C7" i="51"/>
  <c r="J3" i="51"/>
  <c r="AF93" i="51"/>
  <c r="AF78" i="51"/>
  <c r="AF71" i="52"/>
  <c r="AF78" i="52"/>
  <c r="O7" i="52"/>
  <c r="AF80" i="52"/>
  <c r="V7" i="52"/>
  <c r="AF84" i="52"/>
  <c r="AF93" i="52"/>
  <c r="AF72" i="52"/>
  <c r="AF82" i="52"/>
  <c r="J99" i="52"/>
  <c r="C101" i="52"/>
  <c r="Q101" i="52"/>
  <c r="BD9" i="1"/>
  <c r="AF92" i="52"/>
  <c r="AF86" i="52"/>
  <c r="F7" i="52"/>
  <c r="AF85" i="52"/>
  <c r="AE9" i="1"/>
  <c r="AF81" i="52"/>
  <c r="AE105" i="52"/>
  <c r="AF90" i="52"/>
  <c r="I7" i="52"/>
  <c r="AF96" i="52"/>
  <c r="AB7" i="52"/>
  <c r="AE7" i="52"/>
  <c r="S101" i="52"/>
  <c r="AF74" i="52"/>
  <c r="AF77" i="52"/>
  <c r="AF76" i="52"/>
  <c r="K7" i="52"/>
  <c r="AE4" i="52"/>
  <c r="S7" i="52"/>
  <c r="AF73" i="52"/>
  <c r="M7" i="52"/>
  <c r="J3" i="52"/>
  <c r="AF89" i="52"/>
  <c r="AF79" i="52"/>
  <c r="AF87" i="52"/>
  <c r="AF83" i="52"/>
  <c r="Y7" i="52"/>
  <c r="AE101" i="52"/>
  <c r="AF95" i="52"/>
  <c r="Q7" i="52"/>
  <c r="AF91" i="52"/>
  <c r="AF70" i="52"/>
  <c r="AB101" i="52"/>
  <c r="C7" i="52"/>
  <c r="AF94" i="52"/>
  <c r="I101" i="52"/>
  <c r="K101" i="52"/>
  <c r="V101" i="52"/>
  <c r="O101" i="52"/>
  <c r="J4" i="52"/>
  <c r="M101" i="52"/>
  <c r="I99" i="52"/>
  <c r="F101" i="52"/>
  <c r="J4" i="56"/>
  <c r="I101" i="50"/>
  <c r="M101" i="56"/>
  <c r="S101" i="50"/>
  <c r="Q101" i="50"/>
  <c r="J99" i="47"/>
  <c r="M101" i="50"/>
  <c r="J4" i="50"/>
  <c r="K101" i="50"/>
  <c r="G99" i="58"/>
  <c r="S7" i="56"/>
  <c r="AF74" i="56"/>
  <c r="O7" i="56"/>
  <c r="AF71" i="56"/>
  <c r="AF75" i="50"/>
  <c r="AF86" i="53"/>
  <c r="Q101" i="54"/>
  <c r="AF67" i="53"/>
  <c r="AF68" i="50"/>
  <c r="AF71" i="50"/>
  <c r="Q7" i="50"/>
  <c r="AF72" i="50"/>
  <c r="AF92" i="50"/>
  <c r="AF94" i="53"/>
  <c r="BD6" i="1"/>
  <c r="AF74" i="50"/>
  <c r="AF93" i="50"/>
  <c r="AF94" i="50"/>
  <c r="AE7" i="50"/>
  <c r="O7" i="53"/>
  <c r="AB101" i="54"/>
  <c r="V101" i="54"/>
  <c r="AF69" i="50"/>
  <c r="S7" i="50"/>
  <c r="AE4" i="50"/>
  <c r="AF82" i="50"/>
  <c r="AF90" i="50"/>
  <c r="AB7" i="50"/>
  <c r="AF95" i="50"/>
  <c r="AF85" i="50"/>
  <c r="AF89" i="50"/>
  <c r="AE10" i="1"/>
  <c r="AF88" i="53"/>
  <c r="AF92" i="53"/>
  <c r="AF77" i="53"/>
  <c r="AF84" i="50"/>
  <c r="AF78" i="50"/>
  <c r="AF70" i="50"/>
  <c r="Y7" i="50"/>
  <c r="AF87" i="50"/>
  <c r="V7" i="50"/>
  <c r="K7" i="50"/>
  <c r="O7" i="50"/>
  <c r="K7" i="56"/>
  <c r="AE12" i="1"/>
  <c r="AF89" i="56"/>
  <c r="AF91" i="53"/>
  <c r="I7" i="53"/>
  <c r="I99" i="53"/>
  <c r="O101" i="54"/>
  <c r="AF81" i="50"/>
  <c r="I7" i="50"/>
  <c r="AF76" i="50"/>
  <c r="AF80" i="50"/>
  <c r="I101" i="54"/>
  <c r="K101" i="54"/>
  <c r="M101" i="54"/>
  <c r="AF67" i="50"/>
  <c r="F7" i="50"/>
  <c r="AF77" i="50"/>
  <c r="M7" i="50"/>
  <c r="AF96" i="50"/>
  <c r="AF88" i="50"/>
  <c r="C7" i="50"/>
  <c r="AF73" i="50"/>
  <c r="AF86" i="50"/>
  <c r="AF79" i="50"/>
  <c r="AF90" i="56"/>
  <c r="AF84" i="56"/>
  <c r="AF73" i="56"/>
  <c r="AF83" i="50"/>
  <c r="J3" i="50"/>
  <c r="AF96" i="53"/>
  <c r="AF72" i="53"/>
  <c r="AF83" i="53"/>
  <c r="J3" i="53"/>
  <c r="AF80" i="47"/>
  <c r="J99" i="50"/>
  <c r="Q101" i="56"/>
  <c r="AE101" i="56"/>
  <c r="Y101" i="50"/>
  <c r="O101" i="50"/>
  <c r="C101" i="50"/>
  <c r="AE101" i="50"/>
  <c r="AF82" i="47"/>
  <c r="AF76" i="47"/>
  <c r="I99" i="50"/>
  <c r="F101" i="56"/>
  <c r="AE105" i="50"/>
  <c r="AB101" i="50"/>
  <c r="F101" i="50"/>
  <c r="V101" i="50"/>
  <c r="AF98" i="58"/>
  <c r="AF77" i="54"/>
  <c r="AF74" i="54"/>
  <c r="AF82" i="54"/>
  <c r="AF78" i="54"/>
  <c r="O101" i="53"/>
  <c r="C7" i="54"/>
  <c r="AF76" i="54"/>
  <c r="AE105" i="53"/>
  <c r="AF73" i="54"/>
  <c r="AF72" i="54"/>
  <c r="AF90" i="54"/>
  <c r="AE101" i="53"/>
  <c r="BD26" i="1"/>
  <c r="Y101" i="53"/>
  <c r="I99" i="54"/>
  <c r="AF86" i="54"/>
  <c r="AE7" i="54"/>
  <c r="J3" i="54"/>
  <c r="S101" i="53"/>
  <c r="Q101" i="53"/>
  <c r="AF89" i="54"/>
  <c r="AF80" i="54"/>
  <c r="AF94" i="54"/>
  <c r="K7" i="54"/>
  <c r="S7" i="54"/>
  <c r="M7" i="54"/>
  <c r="AF71" i="54"/>
  <c r="J99" i="53"/>
  <c r="F101" i="53"/>
  <c r="AF80" i="56"/>
  <c r="J3" i="56"/>
  <c r="AF69" i="56"/>
  <c r="V7" i="56"/>
  <c r="AF67" i="56"/>
  <c r="AF85" i="54"/>
  <c r="AF69" i="54"/>
  <c r="AB7" i="54"/>
  <c r="AF96" i="54"/>
  <c r="AF75" i="54"/>
  <c r="AF88" i="54"/>
  <c r="AF67" i="54"/>
  <c r="F7" i="54"/>
  <c r="AF82" i="56"/>
  <c r="Y7" i="56"/>
  <c r="AF92" i="56"/>
  <c r="AF76" i="56"/>
  <c r="F7" i="56"/>
  <c r="AF81" i="56"/>
  <c r="AE7" i="56"/>
  <c r="M7" i="56"/>
  <c r="AF79" i="54"/>
  <c r="AE6" i="1"/>
  <c r="AD6" i="1" s="1"/>
  <c r="AF95" i="54"/>
  <c r="AE4" i="54"/>
  <c r="AF79" i="56"/>
  <c r="AF75" i="56"/>
  <c r="C7" i="56"/>
  <c r="AF83" i="56"/>
  <c r="V101" i="53"/>
  <c r="C101" i="53"/>
  <c r="M101" i="53"/>
  <c r="I101" i="53"/>
  <c r="G5" i="58"/>
  <c r="AF86" i="56"/>
  <c r="AF70" i="56"/>
  <c r="AF96" i="56"/>
  <c r="AF85" i="56"/>
  <c r="I7" i="56"/>
  <c r="AF95" i="56"/>
  <c r="AF91" i="56"/>
  <c r="AF81" i="54"/>
  <c r="Y7" i="54"/>
  <c r="AF91" i="54"/>
  <c r="AF70" i="54"/>
  <c r="I7" i="54"/>
  <c r="AF83" i="54"/>
  <c r="Q7" i="54"/>
  <c r="AF78" i="56"/>
  <c r="AE4" i="56"/>
  <c r="AF88" i="56"/>
  <c r="AF68" i="56"/>
  <c r="AB7" i="56"/>
  <c r="AF93" i="56"/>
  <c r="AF77" i="56"/>
  <c r="Q7" i="56"/>
  <c r="AF72" i="56"/>
  <c r="AF68" i="54"/>
  <c r="AF87" i="54"/>
  <c r="V7" i="54"/>
  <c r="AF84" i="54"/>
  <c r="O7" i="54"/>
  <c r="AF87" i="56"/>
  <c r="AF92" i="54"/>
  <c r="AB101" i="53"/>
  <c r="K101" i="53"/>
  <c r="AF71" i="47"/>
  <c r="F7" i="47"/>
  <c r="I99" i="56"/>
  <c r="K101" i="56"/>
  <c r="O7" i="47"/>
  <c r="J99" i="54"/>
  <c r="S101" i="54"/>
  <c r="AE101" i="54"/>
  <c r="AF90" i="47"/>
  <c r="Q7" i="47"/>
  <c r="AF74" i="47"/>
  <c r="AF93" i="47"/>
  <c r="Y101" i="54"/>
  <c r="C101" i="56"/>
  <c r="AE105" i="56"/>
  <c r="V101" i="56"/>
  <c r="J99" i="56"/>
  <c r="F7" i="53"/>
  <c r="AF89" i="53"/>
  <c r="AF73" i="53"/>
  <c r="AF84" i="53"/>
  <c r="AF75" i="47"/>
  <c r="AF67" i="47"/>
  <c r="AB101" i="56"/>
  <c r="C101" i="54"/>
  <c r="F101" i="54"/>
  <c r="AE105" i="54"/>
  <c r="AF77" i="47"/>
  <c r="Y7" i="47"/>
  <c r="AF73" i="47"/>
  <c r="O101" i="56"/>
  <c r="I101" i="56"/>
  <c r="Y101" i="56"/>
  <c r="S101" i="56"/>
  <c r="Q7" i="53"/>
  <c r="AF95" i="53"/>
  <c r="K7" i="53"/>
  <c r="M7" i="53"/>
  <c r="V7" i="47"/>
  <c r="AF88" i="47"/>
  <c r="AE15" i="1"/>
  <c r="AF89" i="47"/>
  <c r="AF91" i="47"/>
  <c r="AE7" i="47"/>
  <c r="I99" i="47"/>
  <c r="I7" i="47"/>
  <c r="C7" i="47"/>
  <c r="AF70" i="47"/>
  <c r="AF72" i="47"/>
  <c r="AF79" i="47"/>
  <c r="K7" i="47"/>
  <c r="AF81" i="53"/>
  <c r="C7" i="53"/>
  <c r="AF74" i="53"/>
  <c r="AF69" i="53"/>
  <c r="AF93" i="53"/>
  <c r="AF80" i="53"/>
  <c r="AF79" i="53"/>
  <c r="AE7" i="53"/>
  <c r="AF76" i="53"/>
  <c r="AF70" i="53"/>
  <c r="AE4" i="53"/>
  <c r="AF68" i="47"/>
  <c r="M7" i="47"/>
  <c r="AF85" i="47"/>
  <c r="AE4" i="47"/>
  <c r="AF95" i="47"/>
  <c r="AF94" i="47"/>
  <c r="J3" i="47"/>
  <c r="AF86" i="47"/>
  <c r="AF84" i="47"/>
  <c r="AF96" i="47"/>
  <c r="AF87" i="47"/>
  <c r="AF78" i="47"/>
  <c r="AF92" i="47"/>
  <c r="AF83" i="47"/>
  <c r="AB7" i="47"/>
  <c r="AF69" i="47"/>
  <c r="S7" i="47"/>
  <c r="AF81" i="47"/>
  <c r="S7" i="53"/>
  <c r="Y7" i="53"/>
  <c r="AF68" i="53"/>
  <c r="AF90" i="53"/>
  <c r="AF85" i="53"/>
  <c r="AF87" i="53"/>
  <c r="AB7" i="53"/>
  <c r="AF78" i="53"/>
  <c r="AF71" i="53"/>
  <c r="AF75" i="53"/>
  <c r="V7" i="53"/>
  <c r="AF82" i="53"/>
  <c r="G5" i="57"/>
  <c r="AF98" i="57"/>
  <c r="G99" i="57"/>
  <c r="BE5" i="1"/>
  <c r="AF53" i="42"/>
  <c r="G99" i="48"/>
  <c r="AF47" i="42"/>
  <c r="AF42" i="42"/>
  <c r="AF86" i="44"/>
  <c r="AF52" i="42"/>
  <c r="AF67" i="44"/>
  <c r="AF55" i="42"/>
  <c r="AC7" i="40"/>
  <c r="M101" i="43"/>
  <c r="W7" i="40"/>
  <c r="J99" i="42"/>
  <c r="AF69" i="42"/>
  <c r="AE4" i="42"/>
  <c r="AF75" i="42"/>
  <c r="AF71" i="42"/>
  <c r="AF72" i="42"/>
  <c r="AF77" i="42"/>
  <c r="AF61" i="44"/>
  <c r="AF48" i="42"/>
  <c r="AF85" i="42"/>
  <c r="AF90" i="42"/>
  <c r="AF64" i="42"/>
  <c r="AF78" i="42"/>
  <c r="Y7" i="42"/>
  <c r="AF46" i="42"/>
  <c r="AF59" i="44"/>
  <c r="AF70" i="44"/>
  <c r="K101" i="43"/>
  <c r="AF39" i="42"/>
  <c r="AF45" i="42"/>
  <c r="AF66" i="42"/>
  <c r="AF62" i="42"/>
  <c r="K7" i="42"/>
  <c r="AF57" i="42"/>
  <c r="AF89" i="42"/>
  <c r="AF58" i="42"/>
  <c r="AD31" i="40"/>
  <c r="AD30" i="40"/>
  <c r="AF82" i="42"/>
  <c r="AE105" i="43"/>
  <c r="I49" i="40"/>
  <c r="AF84" i="44"/>
  <c r="AE4" i="44"/>
  <c r="AF61" i="42"/>
  <c r="AF67" i="42"/>
  <c r="AF87" i="42"/>
  <c r="AF50" i="42"/>
  <c r="AF86" i="42"/>
  <c r="C7" i="42"/>
  <c r="AF83" i="42"/>
  <c r="AF74" i="42"/>
  <c r="AF93" i="42"/>
  <c r="AD41" i="40"/>
  <c r="AD27" i="40"/>
  <c r="O101" i="43"/>
  <c r="BD17" i="1"/>
  <c r="BE17" i="1" s="1"/>
  <c r="AD44" i="40"/>
  <c r="AD35" i="40"/>
  <c r="AD40" i="40"/>
  <c r="AD39" i="40"/>
  <c r="AF93" i="44"/>
  <c r="Y7" i="44"/>
  <c r="S101" i="43"/>
  <c r="AB101" i="43"/>
  <c r="V101" i="43"/>
  <c r="AF73" i="42"/>
  <c r="O7" i="42"/>
  <c r="AF92" i="42"/>
  <c r="AF95" i="42"/>
  <c r="S7" i="42"/>
  <c r="AF49" i="42"/>
  <c r="AF44" i="42"/>
  <c r="AF51" i="42"/>
  <c r="J3" i="42"/>
  <c r="AE7" i="42"/>
  <c r="AF79" i="42"/>
  <c r="AF91" i="42"/>
  <c r="I7" i="42"/>
  <c r="AF68" i="42"/>
  <c r="AE20" i="1"/>
  <c r="AF54" i="42"/>
  <c r="AF40" i="42"/>
  <c r="AF81" i="42"/>
  <c r="F7" i="40"/>
  <c r="AD33" i="40"/>
  <c r="M7" i="40"/>
  <c r="J3" i="40"/>
  <c r="Q7" i="40"/>
  <c r="AD36" i="40"/>
  <c r="Q101" i="43"/>
  <c r="C7" i="40"/>
  <c r="AD34" i="40"/>
  <c r="S7" i="44"/>
  <c r="AF77" i="44"/>
  <c r="AF68" i="44"/>
  <c r="AF95" i="44"/>
  <c r="F101" i="43"/>
  <c r="AE101" i="43"/>
  <c r="C101" i="43"/>
  <c r="F7" i="42"/>
  <c r="AF70" i="42"/>
  <c r="AF60" i="42"/>
  <c r="Q7" i="42"/>
  <c r="I99" i="42"/>
  <c r="AF65" i="42"/>
  <c r="AF94" i="42"/>
  <c r="AF84" i="42"/>
  <c r="AF41" i="42"/>
  <c r="AB7" i="42"/>
  <c r="V7" i="42"/>
  <c r="AF76" i="42"/>
  <c r="AF56" i="42"/>
  <c r="AF59" i="42"/>
  <c r="AF96" i="42"/>
  <c r="AF63" i="42"/>
  <c r="AF88" i="42"/>
  <c r="M7" i="42"/>
  <c r="AD38" i="40"/>
  <c r="I7" i="40"/>
  <c r="AD45" i="40"/>
  <c r="J49" i="40"/>
  <c r="K7" i="40"/>
  <c r="AD26" i="40"/>
  <c r="AF43" i="42"/>
  <c r="I99" i="43"/>
  <c r="J99" i="43"/>
  <c r="Y101" i="43"/>
  <c r="J4" i="43"/>
  <c r="Z7" i="40"/>
  <c r="AD32" i="40"/>
  <c r="AD46" i="40"/>
  <c r="AD28" i="40"/>
  <c r="T7" i="40"/>
  <c r="AD29" i="40"/>
  <c r="AE21" i="1"/>
  <c r="AD43" i="40"/>
  <c r="AD42" i="40"/>
  <c r="AD37" i="40"/>
  <c r="AF82" i="44"/>
  <c r="AF66" i="44"/>
  <c r="AB7" i="44"/>
  <c r="AF76" i="44"/>
  <c r="V7" i="44"/>
  <c r="AF89" i="44"/>
  <c r="AF73" i="44"/>
  <c r="M7" i="44"/>
  <c r="AF92" i="44"/>
  <c r="AF60" i="44"/>
  <c r="I7" i="44"/>
  <c r="I99" i="44"/>
  <c r="Q7" i="44"/>
  <c r="AF63" i="44"/>
  <c r="G5" i="43"/>
  <c r="AF94" i="44"/>
  <c r="AF78" i="44"/>
  <c r="AF62" i="44"/>
  <c r="AF96" i="44"/>
  <c r="AF64" i="44"/>
  <c r="J99" i="44"/>
  <c r="AF85" i="44"/>
  <c r="AF69" i="44"/>
  <c r="O7" i="44"/>
  <c r="AF80" i="44"/>
  <c r="AF91" i="44"/>
  <c r="AF87" i="44"/>
  <c r="AF79" i="44"/>
  <c r="AE7" i="44"/>
  <c r="F7" i="44"/>
  <c r="AF90" i="44"/>
  <c r="AF74" i="44"/>
  <c r="AF58" i="44"/>
  <c r="C7" i="44"/>
  <c r="AG3" i="1" s="1"/>
  <c r="AF88" i="44"/>
  <c r="AE16" i="1"/>
  <c r="AF81" i="44"/>
  <c r="AF65" i="44"/>
  <c r="K7" i="44"/>
  <c r="AF72" i="44"/>
  <c r="AF75" i="44"/>
  <c r="AF71" i="44"/>
  <c r="AF83" i="44"/>
  <c r="AF98" i="43"/>
  <c r="G99" i="55"/>
  <c r="G5" i="55"/>
  <c r="AF98" i="55"/>
  <c r="AF18" i="1"/>
  <c r="F99" i="41"/>
  <c r="F5" i="41"/>
  <c r="AC4" i="40"/>
  <c r="AO21" i="1"/>
  <c r="AO3" i="1" s="1"/>
  <c r="M3" i="1"/>
  <c r="G99" i="49" l="1"/>
  <c r="AF98" i="49"/>
  <c r="G5" i="49"/>
  <c r="G99" i="44"/>
  <c r="BE15" i="1"/>
  <c r="BE12" i="1"/>
  <c r="G5" i="48"/>
  <c r="AF98" i="48"/>
  <c r="G99" i="47"/>
  <c r="G49" i="40"/>
  <c r="G99" i="51"/>
  <c r="BE11" i="1"/>
  <c r="BE16" i="1"/>
  <c r="BE10" i="1"/>
  <c r="BE26" i="1"/>
  <c r="J3" i="41"/>
  <c r="V40" i="1"/>
  <c r="P40" i="1"/>
  <c r="G99" i="42"/>
  <c r="C20" i="33"/>
  <c r="C10" i="33"/>
  <c r="C14" i="33"/>
  <c r="H17" i="33"/>
  <c r="C19" i="33"/>
  <c r="H20" i="33"/>
  <c r="H9" i="33"/>
  <c r="H14" i="33"/>
  <c r="C17" i="33"/>
  <c r="C21" i="33"/>
  <c r="H19" i="33"/>
  <c r="H13" i="33"/>
  <c r="H18" i="33"/>
  <c r="C18" i="33"/>
  <c r="H15" i="33"/>
  <c r="C13" i="33"/>
  <c r="C9" i="33"/>
  <c r="C8" i="33"/>
  <c r="C15" i="33"/>
  <c r="BE20" i="1"/>
  <c r="X33" i="1"/>
  <c r="X35" i="1" s="1"/>
  <c r="AF98" i="51"/>
  <c r="G5" i="51"/>
  <c r="BE9" i="1"/>
  <c r="AF98" i="52"/>
  <c r="G5" i="52"/>
  <c r="G99" i="52"/>
  <c r="G99" i="50"/>
  <c r="AF98" i="50"/>
  <c r="G5" i="50"/>
  <c r="BE6" i="1"/>
  <c r="G99" i="53"/>
  <c r="G99" i="54"/>
  <c r="G5" i="54"/>
  <c r="AF98" i="54"/>
  <c r="AF98" i="56"/>
  <c r="G99" i="56"/>
  <c r="G5" i="56"/>
  <c r="AF98" i="53"/>
  <c r="AF98" i="47"/>
  <c r="G5" i="53"/>
  <c r="G5" i="47"/>
  <c r="BE21" i="1"/>
  <c r="G5" i="40"/>
  <c r="G5" i="42"/>
  <c r="AF98" i="42"/>
  <c r="G99" i="43"/>
  <c r="G5" i="44"/>
  <c r="AF98" i="44"/>
  <c r="AD48" i="40"/>
  <c r="AF3" i="1"/>
  <c r="AF4" i="1" s="1"/>
  <c r="AB101" i="41"/>
  <c r="O101" i="41"/>
  <c r="I99" i="41"/>
  <c r="AE105" i="41"/>
  <c r="I101" i="41"/>
  <c r="J99" i="41"/>
  <c r="F101" i="41"/>
  <c r="Y101" i="41"/>
  <c r="BD18" i="1"/>
  <c r="M101" i="41"/>
  <c r="S101" i="41"/>
  <c r="Q101" i="41"/>
  <c r="C101" i="41"/>
  <c r="J4" i="41"/>
  <c r="K101" i="41"/>
  <c r="AE101" i="41"/>
  <c r="V101" i="41"/>
  <c r="AF91" i="41"/>
  <c r="AF86" i="41"/>
  <c r="AF93" i="41"/>
  <c r="AF50" i="41"/>
  <c r="AF54" i="41"/>
  <c r="AF92" i="41"/>
  <c r="AF52" i="41"/>
  <c r="AF55" i="41"/>
  <c r="AF56" i="41"/>
  <c r="AF60" i="41"/>
  <c r="AE7" i="41"/>
  <c r="AB7" i="41"/>
  <c r="Q7" i="41"/>
  <c r="Y7" i="41"/>
  <c r="AF74" i="41"/>
  <c r="AF80" i="41"/>
  <c r="AF90" i="41"/>
  <c r="AF82" i="41"/>
  <c r="AF89" i="41"/>
  <c r="AF87" i="41"/>
  <c r="AF79" i="41"/>
  <c r="AF85" i="41"/>
  <c r="AF94" i="41"/>
  <c r="AF88" i="41"/>
  <c r="M7" i="41"/>
  <c r="AF95" i="41"/>
  <c r="K7" i="41"/>
  <c r="V7" i="41"/>
  <c r="AF81" i="41"/>
  <c r="AF67" i="41"/>
  <c r="AF64" i="41"/>
  <c r="AF69" i="41"/>
  <c r="AF78" i="41"/>
  <c r="AF71" i="41"/>
  <c r="AF76" i="41"/>
  <c r="AF75" i="41"/>
  <c r="AF68" i="41"/>
  <c r="AF73" i="41"/>
  <c r="AF84" i="41"/>
  <c r="AF77" i="41"/>
  <c r="AF83" i="41"/>
  <c r="S7" i="41"/>
  <c r="I7" i="41"/>
  <c r="AF96" i="41"/>
  <c r="AF51" i="41"/>
  <c r="AF53" i="41"/>
  <c r="AF57" i="41"/>
  <c r="AF63" i="41"/>
  <c r="AF61" i="41"/>
  <c r="AF65" i="41"/>
  <c r="AF59" i="41"/>
  <c r="AF58" i="41"/>
  <c r="AF62" i="41"/>
  <c r="AF72" i="41"/>
  <c r="AF66" i="41"/>
  <c r="AF70" i="41"/>
  <c r="AE18" i="1"/>
  <c r="AE3" i="1" s="1"/>
  <c r="AE4" i="41"/>
  <c r="C7" i="41"/>
  <c r="O7" i="41"/>
  <c r="F7" i="41"/>
  <c r="AP3" i="1"/>
  <c r="A6" i="21"/>
  <c r="H558" i="63" l="1"/>
  <c r="J288" i="63"/>
  <c r="J18" i="63"/>
  <c r="K18" i="63" s="1"/>
  <c r="J378" i="63"/>
  <c r="J468" i="63"/>
  <c r="J333" i="63"/>
  <c r="J287" i="63"/>
  <c r="K287" i="63" s="1"/>
  <c r="H101" i="63"/>
  <c r="J19" i="63"/>
  <c r="H56" i="63"/>
  <c r="H243" i="63"/>
  <c r="J146" i="63"/>
  <c r="J108" i="63"/>
  <c r="K108" i="63" s="1"/>
  <c r="H19" i="63"/>
  <c r="I19" i="63" s="1"/>
  <c r="H468" i="63"/>
  <c r="H423" i="63"/>
  <c r="H513" i="63"/>
  <c r="J332" i="63"/>
  <c r="H154" i="63"/>
  <c r="I154" i="63" s="1"/>
  <c r="J63" i="63"/>
  <c r="K63" i="63" s="1"/>
  <c r="H64" i="63"/>
  <c r="I64" i="63" s="1"/>
  <c r="J11" i="63"/>
  <c r="H109" i="63"/>
  <c r="I109" i="63" s="1"/>
  <c r="H11" i="63"/>
  <c r="J198" i="63"/>
  <c r="J377" i="63"/>
  <c r="J153" i="63"/>
  <c r="K153" i="63" s="1"/>
  <c r="J513" i="63"/>
  <c r="J56" i="63"/>
  <c r="J558" i="63"/>
  <c r="J101" i="63"/>
  <c r="J64" i="63"/>
  <c r="J197" i="63"/>
  <c r="K197" i="63" s="1"/>
  <c r="J423" i="63"/>
  <c r="J242" i="63"/>
  <c r="K242" i="63" s="1"/>
  <c r="H190" i="63"/>
  <c r="H288" i="63"/>
  <c r="J512" i="63"/>
  <c r="H333" i="63"/>
  <c r="H198" i="63"/>
  <c r="I198" i="63" s="1"/>
  <c r="J467" i="63"/>
  <c r="J422" i="63"/>
  <c r="H378" i="63"/>
  <c r="J190" i="63"/>
  <c r="J109" i="63"/>
  <c r="H146" i="63"/>
  <c r="J154" i="63"/>
  <c r="J243" i="63"/>
  <c r="W40" i="1"/>
  <c r="X40" i="1" s="1"/>
  <c r="F13" i="33"/>
  <c r="D13" i="33"/>
  <c r="I13" i="33" s="1"/>
  <c r="F15" i="33"/>
  <c r="D15" i="33"/>
  <c r="I15" i="33" s="1"/>
  <c r="F14" i="33"/>
  <c r="D14" i="33"/>
  <c r="I14" i="33" s="1"/>
  <c r="F8" i="33"/>
  <c r="D8" i="33"/>
  <c r="I8" i="33" s="1"/>
  <c r="F18" i="33"/>
  <c r="D18" i="33"/>
  <c r="I18" i="33" s="1"/>
  <c r="D21" i="33"/>
  <c r="F21" i="33"/>
  <c r="F10" i="33"/>
  <c r="D10" i="33"/>
  <c r="I10" i="33" s="1"/>
  <c r="F9" i="33"/>
  <c r="D9" i="33"/>
  <c r="I9" i="33" s="1"/>
  <c r="F17" i="33"/>
  <c r="D17" i="33"/>
  <c r="I17" i="33" s="1"/>
  <c r="F19" i="33"/>
  <c r="D19" i="33"/>
  <c r="I19" i="33" s="1"/>
  <c r="F20" i="33"/>
  <c r="D20" i="33"/>
  <c r="I20" i="33" s="1"/>
  <c r="BD3" i="1"/>
  <c r="BE3" i="1" s="1"/>
  <c r="BE18" i="1"/>
  <c r="AE31" i="1"/>
  <c r="G5" i="41"/>
  <c r="BC18" i="1"/>
  <c r="BC28" i="1" s="1"/>
  <c r="AQ4" i="1"/>
  <c r="G99" i="41"/>
  <c r="AF98" i="41"/>
  <c r="AP16" i="1"/>
  <c r="AD16" i="1" s="1"/>
  <c r="AP17" i="1"/>
  <c r="AD17" i="1" s="1"/>
  <c r="AP14" i="1"/>
  <c r="AD14" i="1" s="1"/>
  <c r="AP13" i="1"/>
  <c r="AD13" i="1" s="1"/>
  <c r="AP9" i="1"/>
  <c r="AD9" i="1" s="1"/>
  <c r="AP20" i="1"/>
  <c r="AD12" i="1"/>
  <c r="AP11" i="1"/>
  <c r="AD11" i="1" s="1"/>
  <c r="AP15" i="1"/>
  <c r="AD15" i="1" s="1"/>
  <c r="AP18" i="1"/>
  <c r="AP10" i="1"/>
  <c r="AD10" i="1" s="1"/>
  <c r="AP21" i="1"/>
  <c r="AD21" i="1" s="1"/>
  <c r="AO4" i="1"/>
  <c r="AP4" i="1"/>
  <c r="AK4" i="1"/>
  <c r="AM4" i="1"/>
  <c r="AL4" i="1"/>
  <c r="AG4" i="1"/>
  <c r="AJ4" i="1"/>
  <c r="AH4" i="1"/>
  <c r="AN4" i="1"/>
  <c r="AI4" i="1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K44" i="29"/>
  <c r="J250" i="63" l="1"/>
  <c r="L652" i="63" s="1"/>
  <c r="J22" i="63"/>
  <c r="L648" i="63" s="1"/>
  <c r="J204" i="63"/>
  <c r="L651" i="63" s="1"/>
  <c r="J67" i="63"/>
  <c r="M198" i="63"/>
  <c r="K198" i="63"/>
  <c r="N198" i="63"/>
  <c r="H607" i="63"/>
  <c r="H247" i="63"/>
  <c r="H249" i="63" s="1"/>
  <c r="H652" i="63" s="1"/>
  <c r="H562" i="63"/>
  <c r="H571" i="63" s="1"/>
  <c r="H659" i="63" s="1"/>
  <c r="H472" i="63"/>
  <c r="H480" i="63" s="1"/>
  <c r="H427" i="63"/>
  <c r="H434" i="63" s="1"/>
  <c r="H382" i="63"/>
  <c r="H387" i="63" s="1"/>
  <c r="H655" i="63" s="1"/>
  <c r="H292" i="63"/>
  <c r="H296" i="63" s="1"/>
  <c r="H337" i="63"/>
  <c r="H342" i="63" s="1"/>
  <c r="I190" i="63"/>
  <c r="H517" i="63"/>
  <c r="H525" i="63" s="1"/>
  <c r="H658" i="63" s="1"/>
  <c r="H203" i="63"/>
  <c r="H651" i="63" s="1"/>
  <c r="H204" i="63"/>
  <c r="I11" i="63"/>
  <c r="H21" i="63"/>
  <c r="H648" i="63" s="1"/>
  <c r="H22" i="63"/>
  <c r="I423" i="63"/>
  <c r="J159" i="63"/>
  <c r="L650" i="63" s="1"/>
  <c r="I101" i="63"/>
  <c r="H112" i="63"/>
  <c r="H649" i="63" s="1"/>
  <c r="H113" i="63"/>
  <c r="I378" i="63"/>
  <c r="I333" i="63"/>
  <c r="J113" i="63"/>
  <c r="L649" i="63" s="1"/>
  <c r="K109" i="63"/>
  <c r="N109" i="63"/>
  <c r="M109" i="63"/>
  <c r="K154" i="63"/>
  <c r="N154" i="63"/>
  <c r="M154" i="63"/>
  <c r="I468" i="63"/>
  <c r="I243" i="63"/>
  <c r="I146" i="63"/>
  <c r="H159" i="63"/>
  <c r="H158" i="63"/>
  <c r="H650" i="63" s="1"/>
  <c r="J434" i="63"/>
  <c r="L656" i="63" s="1"/>
  <c r="K422" i="63"/>
  <c r="J569" i="63"/>
  <c r="K569" i="63" s="1"/>
  <c r="J614" i="63"/>
  <c r="K614" i="63" s="1"/>
  <c r="J526" i="63"/>
  <c r="L658" i="63" s="1"/>
  <c r="K512" i="63"/>
  <c r="J615" i="63"/>
  <c r="J388" i="63"/>
  <c r="L655" i="63" s="1"/>
  <c r="K377" i="63"/>
  <c r="J342" i="63"/>
  <c r="L654" i="63" s="1"/>
  <c r="K332" i="63"/>
  <c r="K19" i="63"/>
  <c r="M19" i="63"/>
  <c r="N19" i="63"/>
  <c r="I56" i="63"/>
  <c r="H67" i="63"/>
  <c r="H66" i="63"/>
  <c r="J296" i="63"/>
  <c r="L653" i="63" s="1"/>
  <c r="J480" i="63"/>
  <c r="L657" i="63" s="1"/>
  <c r="K467" i="63"/>
  <c r="I288" i="63"/>
  <c r="N64" i="63"/>
  <c r="K64" i="63"/>
  <c r="M64" i="63"/>
  <c r="I513" i="63"/>
  <c r="I558" i="63"/>
  <c r="H615" i="63"/>
  <c r="I615" i="63" s="1"/>
  <c r="AQ30" i="1"/>
  <c r="AQ31" i="1" s="1"/>
  <c r="L44" i="29"/>
  <c r="K48" i="29"/>
  <c r="J57" i="29"/>
  <c r="H433" i="63" l="1"/>
  <c r="H656" i="63" s="1"/>
  <c r="H526" i="63"/>
  <c r="H250" i="63"/>
  <c r="H572" i="63"/>
  <c r="H388" i="63"/>
  <c r="H295" i="63"/>
  <c r="H653" i="63" s="1"/>
  <c r="J618" i="63"/>
  <c r="L660" i="63" s="1"/>
  <c r="H479" i="63"/>
  <c r="H657" i="63" s="1"/>
  <c r="H341" i="63"/>
  <c r="H654" i="63" s="1"/>
  <c r="M243" i="63"/>
  <c r="K243" i="63"/>
  <c r="N243" i="63"/>
  <c r="I250" i="63"/>
  <c r="I249" i="63"/>
  <c r="I652" i="63" s="1"/>
  <c r="N11" i="63"/>
  <c r="K11" i="63"/>
  <c r="M11" i="63"/>
  <c r="I21" i="63"/>
  <c r="I648" i="63" s="1"/>
  <c r="I22" i="63"/>
  <c r="M190" i="63"/>
  <c r="N190" i="63"/>
  <c r="K190" i="63"/>
  <c r="I204" i="63"/>
  <c r="I203" i="63"/>
  <c r="I651" i="63" s="1"/>
  <c r="H617" i="63"/>
  <c r="H660" i="63" s="1"/>
  <c r="H618" i="63"/>
  <c r="N615" i="63"/>
  <c r="M615" i="63"/>
  <c r="K615" i="63"/>
  <c r="K617" i="63" s="1"/>
  <c r="M660" i="63" s="1"/>
  <c r="I617" i="63"/>
  <c r="I660" i="63" s="1"/>
  <c r="I618" i="63"/>
  <c r="K513" i="63"/>
  <c r="K526" i="63" s="1"/>
  <c r="N513" i="63"/>
  <c r="M513" i="63"/>
  <c r="I526" i="63"/>
  <c r="I525" i="63"/>
  <c r="I658" i="63" s="1"/>
  <c r="M56" i="63"/>
  <c r="N56" i="63"/>
  <c r="K56" i="63"/>
  <c r="I67" i="63"/>
  <c r="I66" i="63"/>
  <c r="J572" i="63"/>
  <c r="L659" i="63" s="1"/>
  <c r="K101" i="63"/>
  <c r="M101" i="63"/>
  <c r="N101" i="63"/>
  <c r="I113" i="63"/>
  <c r="I112" i="63"/>
  <c r="I649" i="63" s="1"/>
  <c r="N423" i="63"/>
  <c r="M423" i="63"/>
  <c r="K423" i="63"/>
  <c r="K433" i="63" s="1"/>
  <c r="M656" i="63" s="1"/>
  <c r="I433" i="63"/>
  <c r="I656" i="63" s="1"/>
  <c r="I434" i="63"/>
  <c r="K378" i="63"/>
  <c r="K388" i="63" s="1"/>
  <c r="N378" i="63"/>
  <c r="M378" i="63"/>
  <c r="I388" i="63"/>
  <c r="I387" i="63"/>
  <c r="I655" i="63" s="1"/>
  <c r="K558" i="63"/>
  <c r="M558" i="63"/>
  <c r="N558" i="63"/>
  <c r="I572" i="63"/>
  <c r="I571" i="63"/>
  <c r="I659" i="63" s="1"/>
  <c r="M288" i="63"/>
  <c r="N288" i="63"/>
  <c r="K288" i="63"/>
  <c r="I296" i="63"/>
  <c r="I295" i="63"/>
  <c r="I653" i="63" s="1"/>
  <c r="N146" i="63"/>
  <c r="M146" i="63"/>
  <c r="K146" i="63"/>
  <c r="I159" i="63"/>
  <c r="I158" i="63"/>
  <c r="I650" i="63" s="1"/>
  <c r="K468" i="63"/>
  <c r="K479" i="63" s="1"/>
  <c r="M657" i="63" s="1"/>
  <c r="M468" i="63"/>
  <c r="N468" i="63"/>
  <c r="I479" i="63"/>
  <c r="I657" i="63" s="1"/>
  <c r="I480" i="63"/>
  <c r="K333" i="63"/>
  <c r="K342" i="63" s="1"/>
  <c r="M333" i="63"/>
  <c r="N333" i="63"/>
  <c r="I342" i="63"/>
  <c r="I341" i="63"/>
  <c r="I654" i="63" s="1"/>
  <c r="AX4" i="1"/>
  <c r="AX30" i="1" s="1"/>
  <c r="AX31" i="1" s="1"/>
  <c r="AS4" i="1"/>
  <c r="AS30" i="1" s="1"/>
  <c r="AS31" i="1" s="1"/>
  <c r="AZ4" i="1"/>
  <c r="AZ30" i="1" s="1"/>
  <c r="AZ31" i="1" s="1"/>
  <c r="AR4" i="1"/>
  <c r="AR30" i="1" s="1"/>
  <c r="AR31" i="1" s="1"/>
  <c r="AY4" i="1"/>
  <c r="AY30" i="1" s="1"/>
  <c r="AY31" i="1" s="1"/>
  <c r="AW4" i="1"/>
  <c r="AW30" i="1" s="1"/>
  <c r="AW31" i="1" s="1"/>
  <c r="AU4" i="1"/>
  <c r="AU30" i="1" s="1"/>
  <c r="AU31" i="1" s="1"/>
  <c r="AT4" i="1"/>
  <c r="AT30" i="1" s="1"/>
  <c r="AT31" i="1" s="1"/>
  <c r="BA4" i="1"/>
  <c r="BA30" i="1" s="1"/>
  <c r="BA31" i="1" s="1"/>
  <c r="K57" i="29"/>
  <c r="K52" i="29"/>
  <c r="L57" i="29"/>
  <c r="M56" i="29" s="1"/>
  <c r="K525" i="63" l="1"/>
  <c r="M658" i="63" s="1"/>
  <c r="N658" i="63" s="1"/>
  <c r="L663" i="63"/>
  <c r="H662" i="63"/>
  <c r="K387" i="63"/>
  <c r="M655" i="63" s="1"/>
  <c r="N656" i="63" s="1"/>
  <c r="K434" i="63"/>
  <c r="K651" i="63"/>
  <c r="K618" i="63"/>
  <c r="N657" i="63"/>
  <c r="J654" i="63"/>
  <c r="K654" i="63"/>
  <c r="M480" i="63"/>
  <c r="M479" i="63"/>
  <c r="Q657" i="63" s="1"/>
  <c r="K159" i="63"/>
  <c r="K158" i="63"/>
  <c r="M650" i="63" s="1"/>
  <c r="N295" i="63"/>
  <c r="T653" i="63" s="1"/>
  <c r="N296" i="63"/>
  <c r="N572" i="63"/>
  <c r="N571" i="63"/>
  <c r="T659" i="63" s="1"/>
  <c r="M433" i="63"/>
  <c r="Q656" i="63" s="1"/>
  <c r="M434" i="63"/>
  <c r="N112" i="63"/>
  <c r="T650" i="63" s="1"/>
  <c r="N113" i="63"/>
  <c r="M67" i="63"/>
  <c r="M66" i="63"/>
  <c r="N525" i="63"/>
  <c r="T658" i="63" s="1"/>
  <c r="N526" i="63"/>
  <c r="N204" i="63"/>
  <c r="N203" i="63"/>
  <c r="T652" i="63" s="1"/>
  <c r="M22" i="63"/>
  <c r="M21" i="63"/>
  <c r="Q648" i="63" s="1"/>
  <c r="H663" i="63"/>
  <c r="K249" i="63"/>
  <c r="M652" i="63" s="1"/>
  <c r="K250" i="63"/>
  <c r="M158" i="63"/>
  <c r="Q650" i="63" s="1"/>
  <c r="M159" i="63"/>
  <c r="J653" i="63"/>
  <c r="K653" i="63"/>
  <c r="M295" i="63"/>
  <c r="Q653" i="63" s="1"/>
  <c r="M296" i="63"/>
  <c r="M572" i="63"/>
  <c r="M571" i="63"/>
  <c r="Q659" i="63" s="1"/>
  <c r="M388" i="63"/>
  <c r="M387" i="63"/>
  <c r="Q655" i="63" s="1"/>
  <c r="N434" i="63"/>
  <c r="N433" i="63"/>
  <c r="T656" i="63" s="1"/>
  <c r="M113" i="63"/>
  <c r="M112" i="63"/>
  <c r="Q649" i="63" s="1"/>
  <c r="J658" i="63"/>
  <c r="K658" i="63"/>
  <c r="M618" i="63"/>
  <c r="M617" i="63"/>
  <c r="Q660" i="63" s="1"/>
  <c r="M204" i="63"/>
  <c r="M203" i="63"/>
  <c r="Q651" i="63" s="1"/>
  <c r="K21" i="63"/>
  <c r="M648" i="63" s="1"/>
  <c r="O660" i="63" s="1"/>
  <c r="K22" i="63"/>
  <c r="J652" i="63"/>
  <c r="K652" i="63"/>
  <c r="M250" i="63"/>
  <c r="M249" i="63"/>
  <c r="Q652" i="63" s="1"/>
  <c r="N342" i="63"/>
  <c r="N341" i="63"/>
  <c r="T654" i="63" s="1"/>
  <c r="J657" i="63"/>
  <c r="K657" i="63"/>
  <c r="J651" i="63"/>
  <c r="K650" i="63"/>
  <c r="J650" i="63"/>
  <c r="N159" i="63"/>
  <c r="N158" i="63"/>
  <c r="T651" i="63" s="1"/>
  <c r="J660" i="63"/>
  <c r="J659" i="63"/>
  <c r="K659" i="63"/>
  <c r="K571" i="63"/>
  <c r="M659" i="63" s="1"/>
  <c r="K572" i="63"/>
  <c r="N388" i="63"/>
  <c r="N387" i="63"/>
  <c r="T655" i="63" s="1"/>
  <c r="J656" i="63"/>
  <c r="K656" i="63"/>
  <c r="K649" i="63"/>
  <c r="I662" i="63"/>
  <c r="J649" i="63"/>
  <c r="I663" i="63"/>
  <c r="K113" i="63"/>
  <c r="K112" i="63"/>
  <c r="M649" i="63" s="1"/>
  <c r="K341" i="63"/>
  <c r="M654" i="63" s="1"/>
  <c r="K67" i="63"/>
  <c r="K66" i="63"/>
  <c r="N618" i="63"/>
  <c r="N617" i="63"/>
  <c r="T660" i="63" s="1"/>
  <c r="N21" i="63"/>
  <c r="T648" i="63" s="1"/>
  <c r="N22" i="63"/>
  <c r="K480" i="63"/>
  <c r="M342" i="63"/>
  <c r="M341" i="63"/>
  <c r="Q654" i="63" s="1"/>
  <c r="N479" i="63"/>
  <c r="T657" i="63" s="1"/>
  <c r="N480" i="63"/>
  <c r="K295" i="63"/>
  <c r="M653" i="63" s="1"/>
  <c r="K296" i="63"/>
  <c r="J655" i="63"/>
  <c r="K655" i="63"/>
  <c r="N66" i="63"/>
  <c r="T649" i="63" s="1"/>
  <c r="N67" i="63"/>
  <c r="M526" i="63"/>
  <c r="M525" i="63"/>
  <c r="Q658" i="63" s="1"/>
  <c r="K204" i="63"/>
  <c r="K203" i="63"/>
  <c r="M651" i="63" s="1"/>
  <c r="K660" i="63"/>
  <c r="N250" i="63"/>
  <c r="N249" i="63"/>
  <c r="BC4" i="1"/>
  <c r="BC31" i="1"/>
  <c r="BC30" i="1"/>
  <c r="S651" i="63" l="1"/>
  <c r="O651" i="63"/>
  <c r="N655" i="63"/>
  <c r="O655" i="63"/>
  <c r="S660" i="63"/>
  <c r="U660" i="63"/>
  <c r="R658" i="63"/>
  <c r="S658" i="63"/>
  <c r="R654" i="63"/>
  <c r="S654" i="63"/>
  <c r="V660" i="63"/>
  <c r="U654" i="63"/>
  <c r="V654" i="63"/>
  <c r="U656" i="63"/>
  <c r="V656" i="63"/>
  <c r="R660" i="63"/>
  <c r="R659" i="63"/>
  <c r="S659" i="63"/>
  <c r="R656" i="63"/>
  <c r="S656" i="63"/>
  <c r="V653" i="63"/>
  <c r="N654" i="63"/>
  <c r="O654" i="63"/>
  <c r="K662" i="63"/>
  <c r="N659" i="63"/>
  <c r="O659" i="63"/>
  <c r="U652" i="63"/>
  <c r="U651" i="63"/>
  <c r="V651" i="63"/>
  <c r="R651" i="63"/>
  <c r="S650" i="63"/>
  <c r="R650" i="63"/>
  <c r="U659" i="63"/>
  <c r="V659" i="63"/>
  <c r="O656" i="63"/>
  <c r="R657" i="63"/>
  <c r="S657" i="63"/>
  <c r="O657" i="63"/>
  <c r="M662" i="63"/>
  <c r="O649" i="63"/>
  <c r="M663" i="63"/>
  <c r="N649" i="63"/>
  <c r="U655" i="63"/>
  <c r="V655" i="63"/>
  <c r="R652" i="63"/>
  <c r="S652" i="63"/>
  <c r="Q662" i="63"/>
  <c r="Q663" i="63"/>
  <c r="S649" i="63"/>
  <c r="R649" i="63"/>
  <c r="R655" i="63"/>
  <c r="S655" i="63"/>
  <c r="O658" i="63"/>
  <c r="U658" i="63"/>
  <c r="V658" i="63"/>
  <c r="V650" i="63"/>
  <c r="U650" i="63"/>
  <c r="U649" i="63"/>
  <c r="V649" i="63"/>
  <c r="T662" i="63"/>
  <c r="T663" i="63"/>
  <c r="N653" i="63"/>
  <c r="O653" i="63"/>
  <c r="U657" i="63"/>
  <c r="V657" i="63"/>
  <c r="R653" i="63"/>
  <c r="S653" i="63"/>
  <c r="N652" i="63"/>
  <c r="O652" i="63"/>
  <c r="U653" i="63"/>
  <c r="V652" i="63"/>
  <c r="N651" i="63"/>
  <c r="N650" i="63"/>
  <c r="O650" i="63"/>
  <c r="N660" i="63"/>
  <c r="V662" i="63" l="1"/>
  <c r="S662" i="63"/>
  <c r="O662" i="63"/>
  <c r="B9" i="20"/>
  <c r="AD20" i="1" l="1"/>
  <c r="AD18" i="1" l="1"/>
  <c r="AD3" i="1" s="1"/>
  <c r="AD31" i="1" l="1"/>
  <c r="D198" i="31" l="1"/>
  <c r="B4" i="20" l="1"/>
  <c r="C4" i="20"/>
  <c r="A6" i="1"/>
  <c r="D4" i="20"/>
  <c r="E4" i="20" s="1"/>
  <c r="A8" i="1" l="1"/>
  <c r="A9" i="1" s="1"/>
  <c r="A10" i="1" s="1"/>
  <c r="A11" i="1" s="1"/>
  <c r="A12" i="1" s="1"/>
  <c r="H4" i="20"/>
  <c r="I4" i="20"/>
  <c r="D7" i="20"/>
  <c r="E7" i="20" s="1"/>
  <c r="D8" i="20"/>
  <c r="E8" i="20" s="1"/>
  <c r="C7" i="20" l="1"/>
  <c r="B7" i="20"/>
  <c r="B8" i="20"/>
  <c r="C8" i="20"/>
  <c r="C9" i="20"/>
  <c r="A13" i="1"/>
  <c r="I8" i="20"/>
  <c r="H8" i="20"/>
  <c r="H7" i="20"/>
  <c r="I7" i="20"/>
  <c r="D9" i="20"/>
  <c r="E9" i="20" s="1"/>
  <c r="A14" i="1" l="1"/>
  <c r="B10" i="20"/>
  <c r="D10" i="20"/>
  <c r="E10" i="20" s="1"/>
  <c r="H10" i="20" s="1"/>
  <c r="C10" i="20"/>
  <c r="I9" i="20"/>
  <c r="H9" i="20"/>
  <c r="D11" i="20" l="1"/>
  <c r="E11" i="20" s="1"/>
  <c r="I11" i="20" s="1"/>
  <c r="B11" i="20"/>
  <c r="I10" i="20"/>
  <c r="A15" i="1"/>
  <c r="C11" i="20"/>
  <c r="H11" i="20" l="1"/>
  <c r="A16" i="1"/>
  <c r="D12" i="20"/>
  <c r="E12" i="20" s="1"/>
  <c r="H12" i="20" s="1"/>
  <c r="C12" i="20"/>
  <c r="B12" i="20"/>
  <c r="B13" i="20" l="1"/>
  <c r="D13" i="20"/>
  <c r="E13" i="20" s="1"/>
  <c r="H13" i="20" s="1"/>
  <c r="I12" i="20"/>
  <c r="A17" i="1"/>
  <c r="C13" i="20"/>
  <c r="I13" i="20" l="1"/>
  <c r="A18" i="1"/>
  <c r="C15" i="20" s="1"/>
  <c r="D14" i="20"/>
  <c r="E14" i="20" s="1"/>
  <c r="H14" i="20" s="1"/>
  <c r="C14" i="20"/>
  <c r="B14" i="20"/>
  <c r="D15" i="20"/>
  <c r="E15" i="20" s="1"/>
  <c r="H15" i="20" s="1"/>
  <c r="B15" i="20" l="1"/>
  <c r="I14" i="20"/>
  <c r="A19" i="1"/>
  <c r="A20" i="1" l="1"/>
  <c r="A21" i="1" s="1"/>
  <c r="A22" i="1" s="1"/>
  <c r="A23" i="1" l="1"/>
  <c r="F3" i="37"/>
  <c r="K3" i="37"/>
  <c r="B3" i="37"/>
  <c r="C17" i="20"/>
  <c r="D18" i="20"/>
  <c r="E18" i="20" s="1"/>
  <c r="I18" i="20" s="1"/>
  <c r="D17" i="20"/>
  <c r="E17" i="20" s="1"/>
  <c r="H17" i="20" s="1"/>
  <c r="B17" i="20"/>
  <c r="C16" i="20"/>
  <c r="C19" i="20"/>
  <c r="B16" i="20"/>
  <c r="D16" i="20"/>
  <c r="E16" i="20" s="1"/>
  <c r="H16" i="20" s="1"/>
  <c r="B18" i="20"/>
  <c r="C18" i="20"/>
  <c r="B19" i="20"/>
  <c r="D19" i="20"/>
  <c r="E19" i="20" s="1"/>
  <c r="I19" i="20" s="1"/>
  <c r="H18" i="20" l="1"/>
  <c r="H19" i="20"/>
  <c r="E3" i="20"/>
  <c r="I27" i="20"/>
  <c r="I28" i="20" s="1"/>
  <c r="H27" i="20" l="1"/>
  <c r="H28" i="20" s="1"/>
  <c r="D216" i="31" l="1"/>
  <c r="C205" i="31"/>
  <c r="C148" i="31" s="1"/>
  <c r="D148" i="31" s="1"/>
  <c r="AF30" i="1" l="1"/>
  <c r="AG30" i="1" s="1"/>
  <c r="AE30" i="1" s="1"/>
  <c r="AD30" i="1" s="1"/>
</calcChain>
</file>

<file path=xl/comments1.xml><?xml version="1.0" encoding="utf-8"?>
<comments xmlns="http://schemas.openxmlformats.org/spreadsheetml/2006/main">
  <authors>
    <author>maros.kvitkovsky</author>
  </authors>
  <commentList>
    <comment ref="AB17" authorId="0" shapeId="0">
      <text>
        <r>
          <rPr>
            <b/>
            <sz val="9"/>
            <color indexed="81"/>
            <rFont val="Segoe UI"/>
            <family val="2"/>
            <charset val="238"/>
          </rPr>
          <t>maros.kvitkovsky:</t>
        </r>
        <r>
          <rPr>
            <sz val="9"/>
            <color indexed="81"/>
            <rFont val="Segoe UI"/>
            <family val="2"/>
            <charset val="238"/>
          </rPr>
          <t xml:space="preserve">
Ukončenie platnosti lízingovej zmluvy</t>
        </r>
      </text>
    </comment>
  </commentList>
</comments>
</file>

<file path=xl/sharedStrings.xml><?xml version="1.0" encoding="utf-8"?>
<sst xmlns="http://schemas.openxmlformats.org/spreadsheetml/2006/main" count="6122" uniqueCount="1554">
  <si>
    <t>KE695DD</t>
  </si>
  <si>
    <t>FORD - TRANSIT</t>
  </si>
  <si>
    <t>EČ:</t>
  </si>
  <si>
    <t>typ vozidla:</t>
  </si>
  <si>
    <t>dátum prvého prihlásenia:</t>
  </si>
  <si>
    <t>vek vozidla (v rokoch):</t>
  </si>
  <si>
    <t>ubehnuté km</t>
  </si>
  <si>
    <t>priemerne ročne ubehnuté km</t>
  </si>
  <si>
    <t>priemerne mesačne ubehnuté km:</t>
  </si>
  <si>
    <t>platnosť STK do:</t>
  </si>
  <si>
    <t>platnosť EK do:</t>
  </si>
  <si>
    <t>KE692FR</t>
  </si>
  <si>
    <t>pridelené zamestnancovi:</t>
  </si>
  <si>
    <t>.</t>
  </si>
  <si>
    <t>priemer:</t>
  </si>
  <si>
    <t>vložiť riadok</t>
  </si>
  <si>
    <t>KE643DF</t>
  </si>
  <si>
    <t>ŠKODA - SUPERB</t>
  </si>
  <si>
    <t>KE747JX</t>
  </si>
  <si>
    <t>KE169CK</t>
  </si>
  <si>
    <t>KE552HZ</t>
  </si>
  <si>
    <t>ŠKODA - OCTAVIA</t>
  </si>
  <si>
    <t>KE297FP</t>
  </si>
  <si>
    <t>KE298FP</t>
  </si>
  <si>
    <t>KE617ED</t>
  </si>
  <si>
    <t>KE956HU</t>
  </si>
  <si>
    <t>FIAT - DOBLO</t>
  </si>
  <si>
    <t>CITROEN - BERLINGO</t>
  </si>
  <si>
    <t>KE490FJ</t>
  </si>
  <si>
    <t>KE089BB</t>
  </si>
  <si>
    <t>KE791IT</t>
  </si>
  <si>
    <t>KE319CP</t>
  </si>
  <si>
    <t>VW - TRANSPORTER</t>
  </si>
  <si>
    <t>KE298YC</t>
  </si>
  <si>
    <t>Prívesný vozík</t>
  </si>
  <si>
    <t>KOVALČÍK Ján</t>
  </si>
  <si>
    <t>KE021DO</t>
  </si>
  <si>
    <t>VW - CARAVELLE</t>
  </si>
  <si>
    <t>KE502KB</t>
  </si>
  <si>
    <t>VW - PASSAT</t>
  </si>
  <si>
    <t>KE164JL</t>
  </si>
  <si>
    <t>VW - GOLF</t>
  </si>
  <si>
    <t>p. č.:</t>
  </si>
  <si>
    <t>SÚPIS VOZIDIEL UPJŠ Košice</t>
  </si>
  <si>
    <t>zaradenie vozidla:</t>
  </si>
  <si>
    <t>UPJŠ R</t>
  </si>
  <si>
    <t>UPJŠ ŠDaJ</t>
  </si>
  <si>
    <t>Náklad na 1 km:</t>
  </si>
  <si>
    <t>servis:</t>
  </si>
  <si>
    <t>165/2016</t>
  </si>
  <si>
    <t>iné:</t>
  </si>
  <si>
    <t>priebežne náklad na 1 km:</t>
  </si>
  <si>
    <t>priebežna spotreba PHM na 100 km:</t>
  </si>
  <si>
    <t>Premerná spotreba na 100 km:</t>
  </si>
  <si>
    <t>priemerná spotreba na 100 km:</t>
  </si>
  <si>
    <t>VOLVO - S40</t>
  </si>
  <si>
    <t>orientačný priemerný náklad na 1 km spolu:</t>
  </si>
  <si>
    <t>orientačný priemerný náklad na 1 km - PHM:</t>
  </si>
  <si>
    <t>orientačný priemerný náklad na 1 km - servis:</t>
  </si>
  <si>
    <t>orientačný priemerný náklad na 1 km - iné:</t>
  </si>
  <si>
    <t>NC:</t>
  </si>
  <si>
    <t>mesačne:</t>
  </si>
  <si>
    <t>na 1 km:</t>
  </si>
  <si>
    <t>orientačný priemerný náklad na 1 km - odpis:</t>
  </si>
  <si>
    <t>počet rokov odpisovania:</t>
  </si>
  <si>
    <r>
      <t>odpis</t>
    </r>
    <r>
      <rPr>
        <sz val="8"/>
        <color theme="1"/>
        <rFont val="Calibri"/>
        <family val="2"/>
        <charset val="238"/>
      </rPr>
      <t xml:space="preserve"> (roky)</t>
    </r>
    <r>
      <rPr>
        <sz val="12"/>
        <color theme="1"/>
        <rFont val="Calibri"/>
        <family val="2"/>
        <charset val="238"/>
      </rPr>
      <t>:</t>
    </r>
  </si>
  <si>
    <t>dátum zaradenia:</t>
  </si>
  <si>
    <t>spotreba PHM:</t>
  </si>
  <si>
    <t>2016128</t>
  </si>
  <si>
    <t>WIN:</t>
  </si>
  <si>
    <t>ZFA26300009127159</t>
  </si>
  <si>
    <r>
      <t>obsah motora (cm</t>
    </r>
    <r>
      <rPr>
        <vertAlign val="superscript"/>
        <sz val="8"/>
        <color theme="1"/>
        <rFont val="Calibri"/>
        <family val="2"/>
        <charset val="238"/>
      </rPr>
      <t>3</t>
    </r>
    <r>
      <rPr>
        <sz val="8"/>
        <color theme="1"/>
        <rFont val="Calibri"/>
        <family val="2"/>
        <charset val="238"/>
      </rPr>
      <t>):</t>
    </r>
  </si>
  <si>
    <t>výkon motora (kW):</t>
  </si>
  <si>
    <t>druh paliva:</t>
  </si>
  <si>
    <t>NM</t>
  </si>
  <si>
    <t>2016136</t>
  </si>
  <si>
    <t>2016138</t>
  </si>
  <si>
    <t>náklad na 1 deň:</t>
  </si>
  <si>
    <t>26313070</t>
  </si>
  <si>
    <t>26312844</t>
  </si>
  <si>
    <t>26313192</t>
  </si>
  <si>
    <t>objrm palivovej  nádrže (l):</t>
  </si>
  <si>
    <t>WVWZZZAUZFP576753</t>
  </si>
  <si>
    <t>WVWZZZ3CZGP010213</t>
  </si>
  <si>
    <t>predpokladaná úspora finančnýchprostriedkov za 1 rok:</t>
  </si>
  <si>
    <t>spolu:</t>
  </si>
  <si>
    <r>
      <t xml:space="preserve"> výška HP len pri vozidlách</t>
    </r>
    <r>
      <rPr>
        <b/>
        <sz val="10"/>
        <color theme="1"/>
        <rFont val="Calibri"/>
        <family val="2"/>
        <charset val="238"/>
      </rPr>
      <t xml:space="preserve"> mladších ako 10 rokov</t>
    </r>
    <r>
      <rPr>
        <sz val="10"/>
        <color theme="1"/>
        <rFont val="Calibri"/>
        <family val="2"/>
        <charset val="238"/>
      </rPr>
      <t>:</t>
    </r>
  </si>
  <si>
    <r>
      <t>výška HP len pri vozidlách</t>
    </r>
    <r>
      <rPr>
        <b/>
        <sz val="10"/>
        <color theme="1"/>
        <rFont val="Calibri"/>
        <family val="2"/>
        <charset val="238"/>
      </rPr>
      <t xml:space="preserve"> mladších ako 6 rokov</t>
    </r>
    <r>
      <rPr>
        <sz val="10"/>
        <color theme="1"/>
        <rFont val="Calibri"/>
        <family val="2"/>
        <charset val="238"/>
      </rPr>
      <t>:</t>
    </r>
  </si>
  <si>
    <r>
      <t xml:space="preserve">výška HP 1/1 - </t>
    </r>
    <r>
      <rPr>
        <b/>
        <sz val="10"/>
        <color theme="1"/>
        <rFont val="Calibri"/>
        <family val="2"/>
        <charset val="238"/>
      </rPr>
      <t>súčasný stav</t>
    </r>
    <r>
      <rPr>
        <sz val="10"/>
        <color theme="1"/>
        <rFont val="Calibri"/>
        <family val="2"/>
        <charset val="238"/>
      </rPr>
      <t>:</t>
    </r>
  </si>
  <si>
    <r>
      <t xml:space="preserve">výška HP 1/4 - </t>
    </r>
    <r>
      <rPr>
        <b/>
        <sz val="10"/>
        <color theme="1"/>
        <rFont val="Calibri"/>
        <family val="2"/>
        <charset val="238"/>
      </rPr>
      <t>súčasný stav</t>
    </r>
    <r>
      <rPr>
        <sz val="10"/>
        <color theme="1"/>
        <rFont val="Calibri"/>
        <family val="2"/>
        <charset val="238"/>
      </rPr>
      <t>:</t>
    </r>
  </si>
  <si>
    <t>spracoval Maroš Kvitkovský - vedúci prevádzkového úseku</t>
  </si>
  <si>
    <t>V Košiciach</t>
  </si>
  <si>
    <t>SÚPIS VOZIDIEL UPJŠ Košice - HAVARIJNÉ POISTKY</t>
  </si>
  <si>
    <t>2016150</t>
  </si>
  <si>
    <t>2016149</t>
  </si>
  <si>
    <t>3/2016</t>
  </si>
  <si>
    <t>orientačný priemerný náklad na 1 km - mzdy:</t>
  </si>
  <si>
    <t>referentské</t>
  </si>
  <si>
    <t>2016170</t>
  </si>
  <si>
    <t>20160017</t>
  </si>
  <si>
    <t>4/2016</t>
  </si>
  <si>
    <t>zostatok PHM v nádrži (lit.):</t>
  </si>
  <si>
    <t>ubehnuté km:</t>
  </si>
  <si>
    <t>číslo protokolu</t>
  </si>
  <si>
    <t>mesto:</t>
  </si>
  <si>
    <t>mimo mesta:</t>
  </si>
  <si>
    <t>kombinovaná:</t>
  </si>
  <si>
    <t>zo dňa:</t>
  </si>
  <si>
    <r>
      <t>typ paliva</t>
    </r>
    <r>
      <rPr>
        <sz val="7"/>
        <color theme="1"/>
        <rFont val="Calibri"/>
        <family val="2"/>
        <charset val="238"/>
      </rPr>
      <t xml:space="preserve"> (NM-nafta motorová; BA-benzín automobilový)</t>
    </r>
    <r>
      <rPr>
        <sz val="10"/>
        <color theme="1"/>
        <rFont val="Calibri"/>
        <family val="2"/>
        <charset val="238"/>
      </rPr>
      <t>:</t>
    </r>
  </si>
  <si>
    <t>SÚPIS VOZIDIEL UPJŠ Košice - NORMY SPOTREBY PHM, platné od:</t>
  </si>
  <si>
    <t>BA</t>
  </si>
  <si>
    <t>UPJŠ</t>
  </si>
  <si>
    <t>PU/2010</t>
  </si>
  <si>
    <t>neurčito</t>
  </si>
  <si>
    <t>EXAKTA s.r.o.</t>
  </si>
  <si>
    <t>698-3769/13</t>
  </si>
  <si>
    <t>698-3775/13</t>
  </si>
  <si>
    <t>698-3768/13</t>
  </si>
  <si>
    <t>698-3357/11</t>
  </si>
  <si>
    <t>61/2/2016</t>
  </si>
  <si>
    <t>698-3824/14</t>
  </si>
  <si>
    <t>698-3771/13</t>
  </si>
  <si>
    <t>skontroloval: Maroš Kvitkovský - vedúci prevádzkového úseku</t>
  </si>
  <si>
    <t>..................................................................................</t>
  </si>
  <si>
    <t>schválil: prof. RNDr. Pavol Sovák, CSc. - rektor</t>
  </si>
  <si>
    <t>platným do dňa:</t>
  </si>
  <si>
    <t>kategória vozidla:</t>
  </si>
  <si>
    <t>STK:</t>
  </si>
  <si>
    <t>EK:</t>
  </si>
  <si>
    <t>2017028</t>
  </si>
  <si>
    <t>1/2017</t>
  </si>
  <si>
    <t>2017038</t>
  </si>
  <si>
    <t>20170004</t>
  </si>
  <si>
    <t>od:</t>
  </si>
  <si>
    <t>do:</t>
  </si>
  <si>
    <t>27310949</t>
  </si>
  <si>
    <t>orientačné náklady na 1 ubenutý km vozidiel:</t>
  </si>
  <si>
    <t>2017059</t>
  </si>
  <si>
    <t>2017071</t>
  </si>
  <si>
    <t>2016110</t>
  </si>
  <si>
    <t>2017078</t>
  </si>
  <si>
    <t>2017097</t>
  </si>
  <si>
    <t>2016104</t>
  </si>
  <si>
    <t>2016114</t>
  </si>
  <si>
    <t>2016047</t>
  </si>
  <si>
    <t>2016140</t>
  </si>
  <si>
    <t>2017024</t>
  </si>
  <si>
    <t>2016015</t>
  </si>
  <si>
    <t>2016036</t>
  </si>
  <si>
    <t>2016094</t>
  </si>
  <si>
    <t>2016090</t>
  </si>
  <si>
    <t>2016133</t>
  </si>
  <si>
    <t>2016163</t>
  </si>
  <si>
    <t>2017030</t>
  </si>
  <si>
    <t>2016069</t>
  </si>
  <si>
    <t>2016129</t>
  </si>
  <si>
    <t>2016057</t>
  </si>
  <si>
    <t>2017046</t>
  </si>
  <si>
    <t>2017063</t>
  </si>
  <si>
    <t>2/2017 HP</t>
  </si>
  <si>
    <t>2/2017 ZP</t>
  </si>
  <si>
    <t>1/2017 ZP</t>
  </si>
  <si>
    <t>odhlásené</t>
  </si>
  <si>
    <t>SÚPIS VYRADENÝCH VOZIDIEL UPJŠ Košice</t>
  </si>
  <si>
    <t>KE909KZ</t>
  </si>
  <si>
    <t>TMBCH9NP5J7503483</t>
  </si>
  <si>
    <t>3/2017 ZP</t>
  </si>
  <si>
    <t>3/2017 HP</t>
  </si>
  <si>
    <t>2017122</t>
  </si>
  <si>
    <t>hotovosť STK a EK</t>
  </si>
  <si>
    <t>2017141</t>
  </si>
  <si>
    <t>vykázaná úspora (+) / nadspotreba (-) PHM (lit.):</t>
  </si>
  <si>
    <t>114173868</t>
  </si>
  <si>
    <t>87/9/2017</t>
  </si>
  <si>
    <t>2017171</t>
  </si>
  <si>
    <t>27313167 (STK a EK)</t>
  </si>
  <si>
    <t>2017/478 (úradné meranie spotreby)</t>
  </si>
  <si>
    <t>2017190</t>
  </si>
  <si>
    <t>2017189</t>
  </si>
  <si>
    <t>2017188</t>
  </si>
  <si>
    <t>ODPREDAJ VOZIDLA 27.10.2017</t>
  </si>
  <si>
    <t>VYRADENÉ</t>
  </si>
  <si>
    <t>114174556</t>
  </si>
  <si>
    <t>2017197</t>
  </si>
  <si>
    <t>2017143</t>
  </si>
  <si>
    <t>BL253RN</t>
  </si>
  <si>
    <t>ŠKODA - OCTÁVIA combi</t>
  </si>
  <si>
    <t>TMBJC7NE1J0165369</t>
  </si>
  <si>
    <t>orientačný priemerný náklad na 1 km spolu bez mzdy:</t>
  </si>
  <si>
    <t>orientačný priemerný náklad na 1 km spolu vrátane mzdy:</t>
  </si>
  <si>
    <t>spracovala: Ing. Monika Šalachová - referent vnútornej správy</t>
  </si>
  <si>
    <t>27313615 STK a EK</t>
  </si>
  <si>
    <t>ŠP 8/2017 - nadspotreba zosobnené vodičovi Marcel Kuchta</t>
  </si>
  <si>
    <t>ŠP 4/2017 - nadspotreba zosobnená vodičovi Karol Andráško</t>
  </si>
  <si>
    <t>ŠP 2/2017 - Náklad UPJŠ</t>
  </si>
  <si>
    <t>ŠP 3/2017 - Náklad UPJŠ</t>
  </si>
  <si>
    <t>2018004</t>
  </si>
  <si>
    <t>114180264</t>
  </si>
  <si>
    <t>5/2017 HP 01.01.18 - 31.03.18</t>
  </si>
  <si>
    <t>7/2017 ZP 01.01.18 - 31.03.18</t>
  </si>
  <si>
    <t>Ing. Igor Škrobánek - O.P.C.D.</t>
  </si>
  <si>
    <t>109/1/2018</t>
  </si>
  <si>
    <t>108/1/2018</t>
  </si>
  <si>
    <t>norma PHM (lit./100km):</t>
  </si>
  <si>
    <t>na základe protokolov / osvedčení o úradných meraniach spotreby:</t>
  </si>
  <si>
    <t>vydaných spoločnosťou:</t>
  </si>
  <si>
    <t>Diaľničná známka 2018</t>
  </si>
  <si>
    <t>1/2018DOBROPIS-poistka</t>
  </si>
  <si>
    <t>2018/082 (úradné meranie spotreby)</t>
  </si>
  <si>
    <t>2018/20180067 - Stierače</t>
  </si>
  <si>
    <t>2018/082 - Úradné meranie spotreby</t>
  </si>
  <si>
    <t>28310241 Opakované STK a EK</t>
  </si>
  <si>
    <t>28310237 STK a EK</t>
  </si>
  <si>
    <t>20180003 Autobtéria</t>
  </si>
  <si>
    <t>orientačný priemerný náklad na 1 km - lízing:</t>
  </si>
  <si>
    <t>KE574LL</t>
  </si>
  <si>
    <t>MIDIBUS:</t>
  </si>
  <si>
    <t>M3</t>
  </si>
  <si>
    <t>MIDIBUS - ISUZU Novo</t>
  </si>
  <si>
    <t>HP: Prvé prihlásenie vozidla</t>
  </si>
  <si>
    <t>PEVNÉ POČIATOČNÉ NÁKLADY:</t>
  </si>
  <si>
    <t>PEVNÉ NÁKLADY - ČASOVÉ</t>
  </si>
  <si>
    <t>Zákonné poistenie (€ / rok / deň)</t>
  </si>
  <si>
    <t>Havarijné poistenie (€ / rok / deň)</t>
  </si>
  <si>
    <t>Poistenie sedadiel (€ / rok / deň)</t>
  </si>
  <si>
    <t>spolu denné pevné počiatočná náklady (€):</t>
  </si>
  <si>
    <t>spolu denné pevné náklady časové (€):</t>
  </si>
  <si>
    <t>Kalibrácia tachografu (€ / rok / deň)</t>
  </si>
  <si>
    <t>Pravidelná STK (€ / rok / deň)</t>
  </si>
  <si>
    <t>Pravidelná EK (€ / rok / deň)</t>
  </si>
  <si>
    <t>Umývanie autobusu 26 x ročne (€ / rok / deň)</t>
  </si>
  <si>
    <t>Pravidelná servisná prehliadka (€ / km / 1 km)</t>
  </si>
  <si>
    <t>Sezónne prezutie 2x ročne (€ / rok / deň)</t>
  </si>
  <si>
    <t>Iné servisné náklady (€ / rok / deň)</t>
  </si>
  <si>
    <t>Iné spotrebné náklady (€ / rok / deň)</t>
  </si>
  <si>
    <t>KILOMETRICKÉ NÁKLADY:</t>
  </si>
  <si>
    <t>spolu kilometrické náklady prepočítané na 1 km (€):</t>
  </si>
  <si>
    <t>MZDOVÉ NÁKLADY:</t>
  </si>
  <si>
    <t>SUPER HRUBÁ mzda vodiča (€ / mesiac / deň)</t>
  </si>
  <si>
    <t>spolu mzdové náklady (€):</t>
  </si>
  <si>
    <t>Prihlásenie vozidla (€ / rok / deň):</t>
  </si>
  <si>
    <t>Prvotná kalibrácia tachografu (€ / rok / deň):</t>
  </si>
  <si>
    <t>Licencia nepravidelnej dopravy (€ / rok / deň):</t>
  </si>
  <si>
    <t>Priemerné denné cestovné náhrady 1 vodiča v SR</t>
  </si>
  <si>
    <t>Výmena v prípade opotrebenia PNEU (€ / km / 1 km)</t>
  </si>
  <si>
    <t>a viac</t>
  </si>
  <si>
    <t>Výpočet ceny - HLAVNÁ ČINNOSŤ pre UPJŠ v Košiciach:</t>
  </si>
  <si>
    <t>minimálna cena úhrady:</t>
  </si>
  <si>
    <t>navrhovaná cena pre UPJŠ:</t>
  </si>
  <si>
    <t>vypočítaná cena:</t>
  </si>
  <si>
    <t>s DPH:</t>
  </si>
  <si>
    <t>bez DPH:</t>
  </si>
  <si>
    <t>cena určená pre:</t>
  </si>
  <si>
    <t>NÁVRH VÝPOČTU CIEN PRE MIDIBUS - ISUZU:</t>
  </si>
  <si>
    <t>Mýtne poplatky v SR (orientačne trasa KE - BA - KE) (€ / km / 1 km):</t>
  </si>
  <si>
    <t>30180157: Overenie tachografu</t>
  </si>
  <si>
    <t>Mýtna jednotka - poplatok (záloha) (€ / rok / deň):</t>
  </si>
  <si>
    <t>Polep autobusu (€ / rok / deň):</t>
  </si>
  <si>
    <t>Cestná daň (€ / rok / deň)</t>
  </si>
  <si>
    <t>STOJNÉ - za každých 30 minút:</t>
  </si>
  <si>
    <r>
      <t xml:space="preserve">Použitie prívesného vozíka </t>
    </r>
    <r>
      <rPr>
        <sz val="12"/>
        <color theme="1"/>
        <rFont val="Calibri"/>
        <family val="2"/>
        <charset val="238"/>
      </rPr>
      <t>na prevoz batožiny je spoplatnené</t>
    </r>
    <r>
      <rPr>
        <b/>
        <sz val="12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sumou</t>
    </r>
    <r>
      <rPr>
        <b/>
        <sz val="12"/>
        <color theme="1"/>
        <rFont val="Calibri"/>
        <family val="2"/>
        <charset val="238"/>
      </rPr>
      <t xml:space="preserve"> =0,10 €</t>
    </r>
    <r>
      <rPr>
        <sz val="12"/>
        <color theme="1"/>
        <rFont val="Calibri"/>
        <family val="2"/>
        <charset val="238"/>
      </rPr>
      <t xml:space="preserve"> (s DPH)</t>
    </r>
    <r>
      <rPr>
        <b/>
        <sz val="12"/>
        <color theme="1"/>
        <rFont val="Calibri"/>
        <family val="2"/>
        <charset val="238"/>
      </rPr>
      <t xml:space="preserve"> € za 1 km</t>
    </r>
    <r>
      <rPr>
        <sz val="12"/>
        <color theme="1"/>
        <rFont val="Calibri"/>
        <family val="2"/>
        <charset val="238"/>
      </rPr>
      <t xml:space="preserve"> k sadzbe použitej pre výpočet ceny za použitie MIDIBUSU</t>
    </r>
  </si>
  <si>
    <t xml:space="preserve">     =518,- € - počas prvých 36 mesiacov znížené na =388,50 €</t>
  </si>
  <si>
    <t>2018024</t>
  </si>
  <si>
    <t>H-POINT</t>
  </si>
  <si>
    <t>Výmena EGR ventila; Vyčistenie DPF Filtra; Výmena spínača brzdových svetiel</t>
  </si>
  <si>
    <t>práca:</t>
  </si>
  <si>
    <t>NH:</t>
  </si>
  <si>
    <t>€:</t>
  </si>
  <si>
    <t>DPH</t>
  </si>
  <si>
    <t>vložiť riadok + kopírovať riadok</t>
  </si>
  <si>
    <t>% vyjadrenie:</t>
  </si>
  <si>
    <t>materiál:</t>
  </si>
  <si>
    <t>subdodávka:</t>
  </si>
  <si>
    <t>spolu bez DPH:</t>
  </si>
  <si>
    <t>dátum:</t>
  </si>
  <si>
    <t>číslo faktúry:</t>
  </si>
  <si>
    <t>spolu na faktúre bez DPH:</t>
  </si>
  <si>
    <t>spolu na faktúre s DPH:</t>
  </si>
  <si>
    <t xml:space="preserve"> spolu s DPH:</t>
  </si>
  <si>
    <t>2018027</t>
  </si>
  <si>
    <t>Servisná prehliadka; Výmena tlmičov; Výmena silenblokov ramena; Vámena tyčiek riadenia; Výmena manžiet homokinetického kĺbu;Výmena čelného skla; Výmena čapov riadenia; Kompletná oprava bŕzd</t>
  </si>
  <si>
    <t>cena 1 NH:</t>
  </si>
  <si>
    <t>2018025</t>
  </si>
  <si>
    <t>Výmena ovládača svetiel; Oprava zadných bŕzd; Výmena ventilátora kúrenia; Servisná prehliadka</t>
  </si>
  <si>
    <t>2018026</t>
  </si>
  <si>
    <t>Oprava výfuku</t>
  </si>
  <si>
    <t>expirácia autolekárničky:</t>
  </si>
  <si>
    <t>platnosť kalibrácie tachografu:</t>
  </si>
  <si>
    <t>NNAM0A8LN02000007</t>
  </si>
  <si>
    <t>RÉŽIJNÁ PRIRÁŽKA:</t>
  </si>
  <si>
    <t>ZISKOVÁ PRIRÁŽKA:</t>
  </si>
  <si>
    <t>ročný náklad:</t>
  </si>
  <si>
    <t>najbližšia servisná prehliadka:</t>
  </si>
  <si>
    <t>interval-km:</t>
  </si>
  <si>
    <t>zadať</t>
  </si>
  <si>
    <t>zadaž</t>
  </si>
  <si>
    <t>časový int. v rokoch:</t>
  </si>
  <si>
    <t>28310867: STK a EK</t>
  </si>
  <si>
    <t>ZB001121</t>
  </si>
  <si>
    <t>Servisná prehliadka; Oprava zadných bŕzd; Oprava uchytenia zadnej nápravy; Geometria vozidla</t>
  </si>
  <si>
    <t>iné práce:</t>
  </si>
  <si>
    <t>2/2018: ZP 01.04.18 - 30.06.18</t>
  </si>
  <si>
    <t>20180085: Reklamný polep vozidla</t>
  </si>
  <si>
    <t xml:space="preserve">priemerný vek vyradených vozidiel: </t>
  </si>
  <si>
    <t>orientačný priemerný náklad na 1 km - zaobstaranie vozidla:</t>
  </si>
  <si>
    <t xml:space="preserve">priemerný vek vozidiel pre výpočet nákladu na 1 km: </t>
  </si>
  <si>
    <t>počet rokov pre výpočet rozpočítania ceny vozidla:</t>
  </si>
  <si>
    <t>2629300497: Poistenie sedadiel vozidla, zmluva č. 429/2018</t>
  </si>
  <si>
    <t>Spotreba PHM lit/100km*aktuálna cena 1L PHM (€ / lit. / km / 1km)</t>
  </si>
  <si>
    <t>TURANCAR</t>
  </si>
  <si>
    <t>2180415</t>
  </si>
  <si>
    <t>Doplnenie prevádzkových kvapalín</t>
  </si>
  <si>
    <t>2180415 - TURANCAR</t>
  </si>
  <si>
    <t>DaM</t>
  </si>
  <si>
    <t>Sezónne prezutie</t>
  </si>
  <si>
    <t>H POINT</t>
  </si>
  <si>
    <t>plqatnosť osvedčenia pre dopravu na vlastnú potrebu:</t>
  </si>
  <si>
    <t>platnosť Rozhodnutia prevádzkovateľa osobnej dopravy:</t>
  </si>
  <si>
    <t>2018053 - H POINT</t>
  </si>
  <si>
    <t>cena:</t>
  </si>
  <si>
    <t>Stojné sa počíta v prípade dennej objednávky medzi jednotlivými jazdnými časmi, resp. v prípade celodenného státia vozidla v rámci viacdennej objednanej prepravy maximálne do času denného výkonu vodiča alebo vodičov. Stojné sa nepočíta pri čerpaní bezpečnostných prestávok, denných a týždenných odpočinkoch vodiča alebo vodičov.</t>
  </si>
  <si>
    <t>Vykázané výkony mimo územia SR sa účtujú bez DPH.</t>
  </si>
  <si>
    <t>Množstevná zľava môže byť poskytnutá vo výške ???% z cekovej ceny výkonu prepravy Midibusu v prípade, ak vykázané km v rámci jednej objednávky alebo viacerých objednávok v šiestich po sebe nasledujúcich kalendárnych mesiacoch prekročia faktúrovaný kilometrický výkon nad 2.000 km</t>
  </si>
  <si>
    <r>
      <t xml:space="preserve">V prípade neštandardného, nadmerného znečistenia interiéru Midibusu sa účtuje prirážka na objednanú prepravu Midibusom vo výške </t>
    </r>
    <r>
      <rPr>
        <b/>
        <sz val="12"/>
        <color theme="1"/>
        <rFont val="Calibri"/>
        <family val="2"/>
        <charset val="238"/>
      </rPr>
      <t>=50,- €</t>
    </r>
    <r>
      <rPr>
        <sz val="12"/>
        <color theme="1"/>
        <rFont val="Calibri"/>
        <family val="2"/>
        <charset val="238"/>
      </rPr>
      <t xml:space="preserve"> s DPH.</t>
    </r>
  </si>
  <si>
    <t xml:space="preserve"> platnosť licencie na medzinárodnú osobnú dopravu:</t>
  </si>
  <si>
    <t>Nadobudajúca hodnota bez poistenia (€ / rok / deň):</t>
  </si>
  <si>
    <t>Maroš Kvitkovský</t>
  </si>
  <si>
    <t>spracoval:</t>
  </si>
  <si>
    <t>od - do:</t>
  </si>
  <si>
    <t>SPOLU ZA OBDOBIE:</t>
  </si>
  <si>
    <t>Operatívny lízing</t>
  </si>
  <si>
    <t>ZB001266</t>
  </si>
  <si>
    <t>Sezónne prezutie PNEU</t>
  </si>
  <si>
    <t>ZB001266 - H-POINT</t>
  </si>
  <si>
    <t>kalendárny rok plánovanej obnovy:</t>
  </si>
  <si>
    <t>aktuálny vek vozidla k dnešnému dňu v rokoch:</t>
  </si>
  <si>
    <t>VOZIDLÁ REKTORÁTU UPJŠ v Košiciach:</t>
  </si>
  <si>
    <t>VOZIDLÁ MIMO REKTORÁTU UPJŠ v Košiciach:</t>
  </si>
  <si>
    <r>
      <t>VW - GOLF -</t>
    </r>
    <r>
      <rPr>
        <b/>
        <sz val="12"/>
        <rFont val="Calibri"/>
        <family val="2"/>
        <charset val="238"/>
      </rPr>
      <t xml:space="preserve"> CCVaPP</t>
    </r>
  </si>
  <si>
    <r>
      <t xml:space="preserve">VW - PASSAT - </t>
    </r>
    <r>
      <rPr>
        <b/>
        <sz val="12"/>
        <rFont val="Calibri"/>
        <family val="2"/>
        <charset val="238"/>
      </rPr>
      <t>CCVaPP</t>
    </r>
  </si>
  <si>
    <r>
      <t xml:space="preserve">FIAT - DOBLO - </t>
    </r>
    <r>
      <rPr>
        <b/>
        <sz val="12"/>
        <color theme="1"/>
        <rFont val="Calibri"/>
        <family val="2"/>
        <charset val="238"/>
      </rPr>
      <t>Danišovce</t>
    </r>
  </si>
  <si>
    <t>predpokladaný kilometrický nábeh k dátumu obnovy:</t>
  </si>
  <si>
    <t>predpokladasná doba použiteľnosti v rokoch:</t>
  </si>
  <si>
    <t>predpokladaný finančný náklad na obnovu:</t>
  </si>
  <si>
    <t>EČ</t>
  </si>
  <si>
    <r>
      <t xml:space="preserve">FORD - TRANSIT - </t>
    </r>
    <r>
      <rPr>
        <b/>
        <sz val="12"/>
        <color theme="1"/>
        <rFont val="Calibri"/>
        <family val="2"/>
        <charset val="238"/>
      </rPr>
      <t>BZ</t>
    </r>
  </si>
  <si>
    <t>poznámka:</t>
  </si>
  <si>
    <t>Návrh finančnej náročnosti obnovy autoparku UPJŠ v Košiciach</t>
  </si>
  <si>
    <t>418130229 - DaM</t>
  </si>
  <si>
    <t>418130229</t>
  </si>
  <si>
    <t>2018078 - H POINT</t>
  </si>
  <si>
    <t>2018078</t>
  </si>
  <si>
    <t>ZB001291</t>
  </si>
  <si>
    <t>ZB001291 - H-POINT</t>
  </si>
  <si>
    <t>Umytie</t>
  </si>
  <si>
    <t>dodávkové</t>
  </si>
  <si>
    <t>midibus</t>
  </si>
  <si>
    <t xml:space="preserve"> maximálne číslo umývaceho programu:</t>
  </si>
  <si>
    <t>Sezónne prezutie vrátane dodania 4 ks letných PNEU</t>
  </si>
  <si>
    <t>ZB001335 - H-POINT</t>
  </si>
  <si>
    <t>ZB001335</t>
  </si>
  <si>
    <t>Sezónne prezutie; Nastavenie predných svetiel</t>
  </si>
  <si>
    <t>HP: ADBLUE</t>
  </si>
  <si>
    <t>Pravidelná servisná prehliadka; Sezónne prezutie</t>
  </si>
  <si>
    <t>HP: páska do tachografu</t>
  </si>
  <si>
    <t>Oprava prednej a zadnej nápravy</t>
  </si>
  <si>
    <t>2629301052/05 COLONADE PS 10.05.18 -09.05.19</t>
  </si>
  <si>
    <t>2018114 - H-POINT</t>
  </si>
  <si>
    <t>2018114</t>
  </si>
  <si>
    <t>4590979461: AD BLUE</t>
  </si>
  <si>
    <t>3/2018 ZP 01.07.18 - 30.09.18</t>
  </si>
  <si>
    <t>HP: Diaľničná znýmka CZ 10-dňová</t>
  </si>
  <si>
    <t>HP: Štartovacie káble, Pásky do tacho.;Tabuľka deti</t>
  </si>
  <si>
    <t>PU: Výmena čelného skla (spoluúčasť)</t>
  </si>
  <si>
    <t>2018099 - H-POINT</t>
  </si>
  <si>
    <t>2018099</t>
  </si>
  <si>
    <t>Auto Gábriel</t>
  </si>
  <si>
    <t>Oprava palivovej sústavy, sacieho potrubia, výmena zámku palivovej sústavy</t>
  </si>
  <si>
    <t>Pravidelná servisná prehliadka</t>
  </si>
  <si>
    <t>TMBAH9NPOG7041558</t>
  </si>
  <si>
    <t>TMBLJ7NE8E0048926</t>
  </si>
  <si>
    <t>Servisná prehliadka vozidla</t>
  </si>
  <si>
    <t>posledná servisná prehliadka - km:</t>
  </si>
  <si>
    <t>posledná servisná prehliadka - dátum:</t>
  </si>
  <si>
    <t>VFB/18050391 - MONTRÚR</t>
  </si>
  <si>
    <t>MONTRÚR</t>
  </si>
  <si>
    <t>VFB/18050391</t>
  </si>
  <si>
    <t>314181203 - Auto Gábriel: 201801</t>
  </si>
  <si>
    <t>3141881368 - Auto Gábriel: 201802</t>
  </si>
  <si>
    <t>201802</t>
  </si>
  <si>
    <t>201801</t>
  </si>
  <si>
    <t>314181317 - Auto Gábriel: 201803</t>
  </si>
  <si>
    <t>201803</t>
  </si>
  <si>
    <t>KE344YO</t>
  </si>
  <si>
    <t>U5UPN1023J1000565</t>
  </si>
  <si>
    <t>POISTENIE:</t>
  </si>
  <si>
    <t>áno</t>
  </si>
  <si>
    <t>nie</t>
  </si>
  <si>
    <t>zohľadnené v operatívnom lísingu</t>
  </si>
  <si>
    <t>zohľadnené vo finančnom lísingu</t>
  </si>
  <si>
    <t>poistenie sedadiel</t>
  </si>
  <si>
    <t>BA </t>
  </si>
  <si>
    <t>2461,0 </t>
  </si>
  <si>
    <t>85,00 </t>
  </si>
  <si>
    <t> NM</t>
  </si>
  <si>
    <t>2198 </t>
  </si>
  <si>
    <t> 62,50</t>
  </si>
  <si>
    <t>BA  </t>
  </si>
  <si>
    <t> 1360</t>
  </si>
  <si>
    <t>55 </t>
  </si>
  <si>
    <t>60 </t>
  </si>
  <si>
    <t>1968 </t>
  </si>
  <si>
    <t>110,00 </t>
  </si>
  <si>
    <t>110 </t>
  </si>
  <si>
    <t>66 </t>
  </si>
  <si>
    <t>314181418 - Auto Gábriel: 201804</t>
  </si>
  <si>
    <t>201804</t>
  </si>
  <si>
    <t>314181443 - Auto Gábriel: 201805</t>
  </si>
  <si>
    <t>201805</t>
  </si>
  <si>
    <t>314181452 - Auto Gábriel: 201806</t>
  </si>
  <si>
    <t>201806</t>
  </si>
  <si>
    <t>Oprava osvetlenia vozidla</t>
  </si>
  <si>
    <t>201807</t>
  </si>
  <si>
    <t>Garančná oprava: AD Blue; Nastavenie volantu; Výmena zámku zadných dverá; Oprava elektroinštalácie zásuvky prívesného vozíka</t>
  </si>
  <si>
    <t>57610 - TURANCAR: 201807</t>
  </si>
  <si>
    <t>314181501 - Auto Gábriel: 201808</t>
  </si>
  <si>
    <t>4/2018: ZP 01.10.18 - 31.12.18</t>
  </si>
  <si>
    <t>HP: Výroba náhradného kľúča dverí vozidla</t>
  </si>
  <si>
    <t>Doplnenie motorového oleja, umytie vozidla</t>
  </si>
  <si>
    <t>310240 - Auto Gábriel: 2018??</t>
  </si>
  <si>
    <t>114182991 - Auto Gábriel: 201809</t>
  </si>
  <si>
    <t>201809</t>
  </si>
  <si>
    <t>Doplnenie motorového oleja</t>
  </si>
  <si>
    <t>VÝDAJNÁ KARTA SPOTREBNÉHO MATERIÁLU PRE SLUŽOBNÉ VOZIDLA UPJŠ v Košiciach</t>
  </si>
  <si>
    <t>EČV:</t>
  </si>
  <si>
    <t>množstvo prevzatého materiaálu:</t>
  </si>
  <si>
    <t>spotrebný materiál:</t>
  </si>
  <si>
    <t>AD BLUE</t>
  </si>
  <si>
    <t>jelenica</t>
  </si>
  <si>
    <t>letná zmes do ostrekovača</t>
  </si>
  <si>
    <t>zimná zmes do ostrekovača</t>
  </si>
  <si>
    <t>spray proti námraze čelného skla</t>
  </si>
  <si>
    <t>škrabka na okna</t>
  </si>
  <si>
    <t>nárok / dátum prevzatia:</t>
  </si>
  <si>
    <t>podľa potreby</t>
  </si>
  <si>
    <t>1 x ročne</t>
  </si>
  <si>
    <t>prevzatie potvrdil vodič (podpis)</t>
  </si>
  <si>
    <t>VFB/18050454 - Montrúr: 201810</t>
  </si>
  <si>
    <t>Montrúr</t>
  </si>
  <si>
    <t>201810</t>
  </si>
  <si>
    <t>Pri pohybe na konci kalendárného mesiaca odovzdať VPÚ !</t>
  </si>
  <si>
    <t>HP: ADdBlue</t>
  </si>
  <si>
    <t>148112/358 - SLOVNAFT: AdBlue</t>
  </si>
  <si>
    <t>2018???</t>
  </si>
  <si>
    <t>km pošta + pohotovosť</t>
  </si>
  <si>
    <t>VFB/18050505 - Montrúr: 201811</t>
  </si>
  <si>
    <t>VFB/18050504 - Montrúr: 201812</t>
  </si>
  <si>
    <t>201812</t>
  </si>
  <si>
    <t>201811</t>
  </si>
  <si>
    <t>201813</t>
  </si>
  <si>
    <t>2018113 - H-POINT: 201813</t>
  </si>
  <si>
    <t>VFB/18050520 - Montrúr: 201814</t>
  </si>
  <si>
    <t>201814</t>
  </si>
  <si>
    <t>VFB/18050476 - Montrúr: 201815</t>
  </si>
  <si>
    <t>201815</t>
  </si>
  <si>
    <t>Oprava stretávacích svetiel</t>
  </si>
  <si>
    <t>39031 - Auto Gábriel: 201816</t>
  </si>
  <si>
    <t>201816</t>
  </si>
  <si>
    <t>????? - SLOVDEKRA: 201817</t>
  </si>
  <si>
    <t>SLOVDEKRA</t>
  </si>
  <si>
    <t>201817</t>
  </si>
  <si>
    <t>STK a EK</t>
  </si>
  <si>
    <t>2018??</t>
  </si>
  <si>
    <t>Výmena AKB</t>
  </si>
  <si>
    <t>Oprava náprav</t>
  </si>
  <si>
    <t>5/2018: ZP 01.01.19 - 31.03.19</t>
  </si>
  <si>
    <t>31.9.18</t>
  </si>
  <si>
    <t>2018019 - ASPET: Kľúč na kolesá, redukcia zásuvky, snehové reťaze</t>
  </si>
  <si>
    <t>VFB/18050550 - MONTRÚR: 201818</t>
  </si>
  <si>
    <t>201818</t>
  </si>
  <si>
    <t>Sezónne prezutie PNEU s výmenou PNEU</t>
  </si>
  <si>
    <t>VFB/18050552 - MONTRÚR: 201819</t>
  </si>
  <si>
    <t>201819</t>
  </si>
  <si>
    <t>VFB/18050629 - MONTRÚR: 201820</t>
  </si>
  <si>
    <t>201820</t>
  </si>
  <si>
    <t>Sezónne prezutie PNE s dodaním autodiskov</t>
  </si>
  <si>
    <t>Diaľničná známka 2019</t>
  </si>
  <si>
    <t>2019??</t>
  </si>
  <si>
    <t>314182129 - Auto Gábriel: 201821</t>
  </si>
  <si>
    <t>314182150 - Auto Gábriel: 201822</t>
  </si>
  <si>
    <t>201822</t>
  </si>
  <si>
    <t>VFB/18050670 - MONTRÚR: 201823</t>
  </si>
  <si>
    <t>328 500</t>
  </si>
  <si>
    <t>Oprava PNEU</t>
  </si>
  <si>
    <t>201823</t>
  </si>
  <si>
    <t>Oprava prednej nápravy</t>
  </si>
  <si>
    <t>Pravidelná servisná prehliadka; oprava bŕzd</t>
  </si>
  <si>
    <t>Odpredaj vozidla 21.1.2019</t>
  </si>
  <si>
    <t>Obnovený KE344YO</t>
  </si>
  <si>
    <t>Slavka Ivanová - Štyl</t>
  </si>
  <si>
    <t>Oprava systému stierača zadného skla; doplnenie prevádzkových kvapalín</t>
  </si>
  <si>
    <t>201821</t>
  </si>
  <si>
    <t>Oprava osvetlenia vozíka</t>
  </si>
  <si>
    <t>314190128 - Auto Gábriel: 201901</t>
  </si>
  <si>
    <t>201901</t>
  </si>
  <si>
    <t>314190128</t>
  </si>
  <si>
    <t>201902</t>
  </si>
  <si>
    <t>314190091</t>
  </si>
  <si>
    <t>314190091 - Auto Gábriel: 201902</t>
  </si>
  <si>
    <t>310371</t>
  </si>
  <si>
    <t>Spotrebný materiál - sklad UPJŠ</t>
  </si>
  <si>
    <t>2190091 - TURANCAR: 201903</t>
  </si>
  <si>
    <t>201903</t>
  </si>
  <si>
    <t>FVG-928/2019 - TSS GROUP - mesačný paušál</t>
  </si>
  <si>
    <t>FV-785/2019 - TSS GROUP - dodanie zariadenia</t>
  </si>
  <si>
    <t>314190090 - Auto Gábriel: 201904</t>
  </si>
  <si>
    <t>201904</t>
  </si>
  <si>
    <t>314190090</t>
  </si>
  <si>
    <t>314190166 - Auto Gábriel: 201905</t>
  </si>
  <si>
    <t>201905</t>
  </si>
  <si>
    <t>314190166</t>
  </si>
  <si>
    <t>VFB/18050670</t>
  </si>
  <si>
    <t>314182150</t>
  </si>
  <si>
    <t>314182129</t>
  </si>
  <si>
    <t>VFB/18050629</t>
  </si>
  <si>
    <t>VFB/18050552</t>
  </si>
  <si>
    <t>VFB/18050550</t>
  </si>
  <si>
    <t>39031</t>
  </si>
  <si>
    <t>VFB/18050476</t>
  </si>
  <si>
    <t>VFB/18050520</t>
  </si>
  <si>
    <t>VFB/18050504</t>
  </si>
  <si>
    <t>VFB/18050505</t>
  </si>
  <si>
    <t>VFB/18050454</t>
  </si>
  <si>
    <t>114182991</t>
  </si>
  <si>
    <t>314181501</t>
  </si>
  <si>
    <t>201808</t>
  </si>
  <si>
    <t>314181452</t>
  </si>
  <si>
    <t>platnosť revízie hasiacích prístrojov:</t>
  </si>
  <si>
    <t>WV2ZZZ70Z2H018931</t>
  </si>
  <si>
    <t>201906</t>
  </si>
  <si>
    <t>314190209</t>
  </si>
  <si>
    <t>114190317 - Auto Gábriel: 201907</t>
  </si>
  <si>
    <t>201907</t>
  </si>
  <si>
    <t>114190317</t>
  </si>
  <si>
    <t>314181443</t>
  </si>
  <si>
    <t>314181418</t>
  </si>
  <si>
    <t>HP - ASPET: Redukcia elektroinštalácie prív.vozíka</t>
  </si>
  <si>
    <t>1/2019: ZP-vrátenie nevyčerpanéjo poistného</t>
  </si>
  <si>
    <t>WF0ZXXBDFZ7J38104</t>
  </si>
  <si>
    <t>VF7GJKFWC93465923</t>
  </si>
  <si>
    <t>TMBBE61Z1C2123700</t>
  </si>
  <si>
    <t>19310447 - SLOVDEKRA: STK a EK /// 201909</t>
  </si>
  <si>
    <t>314181317</t>
  </si>
  <si>
    <t>314190244 - Auto Gábriel: 201910</t>
  </si>
  <si>
    <t>201910</t>
  </si>
  <si>
    <t>Dodanie a výmena letných PNEU na diskoch</t>
  </si>
  <si>
    <t>HP: Duplikát TP</t>
  </si>
  <si>
    <t>Oprava uloženia prednej nápravy</t>
  </si>
  <si>
    <t>U5KV0601011000283</t>
  </si>
  <si>
    <t>XXX XXX</t>
  </si>
  <si>
    <t>Výmena 4 ks letných PNEU</t>
  </si>
  <si>
    <t>FVG-2317/2019 - TSS GROUP - mesačný paušál</t>
  </si>
  <si>
    <t>platnosť revízie A/C (klimatizácie) do:</t>
  </si>
  <si>
    <t>HP: Autolekárnička</t>
  </si>
  <si>
    <t>VFB/19050083 - Montrúr: 201911</t>
  </si>
  <si>
    <t>201911</t>
  </si>
  <si>
    <t>VFB/19050083</t>
  </si>
  <si>
    <t>190800188 - Truck Data Technology: Ročný licenčný poplatok</t>
  </si>
  <si>
    <t>vložiť stĺpec</t>
  </si>
  <si>
    <t>HP: Elektropoistky</t>
  </si>
  <si>
    <t>214190915 - Auto Gábriel: 201912</t>
  </si>
  <si>
    <t>201912</t>
  </si>
  <si>
    <t>Poistná udalosť: Oprava zadnej časti vozidla</t>
  </si>
  <si>
    <t>214190915</t>
  </si>
  <si>
    <t>Poistná udalosť</t>
  </si>
  <si>
    <t>201913</t>
  </si>
  <si>
    <t>314181368</t>
  </si>
  <si>
    <t>314181203</t>
  </si>
  <si>
    <t>2/2019: ZP 01.04.19 - 30.06.19</t>
  </si>
  <si>
    <t>max. 1 x mesačne</t>
  </si>
  <si>
    <t>jednotková cena s DPH:</t>
  </si>
  <si>
    <t>xxxxx</t>
  </si>
  <si>
    <t>VFB/19050107</t>
  </si>
  <si>
    <t>VFB/19050106</t>
  </si>
  <si>
    <t>VFB/19050108</t>
  </si>
  <si>
    <t>xxx xxx</t>
  </si>
  <si>
    <t>VFB/19050114 - MONTRÚR</t>
  </si>
  <si>
    <t>VFB/19050114</t>
  </si>
  <si>
    <t>VFB/19050107 - MONTRÚR: 201914</t>
  </si>
  <si>
    <t>201914</t>
  </si>
  <si>
    <t>201915</t>
  </si>
  <si>
    <t>VFB/19050106 - MONTRÚR: 201915</t>
  </si>
  <si>
    <t>litre:</t>
  </si>
  <si>
    <t>%:</t>
  </si>
  <si>
    <t>BL028VG</t>
  </si>
  <si>
    <t>Na vyradenie</t>
  </si>
  <si>
    <t>TMBJR7NE4K0168198</t>
  </si>
  <si>
    <t>ŠKODA - OCTAVIA combi</t>
  </si>
  <si>
    <t>len použitie WAP</t>
  </si>
  <si>
    <t>podľa potreby len opláchnutie predného čela Midibusu</t>
  </si>
  <si>
    <t>PREHĽAD VOZIDIEL AUTOPARKU Rektorátu UPJŠ v Košiciach.</t>
  </si>
  <si>
    <t>1190094 - TURANCAR: 201916</t>
  </si>
  <si>
    <t>201916</t>
  </si>
  <si>
    <t>Kontrola, prehliadka a vystavenie certifikátu klimatizačnej jednotky</t>
  </si>
  <si>
    <t>TSS GROUP</t>
  </si>
  <si>
    <t>20917</t>
  </si>
  <si>
    <t>Dodanie a montáž zariadenia GPS</t>
  </si>
  <si>
    <t>FVG-3685/2019 - TSS GROUP - mesačný paušál</t>
  </si>
  <si>
    <t>VFB/19050126</t>
  </si>
  <si>
    <t>VFB/19050126 - MONTRÚR: 2019??</t>
  </si>
  <si>
    <t>Výmena ojazdených letných PNEU</t>
  </si>
  <si>
    <t>VFB/19050150 - MONTRÚR: 201918</t>
  </si>
  <si>
    <t>VFB/19050108 - MONTRÚR: 2019??</t>
  </si>
  <si>
    <t>201918</t>
  </si>
  <si>
    <t>Sezónne prezutie PNEU s uskladnením</t>
  </si>
  <si>
    <t>VFB/19050150</t>
  </si>
  <si>
    <t>VFB/19050162 - MONTRÚR: 201919</t>
  </si>
  <si>
    <t>201919</t>
  </si>
  <si>
    <t>VFB/19050162</t>
  </si>
  <si>
    <t>VFB/19050155 - MONTRÚR: 201920</t>
  </si>
  <si>
    <t>201920</t>
  </si>
  <si>
    <t>VFB/19050155</t>
  </si>
  <si>
    <t>314190741 - Auto Gábriel: 201921</t>
  </si>
  <si>
    <t>201921</t>
  </si>
  <si>
    <t>314190741</t>
  </si>
  <si>
    <t>VFB/19050183 - MONTRÚR: 201922</t>
  </si>
  <si>
    <t>201922</t>
  </si>
  <si>
    <t>VFB/19050183</t>
  </si>
  <si>
    <t>1923106066 - Allianz</t>
  </si>
  <si>
    <t>Škodová komisia - 1/2019-Neubauer</t>
  </si>
  <si>
    <t>Spracovanie CP; Vytankovanie PHM</t>
  </si>
  <si>
    <t>HP: Dočasné odhlásenie vozidla</t>
  </si>
  <si>
    <t>314190966</t>
  </si>
  <si>
    <t>201923</t>
  </si>
  <si>
    <t>314190966 - Auto Gábriel: 201923</t>
  </si>
  <si>
    <t>314190996 - Auto Gábriel: 201924</t>
  </si>
  <si>
    <t>201924</t>
  </si>
  <si>
    <t>Oprava elektroinštalácie</t>
  </si>
  <si>
    <t>314190996</t>
  </si>
  <si>
    <t>201925</t>
  </si>
  <si>
    <t>Garančná oprava zadného stierača</t>
  </si>
  <si>
    <t>314190927 - Auto Gábriel: 201926</t>
  </si>
  <si>
    <t>201926</t>
  </si>
  <si>
    <t>314190927</t>
  </si>
  <si>
    <t>VFB/19050195 - MONTRÚR: 201927</t>
  </si>
  <si>
    <t>201927</t>
  </si>
  <si>
    <t>VFB/19050195</t>
  </si>
  <si>
    <t>VFB/18050629 - MONTRÚR: 201828</t>
  </si>
  <si>
    <t>201928</t>
  </si>
  <si>
    <t>VFB/19050188</t>
  </si>
  <si>
    <t>VFB/19050190 - MONTRÚR: 201929</t>
  </si>
  <si>
    <t>VFB/19050190</t>
  </si>
  <si>
    <t>201929</t>
  </si>
  <si>
    <t>VFB/19050192 - MONTRÚR: 201930</t>
  </si>
  <si>
    <t>201930</t>
  </si>
  <si>
    <t>VFB/19050192</t>
  </si>
  <si>
    <t>VFB/19050177 - MONTRÚR: 201931</t>
  </si>
  <si>
    <t>201931</t>
  </si>
  <si>
    <t>VFB/19050177</t>
  </si>
  <si>
    <t>VFB/19050184 - MONTRÚR: 201932</t>
  </si>
  <si>
    <t>201932</t>
  </si>
  <si>
    <t>VFB/19050184</t>
  </si>
  <si>
    <t>2629301417/05 - COLONNADE: PS 10.05.19 - 09.05.20</t>
  </si>
  <si>
    <t>Balenie (12 ks x 0,5 lit.) minerálnej vody</t>
  </si>
  <si>
    <t>Balenie (6 ks x 1,5 lit.) minerálnej vody</t>
  </si>
  <si>
    <t>max. 1 x mesačne (marec až október)</t>
  </si>
  <si>
    <t>max. 2 x mesačne (november až február)</t>
  </si>
  <si>
    <t>max. 1 x mesačne (november až február)</t>
  </si>
  <si>
    <t>HP: Tachografové kotúčiky</t>
  </si>
  <si>
    <t>314191204</t>
  </si>
  <si>
    <t>314191204 - Auto Gábriel: 201933</t>
  </si>
  <si>
    <t>201933</t>
  </si>
  <si>
    <t>314191413 - Auto Gábriel: 201934</t>
  </si>
  <si>
    <t>201934</t>
  </si>
  <si>
    <t>Oprava predných bŕzd, elektroinštalácie</t>
  </si>
  <si>
    <t>314191413</t>
  </si>
  <si>
    <t>201935</t>
  </si>
  <si>
    <t>Oprava predných a zadných bŕzd</t>
  </si>
  <si>
    <t>310516</t>
  </si>
  <si>
    <t>11214 - VW FSS: 2019 36</t>
  </si>
  <si>
    <t>VW FSS</t>
  </si>
  <si>
    <t>201936</t>
  </si>
  <si>
    <t>Spoluúčasť pistnej udalosti - výmena čelného skla</t>
  </si>
  <si>
    <t>39066 - Auto Gábriel: 201937</t>
  </si>
  <si>
    <t>39066</t>
  </si>
  <si>
    <t>Oprava otvárania prednej kapoty</t>
  </si>
  <si>
    <t>201937</t>
  </si>
  <si>
    <t>Vystrihnúť z púvodného súboru a prilepiť a potom už len kopírovať riadok a vložiť ako text !!!!!!!!!!!!!!!!!</t>
  </si>
  <si>
    <t>314191640 - Auto Gábriel: 201938</t>
  </si>
  <si>
    <t>201938</t>
  </si>
  <si>
    <t>314191640</t>
  </si>
  <si>
    <t>314191639 - Auto Gábriel: 201939</t>
  </si>
  <si>
    <t>201939</t>
  </si>
  <si>
    <t>Oprava servoriadenia</t>
  </si>
  <si>
    <t>314191639</t>
  </si>
  <si>
    <t>310543 - Auto Gábriel: 201940</t>
  </si>
  <si>
    <t>201940</t>
  </si>
  <si>
    <t>310543</t>
  </si>
  <si>
    <t>PODNIKATEĽSKÁ ČINNOSŤ:</t>
  </si>
  <si>
    <t>HP: AD Blue</t>
  </si>
  <si>
    <t>bez EČ</t>
  </si>
  <si>
    <r>
      <rPr>
        <b/>
        <sz val="12"/>
        <color theme="1"/>
        <rFont val="Calibri"/>
        <family val="2"/>
        <charset val="238"/>
      </rPr>
      <t>BZ1</t>
    </r>
    <r>
      <rPr>
        <sz val="12"/>
        <color theme="1"/>
        <rFont val="Calibri"/>
        <family val="2"/>
        <charset val="238"/>
      </rPr>
      <t>: UNC 060</t>
    </r>
  </si>
  <si>
    <r>
      <rPr>
        <b/>
        <sz val="12"/>
        <color theme="1"/>
        <rFont val="Calibri"/>
        <family val="2"/>
        <charset val="238"/>
      </rPr>
      <t>BZ4:</t>
    </r>
    <r>
      <rPr>
        <sz val="12"/>
        <color theme="1"/>
        <rFont val="Calibri"/>
        <family val="2"/>
        <charset val="238"/>
      </rPr>
      <t xml:space="preserve"> Komunálny traktor JOHN DEERE</t>
    </r>
  </si>
  <si>
    <r>
      <rPr>
        <b/>
        <sz val="12"/>
        <color theme="1"/>
        <rFont val="Calibri"/>
        <family val="2"/>
        <charset val="238"/>
      </rPr>
      <t xml:space="preserve">BZ5: </t>
    </r>
    <r>
      <rPr>
        <sz val="12"/>
        <color theme="1"/>
        <rFont val="Calibri"/>
        <family val="2"/>
        <charset val="238"/>
      </rPr>
      <t>Vlečka za komunálny traktor JOHN DEERE</t>
    </r>
  </si>
  <si>
    <r>
      <rPr>
        <b/>
        <sz val="12"/>
        <color theme="1"/>
        <rFont val="Calibri"/>
        <family val="2"/>
        <charset val="238"/>
      </rPr>
      <t>BZ6:</t>
    </r>
    <r>
      <rPr>
        <sz val="12"/>
        <color theme="1"/>
        <rFont val="Calibri"/>
        <family val="2"/>
        <charset val="238"/>
      </rPr>
      <t xml:space="preserve"> Malotraktor TZ4K14</t>
    </r>
  </si>
  <si>
    <r>
      <rPr>
        <b/>
        <sz val="12"/>
        <color theme="1"/>
        <rFont val="Calibri"/>
        <family val="2"/>
        <charset val="238"/>
      </rPr>
      <t>BZ2:</t>
    </r>
    <r>
      <rPr>
        <sz val="12"/>
        <color theme="1"/>
        <rFont val="Calibri"/>
        <family val="2"/>
        <charset val="238"/>
      </rPr>
      <t xml:space="preserve"> Traktor - ZETOR 7245</t>
    </r>
  </si>
  <si>
    <t>KE949AB</t>
  </si>
  <si>
    <t>KE592YE</t>
  </si>
  <si>
    <r>
      <rPr>
        <b/>
        <sz val="12"/>
        <color theme="1"/>
        <rFont val="Calibri"/>
        <family val="2"/>
        <charset val="238"/>
      </rPr>
      <t xml:space="preserve">BZ3: </t>
    </r>
    <r>
      <rPr>
        <sz val="12"/>
        <color theme="1"/>
        <rFont val="Calibri"/>
        <family val="2"/>
        <charset val="238"/>
      </rPr>
      <t>Traktorová vlečka veľká</t>
    </r>
  </si>
  <si>
    <r>
      <rPr>
        <b/>
        <sz val="12"/>
        <color theme="1"/>
        <rFont val="Calibri"/>
        <family val="2"/>
        <charset val="238"/>
      </rPr>
      <t>R1:</t>
    </r>
    <r>
      <rPr>
        <sz val="12"/>
        <color theme="1"/>
        <rFont val="Calibri"/>
        <family val="2"/>
        <charset val="238"/>
      </rPr>
      <t xml:space="preserve"> Benzínová traktorová kosačka AGS Starjet AJ 102/22H Volvo</t>
    </r>
  </si>
  <si>
    <t>HP: Kniha jazdných listov</t>
  </si>
  <si>
    <t>35/12/2019</t>
  </si>
  <si>
    <t>max:</t>
  </si>
  <si>
    <t>KE502GM</t>
  </si>
  <si>
    <t>VW - PASSAT combi</t>
  </si>
  <si>
    <t>VW - GOLF combi</t>
  </si>
  <si>
    <t>Technický preukaz</t>
  </si>
  <si>
    <t>WVWZZZ3CZ9P066178</t>
  </si>
  <si>
    <t>HP: Prepis vozidla</t>
  </si>
  <si>
    <t>VFB/19050616 - Montrúr: 201941</t>
  </si>
  <si>
    <t>201941</t>
  </si>
  <si>
    <t>VFB/19050616</t>
  </si>
  <si>
    <t>314192233 - Auto Gábriel: 201942</t>
  </si>
  <si>
    <t>201942</t>
  </si>
  <si>
    <t>314192233</t>
  </si>
  <si>
    <t>Absolvovanie STK a EK</t>
  </si>
  <si>
    <t>Pravidelná servisná prehliadka; Odstránenie nedostatkov z STK: oprava ručnej brzdy</t>
  </si>
  <si>
    <t>114193971 - Auto Gábriel: 201945</t>
  </si>
  <si>
    <t>201945</t>
  </si>
  <si>
    <t>114193971</t>
  </si>
  <si>
    <t>314191993 - Auto Gábriel: 201946</t>
  </si>
  <si>
    <t>201946</t>
  </si>
  <si>
    <t>314191993</t>
  </si>
  <si>
    <t>314192373 - Auto Gábriel: 201947</t>
  </si>
  <si>
    <t>201947</t>
  </si>
  <si>
    <t>314192373</t>
  </si>
  <si>
    <t>2019/529 - Ing.Igor Škrobánek - O.P.C.D.: 201948</t>
  </si>
  <si>
    <t>Ing.Igor Škrobánek - O.P.C.D.</t>
  </si>
  <si>
    <t>201948</t>
  </si>
  <si>
    <t>Úradné meranie spotreby paliva</t>
  </si>
  <si>
    <t>VFB/19050617 - MONTRÚR: 201949</t>
  </si>
  <si>
    <t>201949</t>
  </si>
  <si>
    <t>VFB/19050617</t>
  </si>
  <si>
    <t>19314032 - DEKRA Slovensko: 201950</t>
  </si>
  <si>
    <t>DEKRA Slovensko</t>
  </si>
  <si>
    <t>201950</t>
  </si>
  <si>
    <t>19314032 - DEKRA Slovensko:201950</t>
  </si>
  <si>
    <t>VFB/19050563 - MONTRÚR: 201951</t>
  </si>
  <si>
    <t>201951</t>
  </si>
  <si>
    <t>VFB/19050563</t>
  </si>
  <si>
    <t>Výmena autobatérie</t>
  </si>
  <si>
    <t>Oprava traktorovej kosačky AGS Starjet AJ 102/22 H Volvo - servisná prehliadka</t>
  </si>
  <si>
    <t>VFB/19050602 - MONTRÚR: 201952</t>
  </si>
  <si>
    <t>201952</t>
  </si>
  <si>
    <t>VFB/19050602</t>
  </si>
  <si>
    <t>VFB/19050599 - MONTRÚR: 201953</t>
  </si>
  <si>
    <t>201953</t>
  </si>
  <si>
    <t>VFB/19050599</t>
  </si>
  <si>
    <t>xxx</t>
  </si>
  <si>
    <t>314200056</t>
  </si>
  <si>
    <t>314200056 - Auto Gábriel: CP314200056</t>
  </si>
  <si>
    <t>Oprava osvetlenia vozidla - výmena halogénovej žiarovky</t>
  </si>
  <si>
    <t>1/2019: ZP 01.07.19 - 30.09.19</t>
  </si>
  <si>
    <t>314191511 - Auto Gábriel: 201954</t>
  </si>
  <si>
    <t>314191511</t>
  </si>
  <si>
    <t>201954</t>
  </si>
  <si>
    <t>314191510 - Auto Gábriel: 201955</t>
  </si>
  <si>
    <t>201955</t>
  </si>
  <si>
    <t>Doplnenie krytu kolesa (puklice)</t>
  </si>
  <si>
    <t>314191510</t>
  </si>
  <si>
    <t>CP314200056</t>
  </si>
  <si>
    <t>2/2019: ZP 01.10.19 - 31.12.19</t>
  </si>
  <si>
    <t>4/2019: ZP 01.10.19 - 31.12.19</t>
  </si>
  <si>
    <t>3/2019: ZP 01.07.19 - 16.09.19</t>
  </si>
  <si>
    <t>3/2019: ZP 01.07.19 - 30.09.19</t>
  </si>
  <si>
    <t>2191342 - TURANCAR: 201956</t>
  </si>
  <si>
    <t>201956</t>
  </si>
  <si>
    <t>Výmena stieračov</t>
  </si>
  <si>
    <t>19314032 - DEKRA Slovensko: 201957</t>
  </si>
  <si>
    <t>201957</t>
  </si>
  <si>
    <t>314190378 - Auto Gábriel: 201913</t>
  </si>
  <si>
    <t>314190378</t>
  </si>
  <si>
    <t>314191884 - Auto Gábriel: 201958</t>
  </si>
  <si>
    <t>201958</t>
  </si>
  <si>
    <t>Oprava bočných posúvnych dverí; Výmena autobatérie</t>
  </si>
  <si>
    <t>314191846 - Auto Gábriel: 201959</t>
  </si>
  <si>
    <t>201959</t>
  </si>
  <si>
    <t>Oprava - výmena častí výfuku</t>
  </si>
  <si>
    <t>314191884</t>
  </si>
  <si>
    <t>314191846</t>
  </si>
  <si>
    <t>314191889 - Auto Gábriel: 201960</t>
  </si>
  <si>
    <t>201960</t>
  </si>
  <si>
    <t>314191889</t>
  </si>
  <si>
    <t>314191892 - Auto Gábriel: 201961</t>
  </si>
  <si>
    <t>Auto Gábriel (Montrúr)</t>
  </si>
  <si>
    <t>201961</t>
  </si>
  <si>
    <t>Odťah vozidla</t>
  </si>
  <si>
    <t>314191892</t>
  </si>
  <si>
    <t>MONTRÚR - nastavenie geometrie</t>
  </si>
  <si>
    <t>MONTRÚR s.r.o.</t>
  </si>
  <si>
    <t>314191932 - Auto Gábriel: 201962</t>
  </si>
  <si>
    <t>201962</t>
  </si>
  <si>
    <t>314191932</t>
  </si>
  <si>
    <t>VFB/19050550 - MONTRÚR: 201963</t>
  </si>
  <si>
    <t>201963</t>
  </si>
  <si>
    <t>VFB/19050550</t>
  </si>
  <si>
    <t>310592 - Auto Gábriel: 201964</t>
  </si>
  <si>
    <t>310516 - Auto Gábriel: 201935</t>
  </si>
  <si>
    <t>201964</t>
  </si>
  <si>
    <t>310592</t>
  </si>
  <si>
    <t>Výmena 2 ks zimných PNEU</t>
  </si>
  <si>
    <t>Cestná daň za rok 2019</t>
  </si>
  <si>
    <t>314192143 - Auto Gábriel: 201965</t>
  </si>
  <si>
    <t>201965</t>
  </si>
  <si>
    <t>Výmena zásuvky ťažného zariadenia</t>
  </si>
  <si>
    <t>314192143</t>
  </si>
  <si>
    <t>Absolvovanie opakovanej STK a EK</t>
  </si>
  <si>
    <t>310606 - Auto Gábriel: CP310606</t>
  </si>
  <si>
    <t>CP310606</t>
  </si>
  <si>
    <t>310606</t>
  </si>
  <si>
    <t>kalendárnych mesiacov</t>
  </si>
  <si>
    <t>kalendárnych rokov</t>
  </si>
  <si>
    <t>VFB/19050562</t>
  </si>
  <si>
    <t>201966</t>
  </si>
  <si>
    <t>201967: MONTRÚR</t>
  </si>
  <si>
    <t>201967</t>
  </si>
  <si>
    <t>VFB/19050564</t>
  </si>
  <si>
    <t>201-68: MONTRÚR</t>
  </si>
  <si>
    <t>VFB/19050598</t>
  </si>
  <si>
    <t>201968</t>
  </si>
  <si>
    <t>CP20032</t>
  </si>
  <si>
    <t>Oprava pojazdovej kosačky Viking MB 650 - srvisná prehliadka</t>
  </si>
  <si>
    <t>Oprava pojazdovej kosačky GUDE 400K - srvisná prehliadka</t>
  </si>
  <si>
    <t>CP20034</t>
  </si>
  <si>
    <t>Oprava krovinorezu STIHL FS 87 AC - srvisná prehliadka</t>
  </si>
  <si>
    <t>Oprava krovinorezu STIHL FS 80 - srvisná prehliadka</t>
  </si>
  <si>
    <t>TSS Group</t>
  </si>
  <si>
    <t>201969</t>
  </si>
  <si>
    <t>Montáž a aktivácia GPS zariadenia</t>
  </si>
  <si>
    <t>201969: DEKRA Slovensko</t>
  </si>
  <si>
    <t>Oprava bŕzd</t>
  </si>
  <si>
    <t>314200012 - Auto Gábriel: 202001</t>
  </si>
  <si>
    <t>202001</t>
  </si>
  <si>
    <t>314200012</t>
  </si>
  <si>
    <t>Oprava interiéru vozidla</t>
  </si>
  <si>
    <t>202002: Auto Gábriel</t>
  </si>
  <si>
    <t>202002</t>
  </si>
  <si>
    <t>314200081</t>
  </si>
  <si>
    <t>Pravidelná servisná prehliadka; Oprava bŕzd; netesnosti motora</t>
  </si>
  <si>
    <t>314200083</t>
  </si>
  <si>
    <t>202003</t>
  </si>
  <si>
    <t>202003: Auto Gábriel</t>
  </si>
  <si>
    <r>
      <t xml:space="preserve">maximálne jednotkové ceny v zmysle platného cenníka uvedeného na stránke DPMK a.s.   </t>
    </r>
    <r>
      <rPr>
        <i/>
        <u/>
        <sz val="12"/>
        <color theme="1"/>
        <rFont val="Calibri"/>
        <family val="2"/>
        <charset val="238"/>
      </rPr>
      <t xml:space="preserve"> https://www.dpmk.sk/dalsie-sluzby</t>
    </r>
    <r>
      <rPr>
        <sz val="12"/>
        <color theme="1"/>
        <rFont val="Calibri"/>
        <family val="2"/>
        <charset val="238"/>
      </rPr>
      <t xml:space="preserve">    platné ku dňu dodania služby</t>
    </r>
  </si>
  <si>
    <t>CP20062</t>
  </si>
  <si>
    <t>Oprava Makita AKU skrutkovač 6271D 12V - oprava nefunkčnosti (výmena motora)</t>
  </si>
  <si>
    <t>314200324</t>
  </si>
  <si>
    <t>202004</t>
  </si>
  <si>
    <r>
      <t xml:space="preserve">Traktorová kosačka - R UPJŠ - </t>
    </r>
    <r>
      <rPr>
        <b/>
        <sz val="12"/>
        <rFont val="Calibri"/>
        <family val="2"/>
        <charset val="238"/>
      </rPr>
      <t>Dodanie Autobatérie</t>
    </r>
  </si>
  <si>
    <t>- priemerne zostatok na deň</t>
  </si>
  <si>
    <t>- priemerne denne</t>
  </si>
  <si>
    <t>- priemerne na deň počas trvania zmluvy</t>
  </si>
  <si>
    <t>314200116</t>
  </si>
  <si>
    <t>202005</t>
  </si>
  <si>
    <t>CP310664: Auto Gábriel</t>
  </si>
  <si>
    <t>Opakovaná STK a EK</t>
  </si>
  <si>
    <t>20200014</t>
  </si>
  <si>
    <t>202006</t>
  </si>
  <si>
    <t>202007</t>
  </si>
  <si>
    <t>314200183</t>
  </si>
  <si>
    <t>km pri kúpe:</t>
  </si>
  <si>
    <t>nadobudajúca cena:</t>
  </si>
  <si>
    <t>počet rokov pre výpočet rozpočítania nadobudajúcej ceny vozidla:</t>
  </si>
  <si>
    <t>aktuálny stav km:</t>
  </si>
  <si>
    <t>EKONOMICKÉ VYHODNOTENIE - NÁKLAD NA 1 km:</t>
  </si>
  <si>
    <t>náklad mesačne:</t>
  </si>
  <si>
    <t>náklad na 1 km:</t>
  </si>
  <si>
    <t>výpočet ubehnutých km:</t>
  </si>
  <si>
    <t>spotreba PHM na 1 km:</t>
  </si>
  <si>
    <t>spotreba PHM spolu:</t>
  </si>
  <si>
    <t>SERVIS na 1 km:</t>
  </si>
  <si>
    <t>SERVIS spolu:</t>
  </si>
  <si>
    <t>INÉ na 1 km:</t>
  </si>
  <si>
    <t>INÉ spolu:</t>
  </si>
  <si>
    <t>GPS na 1 km:</t>
  </si>
  <si>
    <t>GPS spolu:</t>
  </si>
  <si>
    <t>SPOLU:</t>
  </si>
  <si>
    <t>ZP na 1 km:</t>
  </si>
  <si>
    <t>ZP spolu:</t>
  </si>
  <si>
    <t xml:space="preserve">priemerný vek vozidiel autoparku: </t>
  </si>
  <si>
    <t>HP na 1 km:</t>
  </si>
  <si>
    <t>HP spolu:</t>
  </si>
  <si>
    <t>GAP na 1 km:</t>
  </si>
  <si>
    <t>GAP spolu:</t>
  </si>
  <si>
    <t>POISTENIE - CELOK na 1 km:</t>
  </si>
  <si>
    <t>POISTENIE - CELOK spolu::</t>
  </si>
  <si>
    <t>NÁKLAD ZA OBDOBIE:</t>
  </si>
  <si>
    <t>priemerná spotreba:</t>
  </si>
  <si>
    <r>
      <rPr>
        <b/>
        <i/>
        <sz val="12"/>
        <color theme="1"/>
        <rFont val="Calibri"/>
        <family val="2"/>
        <charset val="238"/>
      </rPr>
      <t>rozdiel</t>
    </r>
    <r>
      <rPr>
        <i/>
        <sz val="12"/>
        <color theme="1"/>
        <rFont val="Calibri"/>
        <family val="2"/>
        <charset val="238"/>
      </rPr>
      <t xml:space="preserve"> za obdobie -- celkový:</t>
    </r>
  </si>
  <si>
    <t>UMÝVANIE na 1 km:</t>
  </si>
  <si>
    <t>UMÝVANIE spolu:</t>
  </si>
  <si>
    <t>orientačný priemerný náklad na 1 km - GPS:</t>
  </si>
  <si>
    <t>orientačný priemerný náklad na 1 km - POISTENIE:</t>
  </si>
  <si>
    <t>orientačný priemerný náklad na 1 km - UMÝVANIE:</t>
  </si>
  <si>
    <t>orientačný priemerný náklad na 1 km -INÉ:</t>
  </si>
  <si>
    <t>orientačný priemerný náklad na 1 km - SERVIS:</t>
  </si>
  <si>
    <t>orientačný priemerný náklad na 1 km - LÍZING:</t>
  </si>
  <si>
    <t>LÍZING na 1 km:</t>
  </si>
  <si>
    <t>LÍZING spolu:</t>
  </si>
  <si>
    <t>MÝTO na 1 km:</t>
  </si>
  <si>
    <t>MÝTO spolu:</t>
  </si>
  <si>
    <t>INTERNET na 1 km:</t>
  </si>
  <si>
    <t>INTERNET spolu:</t>
  </si>
  <si>
    <t>P - SEDADLÁ na 1 km:</t>
  </si>
  <si>
    <t>P - SEDADLÁ spolu:</t>
  </si>
  <si>
    <t>27.03.19 - 26.03.20</t>
  </si>
  <si>
    <t>18.12.19 - 31.03.20</t>
  </si>
  <si>
    <t>Lízingová zmluva</t>
  </si>
  <si>
    <t>orientačný priemerný náklad na 1 km - MÝTO:</t>
  </si>
  <si>
    <t>orientačný priemerný náklad na 1 km - INTERNET:</t>
  </si>
  <si>
    <t>Revízia klimatizačnej jednotky (Kovplastzvar Košice)</t>
  </si>
  <si>
    <t>Auto Gábriel (Kovplastzvar)</t>
  </si>
  <si>
    <t>Revízia klimatizácie (práca v subdodávke)</t>
  </si>
  <si>
    <t>Nastavenie geometrie (práca v subdodávke)</t>
  </si>
  <si>
    <t>10.05.19 - 09.05.20</t>
  </si>
  <si>
    <t>aktuálny stav tachometra</t>
  </si>
  <si>
    <t>dátum zaradenia UPJŠ:</t>
  </si>
  <si>
    <t>vek pre výpočet km:</t>
  </si>
  <si>
    <t>dátum pr./zaradenia:</t>
  </si>
  <si>
    <t>spolu pre výpočet nákladov miezd na 1 km:</t>
  </si>
  <si>
    <t>počet vodičov:</t>
  </si>
  <si>
    <t>priemerná mzda vodiča:</t>
  </si>
  <si>
    <t>náklad na 1 km - mzda:</t>
  </si>
  <si>
    <t>PREHĽAD NÁKLADOV VOZIDIEL ZA OBDOBIE OD:</t>
  </si>
  <si>
    <t>DO:</t>
  </si>
  <si>
    <t>zaobstaranie vozidla:</t>
  </si>
  <si>
    <t>PHM:</t>
  </si>
  <si>
    <t>SERVIS:</t>
  </si>
  <si>
    <t>INÉ:</t>
  </si>
  <si>
    <t>UMÝVANIE:</t>
  </si>
  <si>
    <t>POČET UMYTÍ:</t>
  </si>
  <si>
    <t>GPS:</t>
  </si>
  <si>
    <t>MÝTO:</t>
  </si>
  <si>
    <t>INTERNET:</t>
  </si>
  <si>
    <t>LÍZING:</t>
  </si>
  <si>
    <t>NÁKLAD NA 1 KM:</t>
  </si>
  <si>
    <t>10.05.18 - 09.05.19</t>
  </si>
  <si>
    <t>10.05.19 -  09.05.20</t>
  </si>
  <si>
    <t>do 3,5 t.:</t>
  </si>
  <si>
    <t>Rozúčtovanie nákladov pre fakulty a rektorátne pracoviská (HČ):</t>
  </si>
  <si>
    <t>ŠKODA - SUPERB 4x4</t>
  </si>
  <si>
    <t>21.07.17 - 20.07.18</t>
  </si>
  <si>
    <t>21.07.18 - 20.07.19</t>
  </si>
  <si>
    <t>21.07.19 - 20.07.20</t>
  </si>
  <si>
    <t>01.01.18 - 31.03.18</t>
  </si>
  <si>
    <t>01.04.18 - 30.06.18</t>
  </si>
  <si>
    <t>01.07.18 - 30.09.18</t>
  </si>
  <si>
    <t>01.10.18 - 31.12.18</t>
  </si>
  <si>
    <t>01.01.19 - 31.03.19</t>
  </si>
  <si>
    <t>01.04.19 - 30.06.19</t>
  </si>
  <si>
    <t>01.07.19 - 30.09.19</t>
  </si>
  <si>
    <t>01.10.19 - 31.12.19</t>
  </si>
  <si>
    <t>01.01.20 - 31.03.20</t>
  </si>
  <si>
    <t>ROZDIEL za obdobie - celkový:</t>
  </si>
  <si>
    <t>202008: Auto Gábriel</t>
  </si>
  <si>
    <t>202008</t>
  </si>
  <si>
    <t>Oprava žhavenia; zámku kufra</t>
  </si>
  <si>
    <t>314200352</t>
  </si>
  <si>
    <t>CAIS KOŠICE</t>
  </si>
  <si>
    <t>Overenie digitálneho tachografu</t>
  </si>
  <si>
    <t>202009: Auto Gábriel</t>
  </si>
  <si>
    <t>202009</t>
  </si>
  <si>
    <t>314200232</t>
  </si>
  <si>
    <t>202010: Auto Gábriel</t>
  </si>
  <si>
    <t>202010</t>
  </si>
  <si>
    <t>314200254</t>
  </si>
  <si>
    <t>202011: Auto Gábriel</t>
  </si>
  <si>
    <t>202011</t>
  </si>
  <si>
    <t>314200253</t>
  </si>
  <si>
    <t>202012: MONTRÚR</t>
  </si>
  <si>
    <t>202012</t>
  </si>
  <si>
    <t>VFS 209200024</t>
  </si>
  <si>
    <t>202013: MONTRÚR</t>
  </si>
  <si>
    <t>202013</t>
  </si>
  <si>
    <t>Sezńne prezutie PNEU s uskladnením</t>
  </si>
  <si>
    <t>202014</t>
  </si>
  <si>
    <t>202014: MONTRÚR</t>
  </si>
  <si>
    <t>VFS 209200011</t>
  </si>
  <si>
    <t>2200216: TURANCAR</t>
  </si>
  <si>
    <t>202015</t>
  </si>
  <si>
    <t>ROZPOČET UMÝVANIA:</t>
  </si>
  <si>
    <t>celková cena za obdobie s DPH:</t>
  </si>
  <si>
    <t>celková cena za obdobie bez DPH:</t>
  </si>
  <si>
    <t>navrhovaná cena za obdobie s DPH:</t>
  </si>
  <si>
    <t>navrhovaná cena za obdobie bez DPH:</t>
  </si>
  <si>
    <t>202008: CAIS KOŠICE - Overenie tachografu</t>
  </si>
  <si>
    <t>31200536: SLOVDEKRA - STK a EK</t>
  </si>
  <si>
    <t>202016: Auto Gábriel</t>
  </si>
  <si>
    <t>202016</t>
  </si>
  <si>
    <t>314200329</t>
  </si>
  <si>
    <t>202017</t>
  </si>
  <si>
    <t>314200378</t>
  </si>
  <si>
    <t>2020105</t>
  </si>
  <si>
    <t>202018: Auto Gábriel</t>
  </si>
  <si>
    <t>202018</t>
  </si>
  <si>
    <t>314200405</t>
  </si>
  <si>
    <t>ŠKODA - OCTAVIA combi 4x4</t>
  </si>
  <si>
    <t>HP: STK a EK</t>
  </si>
  <si>
    <t>- priemerne</t>
  </si>
  <si>
    <t>01.04.20 - 30.06.20</t>
  </si>
  <si>
    <t>202019: Auto Gábriel</t>
  </si>
  <si>
    <t>202019</t>
  </si>
  <si>
    <t>314200432</t>
  </si>
  <si>
    <t>zaobstaranie</t>
  </si>
  <si>
    <t>202020: Truck Data Technology</t>
  </si>
  <si>
    <t>Truck Data Technology</t>
  </si>
  <si>
    <t>202020</t>
  </si>
  <si>
    <t>Ročný aktualizačný poplatok - tachografové dáta</t>
  </si>
  <si>
    <t>- kontrola</t>
  </si>
  <si>
    <t>- celkový náklad</t>
  </si>
  <si>
    <t>CELKOVÝ NÁKLAD VOZIDLA:</t>
  </si>
  <si>
    <t>310281 - Auto Gábriel: 2018???</t>
  </si>
  <si>
    <t>STARÝ prívesný vozík</t>
  </si>
  <si>
    <t>spotreba PHM na 1 deň:</t>
  </si>
  <si>
    <t>SERVIS na 1 deň:</t>
  </si>
  <si>
    <t>INÉ na 1 deň:</t>
  </si>
  <si>
    <t>UMÝVANIE na 1 deň:</t>
  </si>
  <si>
    <t>GPS na 1 deň:</t>
  </si>
  <si>
    <t>MÝTO na 1 deň:</t>
  </si>
  <si>
    <t>INTERNET na 1 deň:</t>
  </si>
  <si>
    <t>LÍZING na 1 deň:</t>
  </si>
  <si>
    <t>ZP na 1 deň:</t>
  </si>
  <si>
    <t>P - SEDADLÁ na 1 deň:</t>
  </si>
  <si>
    <t>HP na 1 deň:</t>
  </si>
  <si>
    <t>GAP na 1 deň:</t>
  </si>
  <si>
    <t>EKONOMICKÉ VYHODNOTENIE - NÁKLAD NA 1 deň:</t>
  </si>
  <si>
    <t>POISTENIE - CELOK na 1 deň:</t>
  </si>
  <si>
    <r>
      <t>náklad na deň /</t>
    </r>
    <r>
      <rPr>
        <i/>
        <sz val="12"/>
        <color theme="0"/>
        <rFont val="Calibri"/>
        <family val="2"/>
        <charset val="238"/>
      </rPr>
      <t xml:space="preserve"> násobok sumy</t>
    </r>
    <r>
      <rPr>
        <b/>
        <sz val="12"/>
        <color theme="0"/>
        <rFont val="Calibri"/>
        <family val="2"/>
        <charset val="238"/>
      </rPr>
      <t xml:space="preserve"> / na násobok sumy:</t>
    </r>
  </si>
  <si>
    <t>NOVÝ prívesný vozík</t>
  </si>
  <si>
    <t>03.09.18 - 30.09.18</t>
  </si>
  <si>
    <t>31200907 - Absolvovanie STK a EK</t>
  </si>
  <si>
    <t>Oprava palivovej sústavy (výmena aktívneho uhlia, výmena spojovacej hadice)</t>
  </si>
  <si>
    <t>KE028VG</t>
  </si>
  <si>
    <t>202021</t>
  </si>
  <si>
    <t>neuvedené</t>
  </si>
  <si>
    <t>VFS/209200113</t>
  </si>
  <si>
    <t>VFS/209200016</t>
  </si>
  <si>
    <t>VFS/209200024</t>
  </si>
  <si>
    <t>VFS/209200011</t>
  </si>
  <si>
    <t>202022</t>
  </si>
  <si>
    <t>Dodanie nových letných PNEU</t>
  </si>
  <si>
    <t>VFS/209200114</t>
  </si>
  <si>
    <t>VFS/209200124</t>
  </si>
  <si>
    <t>202023</t>
  </si>
  <si>
    <t>27.03.20 - 26.03.21</t>
  </si>
  <si>
    <t>VFS/209200135</t>
  </si>
  <si>
    <t>202024</t>
  </si>
  <si>
    <t>202024: MONTRÚR</t>
  </si>
  <si>
    <t>202023: MONTRÚR</t>
  </si>
  <si>
    <t>202022: MONTRÚR</t>
  </si>
  <si>
    <t>202021: MONTRÚR</t>
  </si>
  <si>
    <t>VFS/209200143</t>
  </si>
  <si>
    <t>202025</t>
  </si>
  <si>
    <t>202025: MONTRÚR</t>
  </si>
  <si>
    <t>202005: Auto Gábriel</t>
  </si>
  <si>
    <t>VFS/209200166</t>
  </si>
  <si>
    <t>202026</t>
  </si>
  <si>
    <t>202026: MONTRÚR</t>
  </si>
  <si>
    <t>VFS/209200130</t>
  </si>
  <si>
    <t>202027</t>
  </si>
  <si>
    <t>202027: MONTRÚR</t>
  </si>
  <si>
    <t>VFS/209200145</t>
  </si>
  <si>
    <t>202028</t>
  </si>
  <si>
    <t>202028: MONTRÚR</t>
  </si>
  <si>
    <t>VFS/209200142</t>
  </si>
  <si>
    <t>202029</t>
  </si>
  <si>
    <t>202029: MONTRÚR</t>
  </si>
  <si>
    <t>VFS/209200157</t>
  </si>
  <si>
    <t>202030</t>
  </si>
  <si>
    <t>202030: MONTRÚR</t>
  </si>
  <si>
    <t>10.05.20 - 09.05.21</t>
  </si>
  <si>
    <t>VFS/209200133</t>
  </si>
  <si>
    <t>202031</t>
  </si>
  <si>
    <t>CP2200022</t>
  </si>
  <si>
    <t>BZ/UNC060</t>
  </si>
  <si>
    <t>BZ/Traktorová vlečka</t>
  </si>
  <si>
    <t>vozidlo pridelené:</t>
  </si>
  <si>
    <t>GALAMB Jozef</t>
  </si>
  <si>
    <t>PAULÍNY Richard Ing.</t>
  </si>
  <si>
    <t>OLEXA Ján</t>
  </si>
  <si>
    <t>NEUBAUER Martin</t>
  </si>
  <si>
    <t>čistič skiel - vnútorný</t>
  </si>
  <si>
    <t>čistič skiel - čelného skla od hmyzu</t>
  </si>
  <si>
    <t>314200658</t>
  </si>
  <si>
    <t>202032</t>
  </si>
  <si>
    <t>202032: Auto Gábriel</t>
  </si>
  <si>
    <t>202007: Auto Gábriel</t>
  </si>
  <si>
    <t>314200680</t>
  </si>
  <si>
    <t>202033</t>
  </si>
  <si>
    <t>202033: Auto Gábriel</t>
  </si>
  <si>
    <t>OCHRANNÝ PROSTRIEDOK:</t>
  </si>
  <si>
    <t>možný termín dodania:</t>
  </si>
  <si>
    <t>kontakt:</t>
  </si>
  <si>
    <t>DODÁVATEĽ:</t>
  </si>
  <si>
    <t>zelezono55@gmail.com</t>
  </si>
  <si>
    <t>ŽELEZO No 55</t>
  </si>
  <si>
    <t>Ing. Iveta Hudáková</t>
  </si>
  <si>
    <t>+421 905 961 595</t>
  </si>
  <si>
    <t>LETNÉ DOPLNKY 2020:</t>
  </si>
  <si>
    <t>VYHODNOCOVANIE PONÚK - A U T O D O P R A V A</t>
  </si>
  <si>
    <t>Ing. Pavol Gurský, PhD.</t>
  </si>
  <si>
    <t>+421 911 634 660</t>
  </si>
  <si>
    <t>gursky@montrur.sk</t>
  </si>
  <si>
    <t>Nastavenie radenia rýchlosti; Nastavenie geometrie</t>
  </si>
  <si>
    <t>Kamil Kobilic</t>
  </si>
  <si>
    <t>+421 915 492 176</t>
  </si>
  <si>
    <t>Kamil.Kobilic@gabriel.sk</t>
  </si>
  <si>
    <t>max. 1 x za 6 mesiacov</t>
  </si>
  <si>
    <t>CCVaPP</t>
  </si>
  <si>
    <t>doc. RNDr. Dušan Šveda, CSc.</t>
  </si>
  <si>
    <t>SKOKAN Jozef; Ing.</t>
  </si>
  <si>
    <t>VFS/209200213</t>
  </si>
  <si>
    <t>202034</t>
  </si>
  <si>
    <t>202034: MONTRÚR</t>
  </si>
  <si>
    <t>VFS/209200212</t>
  </si>
  <si>
    <t>202035</t>
  </si>
  <si>
    <t>202035: MONTRÚR</t>
  </si>
  <si>
    <r>
      <t>celková suma za odobratý materiál (€)</t>
    </r>
    <r>
      <rPr>
        <b/>
        <sz val="12"/>
        <color theme="1"/>
        <rFont val="Calibri"/>
        <family val="2"/>
        <charset val="238"/>
      </rPr>
      <t xml:space="preserve"> s DPH</t>
    </r>
  </si>
  <si>
    <r>
      <t>SPOLU</t>
    </r>
    <r>
      <rPr>
        <b/>
        <i/>
        <sz val="12"/>
        <color theme="1"/>
        <rFont val="Calibri"/>
        <family val="2"/>
        <charset val="238"/>
      </rPr>
      <t xml:space="preserve"> (cena na 1 km prevádzky)</t>
    </r>
    <r>
      <rPr>
        <b/>
        <i/>
        <sz val="14"/>
        <color theme="1"/>
        <rFont val="Calibri"/>
        <family val="2"/>
        <charset val="238"/>
      </rPr>
      <t>:</t>
    </r>
  </si>
  <si>
    <t>314200783</t>
  </si>
  <si>
    <t>202036</t>
  </si>
  <si>
    <t>202036: Auto Gábriel</t>
  </si>
  <si>
    <t>21.07.20 - 20.07.21</t>
  </si>
  <si>
    <t>CP390145</t>
  </si>
  <si>
    <t>Výmena xenónovej výbojky predného ľavého svetlometu</t>
  </si>
  <si>
    <t>rozdiel nákladu dlhodobého / za obdobie:</t>
  </si>
  <si>
    <t>- celkový náklad za obdobie</t>
  </si>
  <si>
    <t>vložiť bunky</t>
  </si>
  <si>
    <t>PEUGEOT - BOXER mikrobus</t>
  </si>
  <si>
    <t>VF3YBCNPB12N83088</t>
  </si>
  <si>
    <t>KE270MZ</t>
  </si>
  <si>
    <t>314200947</t>
  </si>
  <si>
    <t>202037</t>
  </si>
  <si>
    <t>202037: Auto Gábriel</t>
  </si>
  <si>
    <t>314200957</t>
  </si>
  <si>
    <t>202038</t>
  </si>
  <si>
    <t>202038: Auto Gábriel</t>
  </si>
  <si>
    <t>aktuálny stav tchometra:</t>
  </si>
  <si>
    <t>CP20192</t>
  </si>
  <si>
    <t>Oprava traktorovej kosačky AGS Starjet AJ 102/22 H Volvo - oprava sekacieho mechanizmu</t>
  </si>
  <si>
    <t>HP: Poplatok licencia na PČ (TAXI)</t>
  </si>
  <si>
    <t>platnosť dilľničnej známky do:</t>
  </si>
  <si>
    <t>22.06.20 - 21.06.21</t>
  </si>
  <si>
    <t>HP (KASKO) na 1 km:</t>
  </si>
  <si>
    <t>22.06.20 - 30.09.20</t>
  </si>
  <si>
    <t>koncesia TAXIslužba</t>
  </si>
  <si>
    <t>typvozidla:</t>
  </si>
  <si>
    <t>dohodnutý celkový limit km:</t>
  </si>
  <si>
    <t>počet dohodnutých rokov:</t>
  </si>
  <si>
    <t>potreba ubehnutých km ku dňu:</t>
  </si>
  <si>
    <t>aktuálny stav tachometra ku dňu::</t>
  </si>
  <si>
    <t>orientačná cena 1 km ku dňu:</t>
  </si>
  <si>
    <t>vedúci dopravy</t>
  </si>
  <si>
    <t>rozdiel ku dňu:</t>
  </si>
  <si>
    <t>ubehnuté km pre výpočet spotreby:</t>
  </si>
  <si>
    <t>Kontrola a výmena 2 ks. autobatérii</t>
  </si>
  <si>
    <t>Kolobežka</t>
  </si>
  <si>
    <t>elektrokolobežka 10 ks</t>
  </si>
  <si>
    <t>2019</t>
  </si>
  <si>
    <t>Oprava otváranie okna vodičových dverí</t>
  </si>
  <si>
    <t>Nastavenie motora, výmena viacklínového remeňa, oprava podtlakového vedenia</t>
  </si>
  <si>
    <t>MIDIBUS ISUZU Novo (29 miest)</t>
  </si>
  <si>
    <t>VFS/209200327</t>
  </si>
  <si>
    <t>202039</t>
  </si>
  <si>
    <t>202039: MONTRÚR</t>
  </si>
  <si>
    <t>Sezónne prezutie PNEU s uskladnením - z dôvodu ojazdenia letných PNEU a dojazdenia zimných PNEU</t>
  </si>
  <si>
    <t>s 20% DPH:</t>
  </si>
  <si>
    <t>Dodanie a kódovanie kľúča (3H Service)</t>
  </si>
  <si>
    <t>Oprava diaľkového ovládania kľúča dverí</t>
  </si>
  <si>
    <t>202040</t>
  </si>
  <si>
    <t>202040: Auto Gábriel</t>
  </si>
  <si>
    <t>314201171</t>
  </si>
  <si>
    <t>314201172</t>
  </si>
  <si>
    <t>202041</t>
  </si>
  <si>
    <t>202041: Auto Gábriel</t>
  </si>
  <si>
    <t>ŠKRINÁR Milan; Ing.</t>
  </si>
  <si>
    <t>314201192</t>
  </si>
  <si>
    <t>202042</t>
  </si>
  <si>
    <t>202042: Auto Gábriel</t>
  </si>
  <si>
    <r>
      <t>PODNIKATEĽSKÁ ČINNOSŤ - subjekty spolupracujúce s UPJŠ v Košiciach</t>
    </r>
    <r>
      <rPr>
        <sz val="12"/>
        <color theme="1"/>
        <rFont val="Calibri"/>
        <family val="2"/>
        <charset val="238"/>
      </rPr>
      <t xml:space="preserve"> (TJ Slávia UPJŠ, FS Hornád, TUKE, ÚVLaF)     </t>
    </r>
    <r>
      <rPr>
        <b/>
        <sz val="12"/>
        <color theme="1"/>
        <rFont val="Calibri"/>
        <family val="2"/>
        <charset val="238"/>
      </rPr>
      <t xml:space="preserve">     a zamestnanci UPJŠ v Košiciach:</t>
    </r>
  </si>
  <si>
    <t>na počet ubehnutých km:</t>
  </si>
  <si>
    <t>Najbližšie výročné vyhodnotenie ubehnutých km + pravidelná servisná prehliadka dňa:</t>
  </si>
  <si>
    <t>Vozidlá na operatívny lízing - denný prehľad kilometrických výkonov ku dňu:</t>
  </si>
  <si>
    <t>orientačná potreba denného počtu km:</t>
  </si>
  <si>
    <t>počet pracovných dní do:</t>
  </si>
  <si>
    <t>štátne sviatky:</t>
  </si>
  <si>
    <t>spolu všetky vozidlá:</t>
  </si>
  <si>
    <t>MIKROBUS PEUGEOT-BOXER (8 miest)</t>
  </si>
  <si>
    <t>VFB/20050059</t>
  </si>
  <si>
    <t>náhradné PNEU</t>
  </si>
  <si>
    <t>314201256</t>
  </si>
  <si>
    <t>202043</t>
  </si>
  <si>
    <t>202043: Auto Gábriel</t>
  </si>
  <si>
    <t>Zmluva na operatívny lízing platná do:</t>
  </si>
  <si>
    <t>zazmluvnený počet km:</t>
  </si>
  <si>
    <t>Vozidlá na operatívny lízing - najbližšie výročné vyhodnotenie ubehnutých km + pravidelná servisná prehliadka:</t>
  </si>
  <si>
    <t>Vozidla na operatívny lízing - platnosti lízingových zmlúv vozidiel na operatívny lízing:</t>
  </si>
  <si>
    <t>počet kalendárnych mesiacov do:</t>
  </si>
  <si>
    <t>orientačná potreba mesačného počtu km:</t>
  </si>
  <si>
    <t>CP390221</t>
  </si>
  <si>
    <t>CP390221: Auto Gábriel</t>
  </si>
  <si>
    <t>Oprava brzdového systému - výmena posilňovača bŕzd</t>
  </si>
  <si>
    <t>CP390221 / FA: zadať</t>
  </si>
  <si>
    <t>314201436</t>
  </si>
  <si>
    <t>202044</t>
  </si>
  <si>
    <t>CP: 310763 / FA: 314201436</t>
  </si>
  <si>
    <t>CP: 310736 / FA: 314201192</t>
  </si>
  <si>
    <t>CP: 310748 / FA: 314201256</t>
  </si>
  <si>
    <t>Výmena meniča elektrického napätia</t>
  </si>
  <si>
    <t>VFS/209200429</t>
  </si>
  <si>
    <t>UNC 060</t>
  </si>
  <si>
    <t>CP310771</t>
  </si>
  <si>
    <t>202044: Auto Gábriel</t>
  </si>
  <si>
    <t>01.10.20 -31.12.20</t>
  </si>
  <si>
    <t>01.07.20 - 30.09.20</t>
  </si>
  <si>
    <t>01.10.20 - 31.12.20</t>
  </si>
  <si>
    <t>114202699</t>
  </si>
  <si>
    <t>202045</t>
  </si>
  <si>
    <t>202045: Auto Gábriel</t>
  </si>
  <si>
    <t>CP: 114202699 / FA: 114202699</t>
  </si>
  <si>
    <t>202046</t>
  </si>
  <si>
    <t>202046: Auto Gábriel</t>
  </si>
  <si>
    <t>CP: 310771 / FA: 314201516</t>
  </si>
  <si>
    <t>Návrh na vyradenie 12.10.2020</t>
  </si>
  <si>
    <r>
      <t xml:space="preserve">VW - CARAVELLE - </t>
    </r>
    <r>
      <rPr>
        <b/>
        <sz val="12"/>
        <rFont val="Calibri"/>
        <family val="2"/>
        <charset val="238"/>
      </rPr>
      <t>ŠDaJ</t>
    </r>
  </si>
  <si>
    <t>CP310778</t>
  </si>
  <si>
    <t>CP310778: Auto Gábriel</t>
  </si>
  <si>
    <t>CP: 310778 / FA: zadať</t>
  </si>
  <si>
    <t>292,16</t>
  </si>
  <si>
    <t>CP310779</t>
  </si>
  <si>
    <t>Kolobežka LHL1R206Blue18070117</t>
  </si>
  <si>
    <t>celoročné PNEU</t>
  </si>
  <si>
    <t>CP310782</t>
  </si>
  <si>
    <t>CP310782: Auto Gábriel</t>
  </si>
  <si>
    <t>CP: 310782 / FA: zadať</t>
  </si>
  <si>
    <t>Doplnenierezervných žiaroviek</t>
  </si>
  <si>
    <t>CP310784</t>
  </si>
  <si>
    <t>CP: 310784 / FA: zadať</t>
  </si>
  <si>
    <t>CP310784: Auto Gábriel</t>
  </si>
  <si>
    <t>CP310790</t>
  </si>
  <si>
    <t>CP310790: Auto Gábriel</t>
  </si>
  <si>
    <t>CP: 310790 / FA: zadať</t>
  </si>
  <si>
    <t>CP310791</t>
  </si>
  <si>
    <t>CP310791: Auto Gábriel</t>
  </si>
  <si>
    <t>CP: 310791 / FA: zadať</t>
  </si>
  <si>
    <t>najbližšia servisná prehliadka dňa:</t>
  </si>
  <si>
    <t>najbližšia servisná prehliadka na ubehnuté km:</t>
  </si>
  <si>
    <t>CP310805</t>
  </si>
  <si>
    <t>CP310806</t>
  </si>
  <si>
    <t>Kolobežka LHL1R20618070121</t>
  </si>
  <si>
    <t>CP310807</t>
  </si>
  <si>
    <t>Kolobežka LHL1R20618070118</t>
  </si>
  <si>
    <t>HP 13.11.20</t>
  </si>
  <si>
    <t>CP390270</t>
  </si>
  <si>
    <t>Nastavenie geometrie</t>
  </si>
  <si>
    <t>Výmena 2 ks ventilátorov chladiča</t>
  </si>
  <si>
    <t>CP310831</t>
  </si>
  <si>
    <t>CP310831: Auto Gábriel</t>
  </si>
  <si>
    <t>CP: 310831 / FA: zadať</t>
  </si>
  <si>
    <t>BZ UPJŠ v Košiciach (Ing. Klímová)</t>
  </si>
  <si>
    <t xml:space="preserve">PHM odpredané dňa 25.11.2020 novémeu majiteľovi na základe Kúpnej zmluvy </t>
  </si>
  <si>
    <t>29.03.21 - 26.03.22</t>
  </si>
  <si>
    <t>CP310871</t>
  </si>
  <si>
    <t>CP310871: Auto Gábriel</t>
  </si>
  <si>
    <t>Oprava dobíjania AKB</t>
  </si>
  <si>
    <t>CP: 310871 / FA: zadať</t>
  </si>
  <si>
    <t>CP310866</t>
  </si>
  <si>
    <t>CP310866: Auto Gábriel</t>
  </si>
  <si>
    <t>CP 310866 / FA: zadať</t>
  </si>
  <si>
    <t>CP310870</t>
  </si>
  <si>
    <t>CP310870: Auto Gábriel</t>
  </si>
  <si>
    <t>Oprava pruženia prednej nápravy</t>
  </si>
  <si>
    <t>CP: 310870 / FA: zadať</t>
  </si>
  <si>
    <t>314210001</t>
  </si>
  <si>
    <t>202101</t>
  </si>
  <si>
    <t>202101: Auto Gábriel</t>
  </si>
  <si>
    <t>CP: 390274 / FA: 314210001</t>
  </si>
  <si>
    <t>vyradené vozidlo</t>
  </si>
  <si>
    <t>operatívny lízing</t>
  </si>
  <si>
    <t>servisná zmluva</t>
  </si>
  <si>
    <t>314201997</t>
  </si>
  <si>
    <t>202047</t>
  </si>
  <si>
    <t>202047: Auto Gábriel</t>
  </si>
  <si>
    <t>CP: 310817 / FA: 314201997</t>
  </si>
  <si>
    <t>043/21 - SCO - DELTA: STK</t>
  </si>
  <si>
    <t>042/21 - SCO - DELTA: STK</t>
  </si>
  <si>
    <t>314201700</t>
  </si>
  <si>
    <t>202102</t>
  </si>
  <si>
    <t>202102: Auto Gábriel</t>
  </si>
  <si>
    <t>CP: 310783 / FA: 314201700</t>
  </si>
  <si>
    <t>VFS/209200638</t>
  </si>
  <si>
    <t>E-Kolobežka</t>
  </si>
  <si>
    <t>VFS/20900519</t>
  </si>
  <si>
    <t>202103</t>
  </si>
  <si>
    <t>202103: MONTRÚR</t>
  </si>
  <si>
    <t>CP: bez CP / FA: VFB/19050564</t>
  </si>
  <si>
    <t>CP310880</t>
  </si>
  <si>
    <t>CP310880: Auto Gábriel</t>
  </si>
  <si>
    <t>CP: 310880 / FA: zadať</t>
  </si>
  <si>
    <t>CP310878</t>
  </si>
  <si>
    <t>CP310878: Auto Gábriel</t>
  </si>
  <si>
    <t>CP: 310878 / FA: zadať</t>
  </si>
  <si>
    <t>CP390372</t>
  </si>
  <si>
    <t>CP390372: Auto Gábriel</t>
  </si>
  <si>
    <t>Oprava zámku zadných dverí</t>
  </si>
  <si>
    <t>CP: 390372 / FA: zadať</t>
  </si>
  <si>
    <t>KUCHTA Marcel (STAŠKO Slavomír; Ing.)</t>
  </si>
  <si>
    <t>PAULÍNY Richard; Ing. (OLEXA Ján, NEUBAUER Martin)</t>
  </si>
  <si>
    <t>STAŠKO Slavomír; Ing. (OLEXA Ján)</t>
  </si>
  <si>
    <t>OLEXA Ján (NEUBAUER Martin)</t>
  </si>
  <si>
    <r>
      <t xml:space="preserve">ZP </t>
    </r>
    <r>
      <rPr>
        <sz val="8"/>
        <color theme="1"/>
        <rFont val="Calibri"/>
        <family val="2"/>
        <charset val="238"/>
      </rPr>
      <t>(zákonné poistenie)</t>
    </r>
  </si>
  <si>
    <r>
      <t xml:space="preserve">HP </t>
    </r>
    <r>
      <rPr>
        <sz val="8"/>
        <color theme="1"/>
        <rFont val="Calibri"/>
        <family val="2"/>
        <charset val="238"/>
      </rPr>
      <t>(havarijné poistenie)</t>
    </r>
  </si>
  <si>
    <r>
      <t xml:space="preserve">GAP </t>
    </r>
    <r>
      <rPr>
        <sz val="8"/>
        <color theme="1"/>
        <rFont val="Calibri"/>
        <family val="2"/>
        <charset val="238"/>
      </rPr>
      <t>(poistenie finančnej straty)</t>
    </r>
  </si>
  <si>
    <t>CP310898</t>
  </si>
  <si>
    <t>CP310898: Auto Gábriel</t>
  </si>
  <si>
    <t>CP: 310898 / FA: zadať</t>
  </si>
  <si>
    <t>Traktor ZETOR 7245</t>
  </si>
  <si>
    <t>nedodané</t>
  </si>
  <si>
    <t>Vlečka traktorová</t>
  </si>
  <si>
    <t>xx</t>
  </si>
  <si>
    <t>10.05.21 - 09.05.22</t>
  </si>
  <si>
    <t>26.06.21 - 09.05.21</t>
  </si>
  <si>
    <t>NAHLÁSENÉ ZÁVADY:</t>
  </si>
  <si>
    <t>Ľ. P. puklica</t>
  </si>
  <si>
    <t>poškodené predné sedadla</t>
  </si>
  <si>
    <t>odstránené:</t>
  </si>
  <si>
    <t>nebude sa riešiť</t>
  </si>
  <si>
    <t>27.11.20 - 09.05.22</t>
  </si>
  <si>
    <t>CP390415</t>
  </si>
  <si>
    <t>CP390415: Auto Gábriel</t>
  </si>
  <si>
    <t>Oprava štartovania, uloženia prednej nápravy</t>
  </si>
  <si>
    <t>CP: 390415 / FA: zadať</t>
  </si>
  <si>
    <t>22.06.21-21.06.21</t>
  </si>
  <si>
    <t>CP390420</t>
  </si>
  <si>
    <t>CP390420: Auto Gábriel</t>
  </si>
  <si>
    <t>Opravy poškodenia prednej nápravy, ZN, uchytenia výfuku</t>
  </si>
  <si>
    <t>CP: 390420 / FA: zadať</t>
  </si>
  <si>
    <t>CP390425</t>
  </si>
  <si>
    <t>CP390425: Auto Gábriel</t>
  </si>
  <si>
    <t>Oprava pravej prednej poloosy</t>
  </si>
  <si>
    <t>CP: 390425 / FA: zadať</t>
  </si>
  <si>
    <t>CP310921</t>
  </si>
  <si>
    <t>CP310921: Auto Gábriel</t>
  </si>
  <si>
    <t>Pravidelná servisná prehliadka; Oprava elektroinštalácie</t>
  </si>
  <si>
    <t>CP: 310921 / FA: zadať</t>
  </si>
  <si>
    <t>cockpit spray</t>
  </si>
  <si>
    <t>AUTO KELLY</t>
  </si>
  <si>
    <t>do 4.6.2021</t>
  </si>
  <si>
    <t>Branislav Mikula</t>
  </si>
  <si>
    <t>+421 915 853 529</t>
  </si>
  <si>
    <t>branislav.mikula@autokelly.sk</t>
  </si>
  <si>
    <t>doručené 26.5.2021</t>
  </si>
  <si>
    <t>JUMAKL, s.r.o.</t>
  </si>
  <si>
    <t>Ing. Július Klein</t>
  </si>
  <si>
    <t>+421 905 410 728</t>
  </si>
  <si>
    <t>info@12volt.sk</t>
  </si>
  <si>
    <t>Inter Cars Slovenská republika s.r.o.</t>
  </si>
  <si>
    <t>Martin Štefán</t>
  </si>
  <si>
    <t>+421 918 381 214</t>
  </si>
  <si>
    <t>martin.stefan@intercars.eu</t>
  </si>
  <si>
    <t>Štefan Nagy - FAN - AUTO</t>
  </si>
  <si>
    <t>Ing. Ľuboš Nagy</t>
  </si>
  <si>
    <t>+421 903 637 573</t>
  </si>
  <si>
    <t>fanautoke@gmail.com</t>
  </si>
  <si>
    <t>nedoručili v požadovanom termíne</t>
  </si>
  <si>
    <r>
      <t xml:space="preserve">doručené 26.5.2021; </t>
    </r>
    <r>
      <rPr>
        <b/>
        <sz val="12"/>
        <color rgb="FFFF0000"/>
        <rFont val="Calibri"/>
        <family val="2"/>
        <charset val="238"/>
        <scheme val="minor"/>
      </rPr>
      <t>ponuka nespĺňa požadované objemové parametre</t>
    </r>
  </si>
  <si>
    <r>
      <t xml:space="preserve">doručené 27.5.2021; </t>
    </r>
    <r>
      <rPr>
        <b/>
        <sz val="12"/>
        <color rgb="FFFF0000"/>
        <rFont val="Calibri"/>
        <family val="2"/>
        <charset val="238"/>
        <scheme val="minor"/>
      </rPr>
      <t>ponuka nespĺňa požadované objemové parametre</t>
    </r>
  </si>
  <si>
    <t>podnikateľská činnosť zájazdová doprava (vedúci dopravy)</t>
  </si>
  <si>
    <t>doručené 28.5.2021</t>
  </si>
  <si>
    <t>AD BLUE 5 lit.balenie s plniacím hrdlom</t>
  </si>
  <si>
    <t>JELENICA - na dočistenie karosérií vozidiel po umývaní</t>
  </si>
  <si>
    <t>COCKPIT SPRAY - sprej na čistenie palubných dosiek a interiéru vozidiel v balení min. 750 ml. - rôzne vône</t>
  </si>
  <si>
    <t>LETNÁ ZMES DO OSTREKOVAČA 5 lit. balenie</t>
  </si>
  <si>
    <t>Škrabka na okná</t>
  </si>
  <si>
    <r>
      <t>ZIMNÁ ZMES DO OSTREKOVAČA do -20</t>
    </r>
    <r>
      <rPr>
        <sz val="11"/>
        <color theme="1"/>
        <rFont val="Calibri"/>
        <family val="2"/>
        <charset val="238"/>
      </rPr>
      <t>°</t>
    </r>
    <r>
      <rPr>
        <sz val="12"/>
        <color theme="1"/>
        <rFont val="Calibri"/>
        <family val="2"/>
        <charset val="238"/>
      </rPr>
      <t>C, 5 lit. balenie</t>
    </r>
  </si>
  <si>
    <t>MINIMÁLNE, MAXIMÁLNE A AKTUÁLNE SKLADOVÉ ZÁSOBY AUTODOPLNKOV:</t>
  </si>
  <si>
    <t>autodoplnky:</t>
  </si>
  <si>
    <t>Renáta Rozumová</t>
  </si>
  <si>
    <t>referent PÚ UPJŠ v Košiciach</t>
  </si>
  <si>
    <t>spracovala, dňa ..................................</t>
  </si>
  <si>
    <r>
      <rPr>
        <b/>
        <sz val="10"/>
        <color theme="1"/>
        <rFont val="Calibri"/>
        <family val="2"/>
        <charset val="238"/>
      </rPr>
      <t>minimálna</t>
    </r>
    <r>
      <rPr>
        <sz val="10"/>
        <color theme="1"/>
        <rFont val="Calibri"/>
        <family val="2"/>
        <charset val="238"/>
      </rPr>
      <t xml:space="preserve"> skladová zásoba (ks):</t>
    </r>
  </si>
  <si>
    <r>
      <rPr>
        <b/>
        <sz val="10"/>
        <color theme="1"/>
        <rFont val="Calibri"/>
        <family val="2"/>
        <charset val="238"/>
      </rPr>
      <t>maximálna</t>
    </r>
    <r>
      <rPr>
        <sz val="10"/>
        <color theme="1"/>
        <rFont val="Calibri"/>
        <family val="2"/>
        <charset val="238"/>
      </rPr>
      <t xml:space="preserve"> skladová zásoba (ks):</t>
    </r>
  </si>
  <si>
    <r>
      <t xml:space="preserve">počet kusov </t>
    </r>
    <r>
      <rPr>
        <b/>
        <sz val="10"/>
        <color theme="1"/>
        <rFont val="Calibri"/>
        <family val="2"/>
        <charset val="238"/>
      </rPr>
      <t>ku dňu</t>
    </r>
    <r>
      <rPr>
        <sz val="10"/>
        <color theme="1"/>
        <rFont val="Calibri"/>
        <family val="2"/>
        <charset val="238"/>
      </rPr>
      <t xml:space="preserve"> (ks):</t>
    </r>
  </si>
  <si>
    <t>ČISTIČ SKIEL - VNÚTORNÝ min.objem  500 ml. s rozprašovačom</t>
  </si>
  <si>
    <t>ČISTIČ SKIEL - ČELNÉHO SKLA OD HMYZU min.objem  500 ml. s rozprašovačom</t>
  </si>
  <si>
    <t>ROZMRAZOVAČ ČELNÉHO SKLA - prípravok proti námraze čelného skla s rozprašovačom min.objem 500 ml.</t>
  </si>
  <si>
    <t>CP310933: Auto Gábriel</t>
  </si>
  <si>
    <t>CP310933</t>
  </si>
  <si>
    <t>CP: 10933 / FA: zadať</t>
  </si>
  <si>
    <t>CP310943</t>
  </si>
  <si>
    <t>CP310943: Auto Gábriel</t>
  </si>
  <si>
    <t>Diagnostický riadená regenerácia DPF filtra</t>
  </si>
  <si>
    <t>CP: 310943 / FA: zadať</t>
  </si>
  <si>
    <t>01.07.21 - 30.09.21</t>
  </si>
  <si>
    <t>CP310959</t>
  </si>
  <si>
    <t>CP: 310959 / FA: zadať</t>
  </si>
  <si>
    <t>CP310959: Auto Gábriel</t>
  </si>
  <si>
    <t>CP310961</t>
  </si>
  <si>
    <t>CP310961: Auto Gábriel</t>
  </si>
  <si>
    <t>Oprava zámku vodičových dverí; Oprava radenia prevodových stupňov</t>
  </si>
  <si>
    <t>CP 310961 / FA: zadať</t>
  </si>
  <si>
    <t>priemerne ročne ubehnuté km len fosílne palivá:</t>
  </si>
  <si>
    <t>orientačný priemerný náklad na 1 km - PHM (€):</t>
  </si>
  <si>
    <t>orientačný priemerný náklad na PHM ročne (€):</t>
  </si>
  <si>
    <t>priemerne:</t>
  </si>
  <si>
    <t>STAV VOZOVÉHO PARKU KU DŇU</t>
  </si>
  <si>
    <t>PLÁN OBNOVY VOZOVÉHO PARKU V KALENDÁRNOM ROKU</t>
  </si>
  <si>
    <t>vyradenie vozidla</t>
  </si>
  <si>
    <t>nové vozidlo</t>
  </si>
  <si>
    <r>
      <t>elektrické dodávkové -</t>
    </r>
    <r>
      <rPr>
        <b/>
        <sz val="12"/>
        <color theme="9" tint="-0.499984740745262"/>
        <rFont val="Calibri"/>
        <family val="2"/>
        <charset val="238"/>
      </rPr>
      <t xml:space="preserve"> ŠDaJ</t>
    </r>
  </si>
  <si>
    <r>
      <t>elektrické malé dodávkové -</t>
    </r>
    <r>
      <rPr>
        <b/>
        <sz val="12"/>
        <color theme="9" tint="-0.499984740745262"/>
        <rFont val="Calibri"/>
        <family val="2"/>
        <charset val="238"/>
      </rPr>
      <t xml:space="preserve"> UPJŠ R</t>
    </r>
  </si>
  <si>
    <t>rok obnovy:</t>
  </si>
  <si>
    <t>dátum zaradenia do:</t>
  </si>
  <si>
    <t>AKTUÁLNY STAV K:</t>
  </si>
  <si>
    <t>orientačne ročne ubehnuté km</t>
  </si>
  <si>
    <t>orientačne ročne ubehnuté km len fosílne palivá:</t>
  </si>
  <si>
    <t>rozdiel oproti predchádzajúcemu roku:</t>
  </si>
  <si>
    <t>rozdiel oproti</t>
  </si>
  <si>
    <r>
      <t>elektrické dodávkové -</t>
    </r>
    <r>
      <rPr>
        <b/>
        <sz val="12"/>
        <color theme="9" tint="-0.499984740745262"/>
        <rFont val="Calibri"/>
        <family val="2"/>
        <charset val="238"/>
      </rPr>
      <t xml:space="preserve"> BZ</t>
    </r>
  </si>
  <si>
    <r>
      <t>elektrické malé dodávkové -</t>
    </r>
    <r>
      <rPr>
        <b/>
        <sz val="12"/>
        <color theme="9" tint="-0.499984740745262"/>
        <rFont val="Calibri"/>
        <family val="2"/>
        <charset val="238"/>
      </rPr>
      <t xml:space="preserve"> Danišovce</t>
    </r>
  </si>
  <si>
    <r>
      <t>elektrické dodávkové dodávkové -</t>
    </r>
    <r>
      <rPr>
        <b/>
        <sz val="12"/>
        <color theme="9" tint="-0.499984740745262"/>
        <rFont val="Calibri"/>
        <family val="2"/>
        <charset val="238"/>
      </rPr>
      <t xml:space="preserve"> BZ</t>
    </r>
  </si>
  <si>
    <r>
      <t xml:space="preserve">Plug In Hybrid - </t>
    </r>
    <r>
      <rPr>
        <b/>
        <sz val="12"/>
        <color rgb="FF7030A0"/>
        <rFont val="Calibri"/>
        <family val="2"/>
        <charset val="238"/>
      </rPr>
      <t>za KE552HZ</t>
    </r>
  </si>
  <si>
    <t>orientačný ročný objem spálených fosílnych palív (lit.):</t>
  </si>
  <si>
    <t>orientačný ročný náklad na PHM ročne (€):</t>
  </si>
  <si>
    <t>orientačné priemerné ročné vyprodukované emisie CO2 (g)</t>
  </si>
  <si>
    <t>orientačné ročné vyprodukované emisie CO2 (g)</t>
  </si>
  <si>
    <r>
      <t xml:space="preserve">Plug In Hybrid - </t>
    </r>
    <r>
      <rPr>
        <b/>
        <sz val="12"/>
        <color rgb="FF7030A0"/>
        <rFont val="Calibri"/>
        <family val="2"/>
        <charset val="238"/>
      </rPr>
      <t>za KE791IT</t>
    </r>
  </si>
  <si>
    <t>priemerná spotreba na lit./100 km:</t>
  </si>
  <si>
    <r>
      <t xml:space="preserve">Plug In Hybrid - </t>
    </r>
    <r>
      <rPr>
        <b/>
        <sz val="12"/>
        <color rgb="FF7030A0"/>
        <rFont val="Calibri"/>
        <family val="2"/>
        <charset val="238"/>
      </rPr>
      <t>za KE164JL</t>
    </r>
  </si>
  <si>
    <r>
      <t xml:space="preserve">Plug In Hybrid - </t>
    </r>
    <r>
      <rPr>
        <b/>
        <sz val="12"/>
        <color rgb="FF7030A0"/>
        <rFont val="Calibri"/>
        <family val="2"/>
        <charset val="238"/>
      </rPr>
      <t>za KE747JX</t>
    </r>
  </si>
  <si>
    <t>PLÁN OBNOVY VOZOVÉHO PARKU UPJŠ v Košiciach - CELKOVÉ VYHODNOTENIE</t>
  </si>
  <si>
    <r>
      <t xml:space="preserve">Plug In Hybrid - </t>
    </r>
    <r>
      <rPr>
        <b/>
        <sz val="12"/>
        <color rgb="FF7030A0"/>
        <rFont val="Calibri"/>
        <family val="2"/>
        <charset val="238"/>
      </rPr>
      <t>za KE502KB</t>
    </r>
  </si>
  <si>
    <r>
      <t xml:space="preserve">Plug In Hybrid - </t>
    </r>
    <r>
      <rPr>
        <b/>
        <sz val="12"/>
        <color rgb="FF7030A0"/>
        <rFont val="Calibri"/>
        <family val="2"/>
        <charset val="238"/>
      </rPr>
      <t>za KE909KZ</t>
    </r>
  </si>
  <si>
    <t>MIDIBUS</t>
  </si>
  <si>
    <r>
      <t xml:space="preserve">Plug In Hybrid - </t>
    </r>
    <r>
      <rPr>
        <b/>
        <sz val="12"/>
        <color rgb="FF7030A0"/>
        <rFont val="Calibri"/>
        <family val="2"/>
        <charset val="238"/>
      </rPr>
      <t>za KE270MZ-mikrobus</t>
    </r>
  </si>
  <si>
    <t>orientačný objem spálených fosílnych palív (lit.):</t>
  </si>
  <si>
    <t>CP310970</t>
  </si>
  <si>
    <t>CP310970: Auto Gábriel</t>
  </si>
  <si>
    <t>Výmena tiahla ovládania pruženia zadnej nápravy</t>
  </si>
  <si>
    <t>CP: 310970 / FA: zadať</t>
  </si>
  <si>
    <t>CP310982</t>
  </si>
  <si>
    <t>CP310982: Auto Gábriel</t>
  </si>
  <si>
    <t>Oprava servoriadenia - doplnenie hydraulického oleja</t>
  </si>
  <si>
    <t>CP: 310982 / FA: zadať</t>
  </si>
  <si>
    <t>CP390547: Auto Gábriel</t>
  </si>
  <si>
    <t>Oprava bŕzd vozidla, výmena všetkých brzdových kotúčov a brzdových segmentov</t>
  </si>
  <si>
    <t>CP310986</t>
  </si>
  <si>
    <t>CP: 310986 / FA: zadať</t>
  </si>
  <si>
    <t>CP1103798</t>
  </si>
  <si>
    <t>CP1103798: Auto Gábriel</t>
  </si>
  <si>
    <t>CP: 1103798 / FA: zadať</t>
  </si>
  <si>
    <t>VFS/209210519</t>
  </si>
  <si>
    <t>210533</t>
  </si>
  <si>
    <t>CP390575</t>
  </si>
  <si>
    <t>CP390575: Auto Gábriel</t>
  </si>
  <si>
    <t>Oprava prevodovej skrine riadenia, výmena predných brzdových segmentov</t>
  </si>
  <si>
    <t>CP 390575 / FA: zadať</t>
  </si>
  <si>
    <t>CP3101016</t>
  </si>
  <si>
    <t>CP3101016: Auto Gábriel</t>
  </si>
  <si>
    <t>Výmena krytu pravého spätného zrkadla</t>
  </si>
  <si>
    <t>CP: 3101016 / FA: zadať</t>
  </si>
  <si>
    <t>CP3101022</t>
  </si>
  <si>
    <t>CP3101022: Auto Gábriel</t>
  </si>
  <si>
    <t>Oprava elektroinštalácie vozidla; Servisná prehliadka vozidla</t>
  </si>
  <si>
    <t>CP: 3101022 / FA: zadať</t>
  </si>
  <si>
    <t>FRANCE TECH</t>
  </si>
  <si>
    <t>221031381</t>
  </si>
  <si>
    <t>Sezónne prezutie vozidla; Výmena stieračov, doplnenie prevádzkových kvapalín</t>
  </si>
  <si>
    <t>221031381: FRANCE TECH</t>
  </si>
  <si>
    <t>Dobropis</t>
  </si>
  <si>
    <t>stav tachometra na konci kalendárneho mesiaca</t>
  </si>
  <si>
    <t>KE695DM</t>
  </si>
  <si>
    <t>WV2ZZZ70ZPH084958</t>
  </si>
  <si>
    <t>KE885DT</t>
  </si>
  <si>
    <t>ŠKODA - FABIA combi</t>
  </si>
  <si>
    <t>TMBJC46Y754242509</t>
  </si>
  <si>
    <t xml:space="preserve">AKTUÁLNY ZOZNAM VOZIDIEL A TECHNIKY UPJŠ v Košiach, platný k   </t>
  </si>
  <si>
    <t>CP210061</t>
  </si>
  <si>
    <t>CP3101061</t>
  </si>
  <si>
    <t>CP210060a</t>
  </si>
  <si>
    <t>CP: 210060a</t>
  </si>
  <si>
    <t>210060a / FA: zadať</t>
  </si>
  <si>
    <t>CP210060b</t>
  </si>
  <si>
    <t>CP1103873</t>
  </si>
  <si>
    <t>CP3101062</t>
  </si>
  <si>
    <t>Auto Gábriel: CP3101062</t>
  </si>
  <si>
    <t>3101062</t>
  </si>
  <si>
    <t>CP: 3101062 / FA: zadať</t>
  </si>
  <si>
    <t>VFS/209210669: MONTRÚR</t>
  </si>
  <si>
    <t>CP: bez / VFS209210669</t>
  </si>
  <si>
    <t>VFS/209210669</t>
  </si>
  <si>
    <t>KE774JX</t>
  </si>
  <si>
    <t>Z1</t>
  </si>
  <si>
    <t>2021??: MONTRÚR</t>
  </si>
  <si>
    <t>2021??</t>
  </si>
  <si>
    <t>CP: zmluva / VFS/209210654</t>
  </si>
  <si>
    <t>VFS/209210654</t>
  </si>
  <si>
    <t>Z2</t>
  </si>
  <si>
    <t>zmluva</t>
  </si>
  <si>
    <t>114213969</t>
  </si>
  <si>
    <t>2021??: Auto Gábriel</t>
  </si>
  <si>
    <t>CP: 1103851 / FA: 114213969</t>
  </si>
  <si>
    <t>SCO - DELTA</t>
  </si>
  <si>
    <t>Absolvovanie STK</t>
  </si>
  <si>
    <t>380/21</t>
  </si>
  <si>
    <t>Absolvovanie EK</t>
  </si>
  <si>
    <t>379/21</t>
  </si>
  <si>
    <t>01.10.21 - 31.12.21</t>
  </si>
  <si>
    <t>01.01.21 - 31.03.21</t>
  </si>
  <si>
    <t>01.04.21 - 30.06.21</t>
  </si>
  <si>
    <t>114214056</t>
  </si>
  <si>
    <t>VFS/209210705</t>
  </si>
  <si>
    <t>210050</t>
  </si>
  <si>
    <t>202104: MONTRÚR</t>
  </si>
  <si>
    <t>202104</t>
  </si>
  <si>
    <t>Výmena zimných PNEU</t>
  </si>
  <si>
    <t>CP: 210050 / VFS209210705</t>
  </si>
  <si>
    <t>VWFS - DOBROBIS</t>
  </si>
  <si>
    <t>VWFS</t>
  </si>
  <si>
    <t>dobropis</t>
  </si>
  <si>
    <t>Dobrobis za nevyčerpané km</t>
  </si>
  <si>
    <t>CP: bez / FA: 22M00002</t>
  </si>
  <si>
    <t>VFS/209210740</t>
  </si>
  <si>
    <t>Z3</t>
  </si>
  <si>
    <t>referent energetiky</t>
  </si>
  <si>
    <t>podnikateľská činnosť zájazdová doprava 
(vedúci dopravy)</t>
  </si>
  <si>
    <t>CP3101079</t>
  </si>
  <si>
    <t>CP3101080</t>
  </si>
  <si>
    <t>CP 3101080: Auto Gábriel</t>
  </si>
  <si>
    <t>CP390673</t>
  </si>
  <si>
    <t>CP3101093</t>
  </si>
  <si>
    <t>Oprava úniku motorového oleja z olejovej vane</t>
  </si>
  <si>
    <t>1/2022: 01.01.22 - 31.03.22</t>
  </si>
  <si>
    <r>
      <t>platnosť kalibrácie tachografu</t>
    </r>
    <r>
      <rPr>
        <b/>
        <sz val="8"/>
        <color theme="1"/>
        <rFont val="Calibri"/>
        <family val="2"/>
        <charset val="238"/>
      </rPr>
      <t xml:space="preserve"> (každé dva roky)</t>
    </r>
    <r>
      <rPr>
        <sz val="8"/>
        <color theme="1"/>
        <rFont val="Calibri"/>
        <family val="2"/>
        <charset val="238"/>
      </rPr>
      <t>:</t>
    </r>
  </si>
  <si>
    <r>
      <t xml:space="preserve">platnosť revízie hasiacích prístrojov </t>
    </r>
    <r>
      <rPr>
        <b/>
        <sz val="8"/>
        <color theme="1"/>
        <rFont val="Calibri"/>
        <family val="2"/>
        <charset val="238"/>
      </rPr>
      <t>(raz ročne)</t>
    </r>
    <r>
      <rPr>
        <sz val="8"/>
        <color theme="1"/>
        <rFont val="Calibri"/>
        <family val="2"/>
        <charset val="238"/>
      </rPr>
      <t>:</t>
    </r>
  </si>
  <si>
    <t>zadať: FRANCE TECH</t>
  </si>
  <si>
    <t>222030152</t>
  </si>
  <si>
    <t>Výmena olejovej vane</t>
  </si>
  <si>
    <t>Poplatok za prevod</t>
  </si>
  <si>
    <t>314220204</t>
  </si>
  <si>
    <t>314220201</t>
  </si>
  <si>
    <t>zadať: Auto Gábriel</t>
  </si>
  <si>
    <t>CP: 3101093 / FA: 314220201</t>
  </si>
  <si>
    <t>zadať: CAIS</t>
  </si>
  <si>
    <t>CP: bez CP / FA: 30220097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</si>
</sst>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/mm/yy;@"/>
    <numFmt numFmtId="165" formatCode="#,##0.0"/>
    <numFmt numFmtId="166" formatCode="#,##0.00\ &quot;€&quot;"/>
    <numFmt numFmtId="167" formatCode="[$-41B]mmmm\ yy;@"/>
    <numFmt numFmtId="168" formatCode="0.0"/>
    <numFmt numFmtId="169" formatCode="yyyy"/>
    <numFmt numFmtId="170" formatCode="[$-41B]mmm\-yy;@"/>
    <numFmt numFmtId="171" formatCode="0.0%"/>
  </numFmts>
  <fonts count="80" x14ac:knownFonts="1"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vertAlign val="superscript"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7030A0"/>
      <name val="Calibri"/>
      <family val="2"/>
      <charset val="238"/>
    </font>
    <font>
      <sz val="12"/>
      <color theme="9" tint="-0.249977111117893"/>
      <name val="Calibri"/>
      <family val="2"/>
      <charset val="238"/>
    </font>
    <font>
      <b/>
      <sz val="12"/>
      <color theme="9" tint="-0.249977111117893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theme="9" tint="-0.249977111117893"/>
      <name val="Calibri"/>
      <family val="2"/>
      <charset val="238"/>
    </font>
    <font>
      <b/>
      <sz val="12"/>
      <color rgb="FF7030A0"/>
      <name val="Calibri"/>
      <family val="2"/>
      <charset val="238"/>
    </font>
    <font>
      <sz val="12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8000"/>
      <name val="Calibri"/>
      <family val="2"/>
      <charset val="238"/>
    </font>
    <font>
      <sz val="12"/>
      <color rgb="FF008000"/>
      <name val="Calibri"/>
      <family val="2"/>
      <charset val="238"/>
    </font>
    <font>
      <sz val="10"/>
      <color rgb="FF008000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rgb="FF008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i/>
      <u/>
      <sz val="14"/>
      <color theme="1"/>
      <name val="Calibri"/>
      <family val="2"/>
      <charset val="238"/>
    </font>
    <font>
      <b/>
      <sz val="8"/>
      <name val="Calibri"/>
      <family val="2"/>
      <charset val="238"/>
    </font>
    <font>
      <sz val="12"/>
      <color theme="0"/>
      <name val="Calibri"/>
      <family val="2"/>
      <charset val="238"/>
    </font>
    <font>
      <sz val="8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6"/>
      <color rgb="FFFF0000"/>
      <name val="Calibri"/>
      <family val="2"/>
      <charset val="238"/>
    </font>
    <font>
      <b/>
      <i/>
      <sz val="16"/>
      <color rgb="FFFF0000"/>
      <name val="Calibri"/>
      <family val="2"/>
      <charset val="238"/>
    </font>
    <font>
      <sz val="12"/>
      <color theme="0" tint="-0.249977111117893"/>
      <name val="Calibri"/>
      <family val="2"/>
      <charset val="238"/>
    </font>
    <font>
      <b/>
      <sz val="12"/>
      <color theme="0" tint="-0.249977111117893"/>
      <name val="Calibri"/>
      <family val="2"/>
      <charset val="238"/>
    </font>
    <font>
      <i/>
      <u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2"/>
      <color theme="0" tint="-0.14999847407452621"/>
      <name val="Calibri"/>
      <family val="2"/>
      <charset val="238"/>
    </font>
    <font>
      <i/>
      <sz val="12"/>
      <color rgb="FF7030A0"/>
      <name val="Calibri"/>
      <family val="2"/>
      <charset val="238"/>
    </font>
    <font>
      <b/>
      <i/>
      <sz val="12"/>
      <color rgb="FF7030A0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2"/>
      <color rgb="FF008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sz val="12"/>
      <color theme="9" tint="-0.249977111117893"/>
      <name val="Calibri"/>
      <family val="2"/>
      <charset val="238"/>
    </font>
    <font>
      <sz val="10"/>
      <color theme="0"/>
      <name val="Calibri"/>
      <family val="2"/>
      <charset val="238"/>
    </font>
    <font>
      <i/>
      <sz val="12"/>
      <color theme="0"/>
      <name val="Calibri"/>
      <family val="2"/>
      <charset val="238"/>
    </font>
    <font>
      <i/>
      <sz val="10"/>
      <color theme="0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i/>
      <sz val="12"/>
      <color rgb="FFFF0000"/>
      <name val="Calibri"/>
      <family val="2"/>
      <charset val="238"/>
    </font>
    <font>
      <i/>
      <sz val="12"/>
      <name val="Calibri"/>
      <family val="2"/>
      <charset val="238"/>
    </font>
    <font>
      <i/>
      <sz val="14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0" tint="-0.34998626667073579"/>
      <name val="Calibri"/>
      <family val="2"/>
      <charset val="238"/>
    </font>
    <font>
      <b/>
      <sz val="12"/>
      <color theme="9" tint="-0.499984740745262"/>
      <name val="Calibri"/>
      <family val="2"/>
      <charset val="238"/>
    </font>
    <font>
      <sz val="12"/>
      <color theme="9" tint="-0.499984740745262"/>
      <name val="Calibri"/>
      <family val="2"/>
      <charset val="238"/>
    </font>
    <font>
      <vertAlign val="subscript"/>
      <sz val="12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E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31">
    <border>
      <left/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double">
        <color auto="1"/>
      </right>
      <top style="thick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9" fontId="24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3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3" fontId="0" fillId="0" borderId="8" xfId="0" applyNumberForma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6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167" fontId="0" fillId="2" borderId="7" xfId="0" applyNumberFormat="1" applyFill="1" applyBorder="1" applyAlignment="1">
      <alignment horizontal="left" vertical="center"/>
    </xf>
    <xf numFmtId="4" fontId="0" fillId="2" borderId="40" xfId="0" applyNumberFormat="1" applyFill="1" applyBorder="1" applyAlignment="1">
      <alignment horizontal="center" vertical="center"/>
    </xf>
    <xf numFmtId="166" fontId="0" fillId="2" borderId="24" xfId="0" applyNumberFormat="1" applyFill="1" applyBorder="1" applyAlignment="1">
      <alignment horizontal="right" vertical="center"/>
    </xf>
    <xf numFmtId="164" fontId="0" fillId="2" borderId="23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 vertical="center"/>
    </xf>
    <xf numFmtId="164" fontId="0" fillId="2" borderId="18" xfId="0" applyNumberFormat="1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left" vertical="center"/>
    </xf>
    <xf numFmtId="4" fontId="0" fillId="2" borderId="41" xfId="0" applyNumberFormat="1" applyFill="1" applyBorder="1" applyAlignment="1">
      <alignment horizontal="center" vertical="center"/>
    </xf>
    <xf numFmtId="166" fontId="0" fillId="2" borderId="26" xfId="0" applyNumberFormat="1" applyFill="1" applyBorder="1" applyAlignment="1">
      <alignment horizontal="right" vertical="center"/>
    </xf>
    <xf numFmtId="164" fontId="0" fillId="2" borderId="25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horizontal="left" vertical="center"/>
    </xf>
    <xf numFmtId="166" fontId="0" fillId="2" borderId="15" xfId="0" applyNumberFormat="1" applyFill="1" applyBorder="1" applyAlignment="1">
      <alignment horizontal="right" vertical="center"/>
    </xf>
    <xf numFmtId="167" fontId="0" fillId="2" borderId="4" xfId="0" applyNumberFormat="1" applyFill="1" applyBorder="1" applyAlignment="1">
      <alignment horizontal="left" vertical="center"/>
    </xf>
    <xf numFmtId="4" fontId="0" fillId="2" borderId="42" xfId="0" applyNumberFormat="1" applyFill="1" applyBorder="1" applyAlignment="1">
      <alignment horizontal="center" vertical="center"/>
    </xf>
    <xf numFmtId="166" fontId="0" fillId="2" borderId="28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left" vertical="center"/>
    </xf>
    <xf numFmtId="166" fontId="0" fillId="2" borderId="16" xfId="0" applyNumberFormat="1" applyFill="1" applyBorder="1" applyAlignment="1">
      <alignment horizontal="right" vertical="center"/>
    </xf>
    <xf numFmtId="4" fontId="3" fillId="0" borderId="29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52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4" fontId="0" fillId="0" borderId="29" xfId="0" applyNumberFormat="1" applyFont="1" applyBorder="1" applyAlignment="1">
      <alignment horizontal="left" vertical="center"/>
    </xf>
    <xf numFmtId="164" fontId="0" fillId="0" borderId="29" xfId="0" applyNumberFormat="1" applyFont="1" applyBorder="1" applyAlignment="1">
      <alignment horizontal="left" vertical="center"/>
    </xf>
    <xf numFmtId="0" fontId="3" fillId="0" borderId="29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vertical="center"/>
    </xf>
    <xf numFmtId="0" fontId="3" fillId="0" borderId="13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" fontId="1" fillId="0" borderId="30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166" fontId="0" fillId="0" borderId="55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left" vertical="center"/>
    </xf>
    <xf numFmtId="3" fontId="0" fillId="0" borderId="56" xfId="0" applyNumberFormat="1" applyFont="1" applyFill="1" applyBorder="1" applyAlignment="1">
      <alignment horizontal="center" vertical="center"/>
    </xf>
    <xf numFmtId="166" fontId="0" fillId="0" borderId="56" xfId="0" applyNumberFormat="1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166" fontId="3" fillId="0" borderId="57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66" fontId="0" fillId="2" borderId="36" xfId="0" applyNumberFormat="1" applyFill="1" applyBorder="1" applyAlignment="1">
      <alignment horizontal="center" vertical="center"/>
    </xf>
    <xf numFmtId="4" fontId="0" fillId="2" borderId="36" xfId="0" applyNumberFormat="1" applyFill="1" applyBorder="1" applyAlignment="1">
      <alignment horizontal="center" vertical="center"/>
    </xf>
    <xf numFmtId="166" fontId="0" fillId="2" borderId="34" xfId="0" applyNumberFormat="1" applyFill="1" applyBorder="1" applyAlignment="1">
      <alignment horizontal="center" vertical="center"/>
    </xf>
    <xf numFmtId="4" fontId="0" fillId="2" borderId="34" xfId="0" applyNumberFormat="1" applyFill="1" applyBorder="1" applyAlignment="1">
      <alignment horizontal="center" vertical="center"/>
    </xf>
    <xf numFmtId="166" fontId="0" fillId="2" borderId="35" xfId="0" applyNumberFormat="1" applyFill="1" applyBorder="1" applyAlignment="1">
      <alignment horizontal="center" vertical="center"/>
    </xf>
    <xf numFmtId="4" fontId="0" fillId="2" borderId="35" xfId="0" applyNumberForma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left" vertical="center"/>
    </xf>
    <xf numFmtId="164" fontId="0" fillId="2" borderId="29" xfId="0" applyNumberFormat="1" applyFont="1" applyFill="1" applyBorder="1" applyAlignment="1">
      <alignment horizontal="left" vertical="center"/>
    </xf>
    <xf numFmtId="49" fontId="3" fillId="2" borderId="5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164" fontId="4" fillId="0" borderId="25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49" fontId="1" fillId="0" borderId="58" xfId="0" applyNumberFormat="1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165" fontId="1" fillId="0" borderId="59" xfId="0" applyNumberFormat="1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" fontId="1" fillId="0" borderId="6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6" fontId="0" fillId="0" borderId="0" xfId="0" applyNumberFormat="1"/>
    <xf numFmtId="0" fontId="9" fillId="0" borderId="0" xfId="0" applyFont="1"/>
    <xf numFmtId="166" fontId="0" fillId="0" borderId="3" xfId="0" applyNumberFormat="1" applyBorder="1"/>
    <xf numFmtId="164" fontId="0" fillId="0" borderId="2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59" xfId="0" applyNumberFormat="1" applyFont="1" applyBorder="1" applyAlignment="1">
      <alignment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6" fontId="0" fillId="0" borderId="9" xfId="0" applyNumberFormat="1" applyBorder="1"/>
    <xf numFmtId="0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center" vertical="center"/>
    </xf>
    <xf numFmtId="166" fontId="0" fillId="0" borderId="12" xfId="0" applyNumberFormat="1" applyBorder="1"/>
    <xf numFmtId="0" fontId="0" fillId="0" borderId="63" xfId="0" applyNumberFormat="1" applyBorder="1" applyAlignment="1">
      <alignment vertical="center"/>
    </xf>
    <xf numFmtId="164" fontId="0" fillId="0" borderId="63" xfId="0" applyNumberFormat="1" applyBorder="1" applyAlignment="1">
      <alignment horizontal="center" vertical="center"/>
    </xf>
    <xf numFmtId="166" fontId="3" fillId="0" borderId="64" xfId="0" applyNumberFormat="1" applyFont="1" applyBorder="1"/>
    <xf numFmtId="166" fontId="10" fillId="3" borderId="66" xfId="0" applyNumberFormat="1" applyFont="1" applyFill="1" applyBorder="1"/>
    <xf numFmtId="165" fontId="1" fillId="0" borderId="61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6" fontId="8" fillId="0" borderId="21" xfId="0" applyNumberFormat="1" applyFont="1" applyBorder="1"/>
    <xf numFmtId="166" fontId="8" fillId="0" borderId="12" xfId="0" applyNumberFormat="1" applyFont="1" applyBorder="1"/>
    <xf numFmtId="166" fontId="3" fillId="0" borderId="71" xfId="0" applyNumberFormat="1" applyFont="1" applyBorder="1"/>
    <xf numFmtId="166" fontId="5" fillId="0" borderId="60" xfId="0" applyNumberFormat="1" applyFont="1" applyBorder="1" applyAlignment="1">
      <alignment horizontal="center" vertical="center" wrapText="1"/>
    </xf>
    <xf numFmtId="166" fontId="10" fillId="3" borderId="65" xfId="0" applyNumberFormat="1" applyFont="1" applyFill="1" applyBorder="1"/>
    <xf numFmtId="0" fontId="1" fillId="0" borderId="5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66" fontId="5" fillId="0" borderId="2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left" vertical="center" wrapText="1"/>
    </xf>
    <xf numFmtId="166" fontId="0" fillId="0" borderId="3" xfId="0" applyNumberFormat="1" applyBorder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4" fontId="1" fillId="0" borderId="13" xfId="0" applyNumberFormat="1" applyFont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164" fontId="1" fillId="0" borderId="72" xfId="0" applyNumberFormat="1" applyFont="1" applyBorder="1" applyAlignment="1">
      <alignment horizontal="center" vertical="center" wrapText="1"/>
    </xf>
    <xf numFmtId="166" fontId="4" fillId="0" borderId="73" xfId="0" applyNumberFormat="1" applyFon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2" borderId="78" xfId="0" applyNumberFormat="1" applyFill="1" applyBorder="1" applyAlignment="1">
      <alignment horizontal="center" vertical="center"/>
    </xf>
    <xf numFmtId="4" fontId="0" fillId="2" borderId="76" xfId="0" applyNumberFormat="1" applyFill="1" applyBorder="1" applyAlignment="1">
      <alignment horizontal="center" vertical="center"/>
    </xf>
    <xf numFmtId="4" fontId="0" fillId="2" borderId="77" xfId="0" applyNumberForma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0" fillId="2" borderId="78" xfId="0" applyNumberFormat="1" applyFill="1" applyBorder="1" applyAlignment="1">
      <alignment horizontal="center" vertical="center"/>
    </xf>
    <xf numFmtId="3" fontId="0" fillId="2" borderId="76" xfId="0" applyNumberFormat="1" applyFill="1" applyBorder="1" applyAlignment="1">
      <alignment horizontal="center" vertical="center"/>
    </xf>
    <xf numFmtId="3" fontId="0" fillId="2" borderId="77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/>
    </xf>
    <xf numFmtId="166" fontId="3" fillId="4" borderId="34" xfId="0" applyNumberFormat="1" applyFont="1" applyFill="1" applyBorder="1" applyAlignment="1">
      <alignment horizontal="center" vertical="center"/>
    </xf>
    <xf numFmtId="166" fontId="0" fillId="4" borderId="2" xfId="0" applyNumberFormat="1" applyFill="1" applyBorder="1" applyAlignment="1">
      <alignment horizontal="center" vertical="center"/>
    </xf>
    <xf numFmtId="166" fontId="0" fillId="4" borderId="15" xfId="0" applyNumberFormat="1" applyFill="1" applyBorder="1" applyAlignment="1">
      <alignment horizontal="center" vertical="center"/>
    </xf>
    <xf numFmtId="166" fontId="0" fillId="4" borderId="73" xfId="0" applyNumberForma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166" fontId="3" fillId="0" borderId="3" xfId="0" applyNumberFormat="1" applyFont="1" applyBorder="1" applyAlignment="1">
      <alignment horizontal="left" vertical="center"/>
    </xf>
    <xf numFmtId="0" fontId="3" fillId="0" borderId="29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7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center" vertical="center" wrapText="1"/>
    </xf>
    <xf numFmtId="165" fontId="1" fillId="0" borderId="59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0" applyNumberForma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166" fontId="3" fillId="0" borderId="47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3" fillId="0" borderId="72" xfId="0" applyNumberFormat="1" applyFont="1" applyFill="1" applyBorder="1" applyAlignment="1">
      <alignment horizontal="center" vertical="center"/>
    </xf>
    <xf numFmtId="166" fontId="0" fillId="0" borderId="17" xfId="0" applyNumberForma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166" fontId="3" fillId="0" borderId="12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41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166" fontId="17" fillId="0" borderId="34" xfId="0" applyNumberFormat="1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 vertical="center"/>
    </xf>
    <xf numFmtId="166" fontId="0" fillId="0" borderId="73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" fontId="3" fillId="0" borderId="77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166" fontId="4" fillId="2" borderId="26" xfId="0" applyNumberFormat="1" applyFont="1" applyFill="1" applyBorder="1" applyAlignment="1">
      <alignment horizontal="right" vertical="center"/>
    </xf>
    <xf numFmtId="4" fontId="0" fillId="2" borderId="101" xfId="0" applyNumberFormat="1" applyFill="1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4" fillId="0" borderId="72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4" fillId="0" borderId="74" xfId="0" applyNumberFormat="1" applyFont="1" applyFill="1" applyBorder="1" applyAlignment="1">
      <alignment horizontal="center" vertical="center"/>
    </xf>
    <xf numFmtId="166" fontId="0" fillId="2" borderId="121" xfId="0" applyNumberFormat="1" applyFill="1" applyBorder="1" applyAlignment="1">
      <alignment horizontal="center" vertical="center"/>
    </xf>
    <xf numFmtId="166" fontId="0" fillId="2" borderId="122" xfId="0" applyNumberFormat="1" applyFill="1" applyBorder="1" applyAlignment="1">
      <alignment horizontal="center" vertical="center"/>
    </xf>
    <xf numFmtId="166" fontId="0" fillId="2" borderId="44" xfId="0" applyNumberForma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4" fillId="0" borderId="18" xfId="0" applyNumberFormat="1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66" fontId="14" fillId="0" borderId="22" xfId="0" applyNumberFormat="1" applyFont="1" applyFill="1" applyBorder="1" applyAlignment="1">
      <alignment horizontal="center" vertical="center"/>
    </xf>
    <xf numFmtId="166" fontId="14" fillId="0" borderId="24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166" fontId="14" fillId="0" borderId="27" xfId="0" applyNumberFormat="1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6" fontId="2" fillId="2" borderId="15" xfId="0" applyNumberFormat="1" applyFont="1" applyFill="1" applyBorder="1" applyAlignment="1">
      <alignment horizontal="right" vertical="center"/>
    </xf>
    <xf numFmtId="14" fontId="0" fillId="0" borderId="41" xfId="0" applyNumberForma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166" fontId="2" fillId="2" borderId="26" xfId="0" applyNumberFormat="1" applyFont="1" applyFill="1" applyBorder="1" applyAlignment="1">
      <alignment horizontal="right" vertical="center"/>
    </xf>
    <xf numFmtId="167" fontId="0" fillId="2" borderId="62" xfId="0" applyNumberFormat="1" applyFill="1" applyBorder="1" applyAlignment="1">
      <alignment horizontal="left" vertical="center"/>
    </xf>
    <xf numFmtId="4" fontId="0" fillId="2" borderId="105" xfId="0" applyNumberFormat="1" applyFill="1" applyBorder="1" applyAlignment="1">
      <alignment horizontal="center" vertical="center"/>
    </xf>
    <xf numFmtId="166" fontId="0" fillId="2" borderId="120" xfId="0" applyNumberFormat="1" applyFill="1" applyBorder="1" applyAlignment="1">
      <alignment horizontal="right" vertical="center"/>
    </xf>
    <xf numFmtId="164" fontId="0" fillId="2" borderId="104" xfId="0" applyNumberFormat="1" applyFill="1" applyBorder="1" applyAlignment="1">
      <alignment horizontal="center" vertical="center"/>
    </xf>
    <xf numFmtId="49" fontId="0" fillId="2" borderId="63" xfId="0" applyNumberFormat="1" applyFill="1" applyBorder="1" applyAlignment="1">
      <alignment horizontal="left" vertical="center"/>
    </xf>
    <xf numFmtId="164" fontId="0" fillId="2" borderId="69" xfId="0" applyNumberFormat="1" applyFill="1" applyBorder="1" applyAlignment="1">
      <alignment horizontal="center" vertical="center"/>
    </xf>
    <xf numFmtId="166" fontId="0" fillId="2" borderId="67" xfId="0" applyNumberFormat="1" applyFill="1" applyBorder="1" applyAlignment="1">
      <alignment horizontal="right" vertical="center"/>
    </xf>
    <xf numFmtId="3" fontId="0" fillId="2" borderId="101" xfId="0" applyNumberFormat="1" applyFill="1" applyBorder="1" applyAlignment="1">
      <alignment horizontal="center" vertical="center"/>
    </xf>
    <xf numFmtId="166" fontId="2" fillId="2" borderId="120" xfId="0" applyNumberFormat="1" applyFont="1" applyFill="1" applyBorder="1" applyAlignment="1">
      <alignment horizontal="right" vertical="center"/>
    </xf>
    <xf numFmtId="166" fontId="4" fillId="2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83" xfId="0" applyNumberFormat="1" applyFont="1" applyFill="1" applyBorder="1" applyAlignment="1">
      <alignment horizontal="left" vertical="center" wrapText="1"/>
    </xf>
    <xf numFmtId="164" fontId="5" fillId="0" borderId="83" xfId="0" applyNumberFormat="1" applyFont="1" applyFill="1" applyBorder="1" applyAlignment="1">
      <alignment horizontal="center" vertical="center" wrapText="1"/>
    </xf>
    <xf numFmtId="164" fontId="5" fillId="0" borderId="8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4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9" fontId="0" fillId="0" borderId="63" xfId="0" applyNumberFormat="1" applyFill="1" applyBorder="1" applyAlignment="1">
      <alignment vertical="center"/>
    </xf>
    <xf numFmtId="0" fontId="0" fillId="0" borderId="67" xfId="0" applyNumberFormat="1" applyFill="1" applyBorder="1" applyAlignment="1">
      <alignment vertical="center"/>
    </xf>
    <xf numFmtId="0" fontId="0" fillId="0" borderId="123" xfId="0" applyNumberFormat="1" applyFill="1" applyBorder="1" applyAlignment="1">
      <alignment horizontal="center" vertical="center"/>
    </xf>
    <xf numFmtId="49" fontId="0" fillId="0" borderId="62" xfId="0" applyNumberFormat="1" applyFill="1" applyBorder="1" applyAlignment="1">
      <alignment horizontal="left" vertical="center"/>
    </xf>
    <xf numFmtId="49" fontId="0" fillId="0" borderId="63" xfId="0" applyNumberFormat="1" applyFill="1" applyBorder="1" applyAlignment="1">
      <alignment horizontal="left" vertical="center"/>
    </xf>
    <xf numFmtId="164" fontId="0" fillId="0" borderId="63" xfId="0" applyNumberFormat="1" applyFill="1" applyBorder="1" applyAlignment="1">
      <alignment horizontal="center" vertical="center"/>
    </xf>
    <xf numFmtId="164" fontId="0" fillId="0" borderId="120" xfId="0" applyNumberFormat="1" applyFill="1" applyBorder="1" applyAlignment="1">
      <alignment horizontal="center" vertical="center"/>
    </xf>
    <xf numFmtId="4" fontId="0" fillId="0" borderId="104" xfId="0" applyNumberFormat="1" applyFill="1" applyBorder="1" applyAlignment="1">
      <alignment horizontal="center" vertical="center"/>
    </xf>
    <xf numFmtId="4" fontId="0" fillId="0" borderId="63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right" vertical="center"/>
    </xf>
    <xf numFmtId="4" fontId="4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66" fontId="0" fillId="0" borderId="0" xfId="0" applyNumberFormat="1" applyBorder="1" applyAlignment="1">
      <alignment vertical="center"/>
    </xf>
    <xf numFmtId="166" fontId="0" fillId="0" borderId="126" xfId="0" applyNumberFormat="1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26" xfId="0" applyBorder="1" applyAlignment="1">
      <alignment vertical="center"/>
    </xf>
    <xf numFmtId="166" fontId="3" fillId="0" borderId="51" xfId="0" applyNumberFormat="1" applyFont="1" applyBorder="1" applyAlignment="1">
      <alignment vertical="center"/>
    </xf>
    <xf numFmtId="166" fontId="0" fillId="0" borderId="50" xfId="0" applyNumberFormat="1" applyBorder="1" applyAlignment="1">
      <alignment vertical="center"/>
    </xf>
    <xf numFmtId="166" fontId="3" fillId="0" borderId="5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right" vertical="center"/>
    </xf>
    <xf numFmtId="166" fontId="3" fillId="0" borderId="28" xfId="0" applyNumberFormat="1" applyFont="1" applyBorder="1" applyAlignment="1">
      <alignment horizontal="right" vertical="center"/>
    </xf>
    <xf numFmtId="1" fontId="0" fillId="0" borderId="19" xfId="0" applyNumberFormat="1" applyBorder="1" applyAlignment="1">
      <alignment horizontal="center" vertical="center"/>
    </xf>
    <xf numFmtId="1" fontId="0" fillId="0" borderId="18" xfId="0" applyNumberFormat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0" fontId="0" fillId="0" borderId="74" xfId="0" applyBorder="1" applyAlignment="1">
      <alignment vertical="center"/>
    </xf>
    <xf numFmtId="16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19" xfId="0" applyNumberFormat="1" applyFont="1" applyBorder="1" applyAlignment="1">
      <alignment horizontal="center" vertical="center"/>
    </xf>
    <xf numFmtId="166" fontId="0" fillId="0" borderId="70" xfId="0" applyNumberFormat="1" applyBorder="1" applyAlignment="1">
      <alignment horizontal="center" vertical="center"/>
    </xf>
    <xf numFmtId="166" fontId="0" fillId="0" borderId="136" xfId="0" applyNumberFormat="1" applyBorder="1" applyAlignment="1">
      <alignment horizontal="center" vertical="center"/>
    </xf>
    <xf numFmtId="166" fontId="0" fillId="0" borderId="7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9" fontId="0" fillId="0" borderId="0" xfId="0" applyNumberFormat="1" applyAlignment="1">
      <alignment vertical="center"/>
    </xf>
    <xf numFmtId="166" fontId="0" fillId="0" borderId="8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66" fontId="5" fillId="0" borderId="80" xfId="0" applyNumberFormat="1" applyFont="1" applyBorder="1" applyAlignment="1">
      <alignment horizontal="center" vertical="center"/>
    </xf>
    <xf numFmtId="9" fontId="5" fillId="0" borderId="80" xfId="0" applyNumberFormat="1" applyFont="1" applyBorder="1" applyAlignment="1">
      <alignment horizontal="center" vertical="center"/>
    </xf>
    <xf numFmtId="9" fontId="0" fillId="0" borderId="89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66" fontId="5" fillId="0" borderId="61" xfId="0" applyNumberFormat="1" applyFont="1" applyBorder="1" applyAlignment="1">
      <alignment horizontal="center" vertical="center"/>
    </xf>
    <xf numFmtId="166" fontId="5" fillId="0" borderId="93" xfId="0" applyNumberFormat="1" applyFont="1" applyBorder="1" applyAlignment="1">
      <alignment horizontal="center" vertical="center"/>
    </xf>
    <xf numFmtId="166" fontId="0" fillId="0" borderId="95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166" fontId="0" fillId="0" borderId="8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166" fontId="0" fillId="2" borderId="15" xfId="0" applyNumberForma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166" fontId="0" fillId="2" borderId="16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9" fontId="3" fillId="0" borderId="143" xfId="0" applyNumberFormat="1" applyFont="1" applyBorder="1" applyAlignment="1">
      <alignment horizontal="center" vertical="center"/>
    </xf>
    <xf numFmtId="9" fontId="3" fillId="0" borderId="144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right" vertical="center"/>
    </xf>
    <xf numFmtId="10" fontId="0" fillId="0" borderId="0" xfId="0" applyNumberFormat="1" applyAlignment="1">
      <alignment vertical="center"/>
    </xf>
    <xf numFmtId="166" fontId="0" fillId="0" borderId="3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/>
    </xf>
    <xf numFmtId="166" fontId="0" fillId="2" borderId="63" xfId="0" applyNumberFormat="1" applyFill="1" applyBorder="1" applyAlignment="1">
      <alignment horizontal="center" vertical="center"/>
    </xf>
    <xf numFmtId="166" fontId="0" fillId="2" borderId="67" xfId="0" applyNumberFormat="1" applyFill="1" applyBorder="1" applyAlignment="1">
      <alignment horizontal="center" vertical="center"/>
    </xf>
    <xf numFmtId="166" fontId="0" fillId="0" borderId="25" xfId="0" applyNumberFormat="1" applyFill="1" applyBorder="1"/>
    <xf numFmtId="0" fontId="0" fillId="0" borderId="0" xfId="0" applyAlignment="1">
      <alignment horizontal="left"/>
    </xf>
    <xf numFmtId="165" fontId="0" fillId="0" borderId="145" xfId="0" applyNumberFormat="1" applyBorder="1" applyAlignment="1">
      <alignment horizontal="center" vertical="center"/>
    </xf>
    <xf numFmtId="2" fontId="0" fillId="2" borderId="46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9" fontId="3" fillId="7" borderId="0" xfId="1" applyFont="1" applyFill="1" applyAlignment="1">
      <alignment vertical="center"/>
    </xf>
    <xf numFmtId="49" fontId="2" fillId="0" borderId="0" xfId="0" applyNumberFormat="1" applyFont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0" fontId="11" fillId="0" borderId="134" xfId="0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6" fontId="3" fillId="0" borderId="70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5" xfId="0" applyFont="1" applyBorder="1" applyAlignment="1">
      <alignment horizontal="right" vertical="center"/>
    </xf>
    <xf numFmtId="4" fontId="3" fillId="0" borderId="110" xfId="0" applyNumberFormat="1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center" vertical="center"/>
    </xf>
    <xf numFmtId="166" fontId="3" fillId="0" borderId="112" xfId="0" applyNumberFormat="1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166" fontId="3" fillId="0" borderId="148" xfId="0" applyNumberFormat="1" applyFont="1" applyBorder="1" applyAlignment="1">
      <alignment horizontal="center" vertical="center"/>
    </xf>
    <xf numFmtId="3" fontId="3" fillId="0" borderId="111" xfId="0" applyNumberFormat="1" applyFont="1" applyBorder="1" applyAlignment="1">
      <alignment horizontal="center" vertical="center"/>
    </xf>
    <xf numFmtId="166" fontId="3" fillId="0" borderId="147" xfId="0" applyNumberFormat="1" applyFont="1" applyBorder="1" applyAlignment="1">
      <alignment horizontal="center" vertical="center"/>
    </xf>
    <xf numFmtId="167" fontId="3" fillId="0" borderId="52" xfId="0" applyNumberFormat="1" applyFont="1" applyFill="1" applyBorder="1" applyAlignment="1">
      <alignment horizontal="right" vertical="center"/>
    </xf>
    <xf numFmtId="166" fontId="3" fillId="0" borderId="53" xfId="0" applyNumberFormat="1" applyFont="1" applyFill="1" applyBorder="1" applyAlignment="1">
      <alignment horizontal="right" vertical="center"/>
    </xf>
    <xf numFmtId="164" fontId="3" fillId="0" borderId="53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left" vertical="center"/>
    </xf>
    <xf numFmtId="166" fontId="3" fillId="0" borderId="53" xfId="0" applyNumberFormat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4" fontId="3" fillId="0" borderId="14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3" fontId="3" fillId="0" borderId="14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0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164" fontId="3" fillId="0" borderId="53" xfId="0" applyNumberFormat="1" applyFont="1" applyBorder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left" vertical="center"/>
    </xf>
    <xf numFmtId="1" fontId="30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166" fontId="2" fillId="0" borderId="0" xfId="0" applyNumberFormat="1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1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30" fillId="0" borderId="1" xfId="0" applyNumberFormat="1" applyFont="1" applyBorder="1" applyAlignment="1">
      <alignment vertical="center"/>
    </xf>
    <xf numFmtId="0" fontId="30" fillId="0" borderId="2" xfId="0" applyNumberFormat="1" applyFont="1" applyBorder="1" applyAlignment="1">
      <alignment vertical="center"/>
    </xf>
    <xf numFmtId="164" fontId="30" fillId="0" borderId="2" xfId="0" applyNumberFormat="1" applyFont="1" applyBorder="1" applyAlignment="1">
      <alignment horizontal="center" vertical="center"/>
    </xf>
    <xf numFmtId="168" fontId="30" fillId="0" borderId="2" xfId="0" applyNumberFormat="1" applyFont="1" applyBorder="1" applyAlignment="1">
      <alignment horizontal="center" vertical="center"/>
    </xf>
    <xf numFmtId="169" fontId="29" fillId="0" borderId="3" xfId="0" applyNumberFormat="1" applyFont="1" applyBorder="1" applyAlignment="1">
      <alignment horizontal="left" vertical="center"/>
    </xf>
    <xf numFmtId="168" fontId="4" fillId="0" borderId="5" xfId="0" applyNumberFormat="1" applyFont="1" applyBorder="1" applyAlignment="1">
      <alignment horizontal="center" vertical="center"/>
    </xf>
    <xf numFmtId="169" fontId="4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9" fontId="4" fillId="0" borderId="9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 wrapText="1"/>
    </xf>
    <xf numFmtId="164" fontId="32" fillId="0" borderId="83" xfId="0" applyNumberFormat="1" applyFont="1" applyBorder="1" applyAlignment="1">
      <alignment horizontal="center" vertical="center" wrapText="1"/>
    </xf>
    <xf numFmtId="2" fontId="0" fillId="0" borderId="62" xfId="0" applyNumberFormat="1" applyBorder="1" applyAlignment="1">
      <alignment vertical="center"/>
    </xf>
    <xf numFmtId="164" fontId="4" fillId="0" borderId="63" xfId="0" applyNumberFormat="1" applyFont="1" applyBorder="1" applyAlignment="1">
      <alignment horizontal="center" vertical="center"/>
    </xf>
    <xf numFmtId="168" fontId="4" fillId="0" borderId="63" xfId="0" applyNumberFormat="1" applyFont="1" applyBorder="1" applyAlignment="1">
      <alignment horizontal="center" vertical="center"/>
    </xf>
    <xf numFmtId="169" fontId="4" fillId="0" borderId="64" xfId="0" applyNumberFormat="1" applyFont="1" applyBorder="1" applyAlignment="1">
      <alignment horizontal="center" vertical="center"/>
    </xf>
    <xf numFmtId="0" fontId="3" fillId="0" borderId="88" xfId="0" applyNumberFormat="1" applyFont="1" applyFill="1" applyBorder="1" applyAlignment="1">
      <alignment vertical="center"/>
    </xf>
    <xf numFmtId="0" fontId="0" fillId="0" borderId="89" xfId="0" applyNumberFormat="1" applyFill="1" applyBorder="1" applyAlignment="1">
      <alignment vertical="center" wrapText="1"/>
    </xf>
    <xf numFmtId="164" fontId="0" fillId="0" borderId="89" xfId="0" applyNumberFormat="1" applyFill="1" applyBorder="1" applyAlignment="1">
      <alignment horizontal="right" vertical="center" wrapText="1"/>
    </xf>
    <xf numFmtId="168" fontId="4" fillId="0" borderId="89" xfId="0" applyNumberFormat="1" applyFont="1" applyBorder="1" applyAlignment="1">
      <alignment horizontal="center" vertical="center"/>
    </xf>
    <xf numFmtId="169" fontId="0" fillId="0" borderId="102" xfId="0" applyNumberFormat="1" applyFill="1" applyBorder="1" applyAlignment="1">
      <alignment horizontal="center" vertical="center" wrapText="1"/>
    </xf>
    <xf numFmtId="3" fontId="8" fillId="0" borderId="61" xfId="0" applyNumberFormat="1" applyFont="1" applyBorder="1" applyAlignment="1">
      <alignment horizontal="center" vertical="center" wrapText="1"/>
    </xf>
    <xf numFmtId="4" fontId="8" fillId="0" borderId="9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95" xfId="0" applyNumberForma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115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69" fontId="14" fillId="0" borderId="23" xfId="0" applyNumberFormat="1" applyFont="1" applyBorder="1" applyAlignment="1">
      <alignment horizontal="center" vertical="center"/>
    </xf>
    <xf numFmtId="166" fontId="14" fillId="0" borderId="24" xfId="0" applyNumberFormat="1" applyFont="1" applyBorder="1" applyAlignment="1">
      <alignment horizontal="center" vertical="center"/>
    </xf>
    <xf numFmtId="169" fontId="14" fillId="0" borderId="25" xfId="0" applyNumberFormat="1" applyFont="1" applyBorder="1" applyAlignment="1">
      <alignment horizontal="center" vertical="center"/>
    </xf>
    <xf numFmtId="166" fontId="14" fillId="0" borderId="26" xfId="0" applyNumberFormat="1" applyFont="1" applyBorder="1" applyAlignment="1">
      <alignment horizontal="center" vertical="center"/>
    </xf>
    <xf numFmtId="169" fontId="29" fillId="0" borderId="25" xfId="0" applyNumberFormat="1" applyFont="1" applyBorder="1" applyAlignment="1">
      <alignment horizontal="center" vertical="center"/>
    </xf>
    <xf numFmtId="166" fontId="29" fillId="0" borderId="26" xfId="0" applyNumberFormat="1" applyFont="1" applyBorder="1" applyAlignment="1">
      <alignment horizontal="center" vertical="center"/>
    </xf>
    <xf numFmtId="169" fontId="14" fillId="0" borderId="104" xfId="0" applyNumberFormat="1" applyFont="1" applyBorder="1" applyAlignment="1">
      <alignment horizontal="center" vertical="center"/>
    </xf>
    <xf numFmtId="166" fontId="14" fillId="0" borderId="120" xfId="0" applyNumberFormat="1" applyFont="1" applyBorder="1" applyAlignment="1">
      <alignment horizontal="center" vertical="center"/>
    </xf>
    <xf numFmtId="169" fontId="3" fillId="0" borderId="90" xfId="0" applyNumberFormat="1" applyFont="1" applyFill="1" applyBorder="1" applyAlignment="1">
      <alignment horizontal="center" vertical="center" wrapText="1"/>
    </xf>
    <xf numFmtId="166" fontId="3" fillId="0" borderId="91" xfId="0" applyNumberFormat="1" applyFont="1" applyFill="1" applyBorder="1" applyAlignment="1">
      <alignment horizontal="center" vertical="center" wrapText="1"/>
    </xf>
    <xf numFmtId="169" fontId="14" fillId="0" borderId="27" xfId="0" applyNumberFormat="1" applyFont="1" applyBorder="1" applyAlignment="1">
      <alignment horizontal="center" vertical="center"/>
    </xf>
    <xf numFmtId="166" fontId="14" fillId="0" borderId="28" xfId="0" applyNumberFormat="1" applyFont="1" applyBorder="1" applyAlignment="1">
      <alignment horizontal="center" vertical="center"/>
    </xf>
    <xf numFmtId="169" fontId="0" fillId="0" borderId="0" xfId="0" applyNumberForma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64" fontId="29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1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1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70" fontId="0" fillId="2" borderId="19" xfId="0" applyNumberFormat="1" applyFill="1" applyBorder="1" applyAlignment="1">
      <alignment horizontal="center" vertical="center"/>
    </xf>
    <xf numFmtId="166" fontId="4" fillId="0" borderId="0" xfId="0" applyNumberFormat="1" applyFont="1" applyAlignment="1">
      <alignment horizontal="left" vertical="center"/>
    </xf>
    <xf numFmtId="164" fontId="1" fillId="0" borderId="53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4" fontId="21" fillId="0" borderId="41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164" fontId="21" fillId="0" borderId="4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8" fillId="9" borderId="1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4" fillId="0" borderId="24" xfId="0" applyNumberFormat="1" applyFont="1" applyBorder="1" applyAlignment="1">
      <alignment horizontal="center" vertical="center"/>
    </xf>
    <xf numFmtId="166" fontId="3" fillId="0" borderId="11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5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49" xfId="0" applyFont="1" applyBorder="1" applyAlignment="1">
      <alignment horizontal="center" vertical="center" wrapText="1"/>
    </xf>
    <xf numFmtId="0" fontId="5" fillId="0" borderId="14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 wrapText="1"/>
    </xf>
    <xf numFmtId="3" fontId="3" fillId="0" borderId="15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" fontId="3" fillId="0" borderId="82" xfId="0" applyNumberFormat="1" applyFont="1" applyBorder="1" applyAlignment="1" applyProtection="1">
      <alignment horizontal="center" vertical="center" wrapText="1"/>
      <protection locked="0"/>
    </xf>
    <xf numFmtId="166" fontId="3" fillId="0" borderId="109" xfId="0" applyNumberFormat="1" applyFont="1" applyBorder="1" applyAlignment="1" applyProtection="1">
      <alignment horizontal="center" vertical="center" wrapText="1"/>
      <protection locked="0"/>
    </xf>
    <xf numFmtId="167" fontId="0" fillId="2" borderId="1" xfId="0" applyNumberFormat="1" applyFill="1" applyBorder="1" applyAlignment="1" applyProtection="1">
      <alignment horizontal="left" vertical="center"/>
      <protection locked="0"/>
    </xf>
    <xf numFmtId="166" fontId="0" fillId="2" borderId="26" xfId="0" applyNumberFormat="1" applyFill="1" applyBorder="1" applyAlignment="1" applyProtection="1">
      <alignment horizontal="right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6" fontId="0" fillId="2" borderId="15" xfId="0" applyNumberFormat="1" applyFill="1" applyBorder="1" applyAlignment="1" applyProtection="1">
      <alignment horizontal="right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166" fontId="0" fillId="2" borderId="6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166" fontId="4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6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left" vertical="center"/>
      <protection locked="0"/>
    </xf>
    <xf numFmtId="164" fontId="4" fillId="2" borderId="104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left" vertical="center"/>
    </xf>
    <xf numFmtId="166" fontId="4" fillId="2" borderId="120" xfId="0" applyNumberFormat="1" applyFont="1" applyFill="1" applyBorder="1" applyAlignment="1">
      <alignment horizontal="right" vertical="center"/>
    </xf>
    <xf numFmtId="4" fontId="1" fillId="0" borderId="60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165" fontId="1" fillId="0" borderId="59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horizontal="right" vertical="center"/>
    </xf>
    <xf numFmtId="164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left" vertical="center"/>
    </xf>
    <xf numFmtId="2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166" fontId="40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167" fontId="41" fillId="0" borderId="0" xfId="0" applyNumberFormat="1" applyFont="1" applyAlignment="1">
      <alignment horizontal="left" vertical="center"/>
    </xf>
    <xf numFmtId="1" fontId="4" fillId="0" borderId="64" xfId="0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vertical="center"/>
    </xf>
    <xf numFmtId="0" fontId="42" fillId="0" borderId="2" xfId="0" applyNumberFormat="1" applyFont="1" applyBorder="1" applyAlignment="1">
      <alignment vertical="center"/>
    </xf>
    <xf numFmtId="164" fontId="42" fillId="0" borderId="2" xfId="0" applyNumberFormat="1" applyFont="1" applyBorder="1" applyAlignment="1">
      <alignment horizontal="center" vertical="center"/>
    </xf>
    <xf numFmtId="168" fontId="42" fillId="0" borderId="2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169" fontId="43" fillId="0" borderId="25" xfId="0" applyNumberFormat="1" applyFont="1" applyBorder="1" applyAlignment="1">
      <alignment horizontal="center" vertical="center"/>
    </xf>
    <xf numFmtId="166" fontId="43" fillId="0" borderId="26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166" fontId="43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169" fontId="14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62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 vertical="center"/>
    </xf>
    <xf numFmtId="4" fontId="0" fillId="0" borderId="88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166" fontId="0" fillId="0" borderId="5" xfId="0" applyNumberFormat="1" applyFill="1" applyBorder="1" applyAlignment="1">
      <alignment horizontal="center" vertical="center"/>
    </xf>
    <xf numFmtId="4" fontId="0" fillId="2" borderId="62" xfId="0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9" fontId="4" fillId="2" borderId="67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70" fontId="0" fillId="2" borderId="19" xfId="0" applyNumberForma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5" fillId="8" borderId="68" xfId="0" applyNumberFormat="1" applyFont="1" applyFill="1" applyBorder="1" applyAlignment="1">
      <alignment horizontal="center" vertical="center" wrapText="1"/>
    </xf>
    <xf numFmtId="166" fontId="0" fillId="8" borderId="17" xfId="0" applyNumberFormat="1" applyFill="1" applyBorder="1"/>
    <xf numFmtId="166" fontId="0" fillId="8" borderId="18" xfId="0" applyNumberFormat="1" applyFill="1" applyBorder="1"/>
    <xf numFmtId="166" fontId="0" fillId="8" borderId="19" xfId="0" applyNumberFormat="1" applyFill="1" applyBorder="1"/>
    <xf numFmtId="166" fontId="3" fillId="8" borderId="69" xfId="0" applyNumberFormat="1" applyFont="1" applyFill="1" applyBorder="1"/>
    <xf numFmtId="166" fontId="0" fillId="0" borderId="23" xfId="0" applyNumberFormat="1" applyFill="1" applyBorder="1"/>
    <xf numFmtId="166" fontId="3" fillId="0" borderId="70" xfId="0" applyNumberFormat="1" applyFont="1" applyFill="1" applyBorder="1"/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4" fillId="2" borderId="15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2" borderId="62" xfId="0" applyNumberFormat="1" applyFont="1" applyFill="1" applyBorder="1" applyAlignment="1">
      <alignment horizontal="center" vertical="center"/>
    </xf>
    <xf numFmtId="49" fontId="2" fillId="2" borderId="67" xfId="0" applyNumberFormat="1" applyFont="1" applyFill="1" applyBorder="1" applyAlignment="1">
      <alignment horizontal="left" vertical="center"/>
    </xf>
    <xf numFmtId="4" fontId="2" fillId="2" borderId="62" xfId="0" applyNumberFormat="1" applyFont="1" applyFill="1" applyBorder="1" applyAlignment="1">
      <alignment horizontal="center" vertical="center"/>
    </xf>
    <xf numFmtId="166" fontId="2" fillId="2" borderId="63" xfId="0" applyNumberFormat="1" applyFont="1" applyFill="1" applyBorder="1" applyAlignment="1">
      <alignment horizontal="center" vertical="center"/>
    </xf>
    <xf numFmtId="166" fontId="2" fillId="2" borderId="67" xfId="0" applyNumberFormat="1" applyFont="1" applyFill="1" applyBorder="1" applyAlignment="1">
      <alignment horizontal="center" vertical="center"/>
    </xf>
    <xf numFmtId="166" fontId="2" fillId="0" borderId="62" xfId="0" applyNumberFormat="1" applyFont="1" applyBorder="1" applyAlignment="1">
      <alignment horizontal="center" vertical="center"/>
    </xf>
    <xf numFmtId="166" fontId="2" fillId="0" borderId="63" xfId="0" applyNumberFormat="1" applyFont="1" applyBorder="1" applyAlignment="1">
      <alignment horizontal="center" vertical="center"/>
    </xf>
    <xf numFmtId="166" fontId="2" fillId="0" borderId="64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4" fillId="0" borderId="63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horizontal="left" vertical="center"/>
      <protection locked="0"/>
    </xf>
    <xf numFmtId="164" fontId="4" fillId="2" borderId="62" xfId="0" applyNumberFormat="1" applyFont="1" applyFill="1" applyBorder="1" applyAlignment="1">
      <alignment horizontal="center" vertical="center"/>
    </xf>
    <xf numFmtId="166" fontId="4" fillId="2" borderId="63" xfId="0" applyNumberFormat="1" applyFont="1" applyFill="1" applyBorder="1" applyAlignment="1">
      <alignment horizontal="center" vertical="center"/>
    </xf>
    <xf numFmtId="166" fontId="4" fillId="2" borderId="67" xfId="0" applyNumberFormat="1" applyFont="1" applyFill="1" applyBorder="1" applyAlignment="1">
      <alignment horizontal="center" vertical="center"/>
    </xf>
    <xf numFmtId="4" fontId="0" fillId="0" borderId="89" xfId="0" applyNumberFormat="1" applyBorder="1" applyAlignment="1">
      <alignment horizontal="center" vertical="center"/>
    </xf>
    <xf numFmtId="10" fontId="0" fillId="0" borderId="89" xfId="0" applyNumberFormat="1" applyBorder="1" applyAlignment="1">
      <alignment horizontal="center" vertical="center"/>
    </xf>
    <xf numFmtId="10" fontId="0" fillId="0" borderId="102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95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" fontId="0" fillId="0" borderId="1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3" fillId="0" borderId="75" xfId="0" applyNumberFormat="1" applyFont="1" applyBorder="1" applyAlignment="1">
      <alignment horizontal="center" vertical="center"/>
    </xf>
    <xf numFmtId="4" fontId="3" fillId="0" borderId="76" xfId="0" applyNumberFormat="1" applyFon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10" fontId="0" fillId="0" borderId="77" xfId="0" applyNumberFormat="1" applyBorder="1" applyAlignment="1">
      <alignment horizontal="center" vertical="center"/>
    </xf>
    <xf numFmtId="4" fontId="11" fillId="0" borderId="158" xfId="0" applyNumberFormat="1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center" wrapText="1"/>
    </xf>
    <xf numFmtId="170" fontId="5" fillId="0" borderId="12" xfId="0" applyNumberFormat="1" applyFont="1" applyBorder="1" applyAlignment="1">
      <alignment horizontal="center" vertical="center" wrapText="1"/>
    </xf>
    <xf numFmtId="10" fontId="3" fillId="0" borderId="75" xfId="0" applyNumberFormat="1" applyFont="1" applyBorder="1" applyAlignment="1">
      <alignment horizontal="center" vertical="center"/>
    </xf>
    <xf numFmtId="10" fontId="0" fillId="0" borderId="115" xfId="0" applyNumberFormat="1" applyBorder="1" applyAlignment="1">
      <alignment horizontal="center" vertical="center"/>
    </xf>
    <xf numFmtId="10" fontId="3" fillId="0" borderId="76" xfId="0" applyNumberFormat="1" applyFon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76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13" fillId="0" borderId="7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10" fontId="13" fillId="0" borderId="19" xfId="0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0" fillId="0" borderId="88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2" fontId="16" fillId="0" borderId="1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164" fontId="16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169" fontId="17" fillId="0" borderId="25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0" fillId="0" borderId="63" xfId="0" applyNumberFormat="1" applyBorder="1" applyAlignment="1">
      <alignment vertical="center"/>
    </xf>
    <xf numFmtId="0" fontId="0" fillId="0" borderId="67" xfId="0" applyNumberFormat="1" applyBorder="1" applyAlignment="1">
      <alignment vertical="center"/>
    </xf>
    <xf numFmtId="164" fontId="4" fillId="0" borderId="104" xfId="0" applyNumberFormat="1" applyFont="1" applyBorder="1" applyAlignment="1">
      <alignment horizontal="center" vertical="center"/>
    </xf>
    <xf numFmtId="3" fontId="0" fillId="0" borderId="120" xfId="0" applyNumberFormat="1" applyBorder="1" applyAlignment="1">
      <alignment horizontal="center" vertical="center"/>
    </xf>
    <xf numFmtId="49" fontId="4" fillId="0" borderId="62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center" vertical="center"/>
    </xf>
    <xf numFmtId="165" fontId="4" fillId="0" borderId="63" xfId="0" applyNumberFormat="1" applyFont="1" applyBorder="1" applyAlignment="1">
      <alignment horizontal="center" vertical="center"/>
    </xf>
    <xf numFmtId="4" fontId="4" fillId="0" borderId="67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6" fontId="0" fillId="0" borderId="64" xfId="0" applyNumberFormat="1" applyBorder="1" applyAlignment="1">
      <alignment horizontal="center" vertical="center"/>
    </xf>
    <xf numFmtId="0" fontId="16" fillId="0" borderId="1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164" fontId="22" fillId="0" borderId="41" xfId="0" applyNumberFormat="1" applyFont="1" applyBorder="1" applyAlignment="1">
      <alignment horizontal="center" vertical="center"/>
    </xf>
    <xf numFmtId="4" fontId="16" fillId="0" borderId="44" xfId="0" applyNumberFormat="1" applyFont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166" fontId="16" fillId="0" borderId="15" xfId="0" applyNumberFormat="1" applyFont="1" applyFill="1" applyBorder="1" applyAlignment="1">
      <alignment horizontal="center" vertical="center"/>
    </xf>
    <xf numFmtId="166" fontId="16" fillId="0" borderId="73" xfId="0" applyNumberFormat="1" applyFont="1" applyFill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4" fillId="2" borderId="62" xfId="0" applyNumberFormat="1" applyFont="1" applyFill="1" applyBorder="1" applyAlignment="1">
      <alignment horizontal="center" vertical="center"/>
    </xf>
    <xf numFmtId="166" fontId="4" fillId="0" borderId="62" xfId="0" applyNumberFormat="1" applyFont="1" applyBorder="1" applyAlignment="1">
      <alignment horizontal="center" vertical="center"/>
    </xf>
    <xf numFmtId="166" fontId="4" fillId="0" borderId="63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62" xfId="0" applyNumberFormat="1" applyBorder="1" applyAlignment="1">
      <alignment horizontal="center" vertical="center"/>
    </xf>
    <xf numFmtId="166" fontId="0" fillId="0" borderId="63" xfId="0" applyNumberFormat="1" applyBorder="1" applyAlignment="1">
      <alignment horizontal="center" vertical="center"/>
    </xf>
    <xf numFmtId="4" fontId="0" fillId="0" borderId="77" xfId="0" applyNumberFormat="1" applyBorder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 wrapText="1"/>
    </xf>
    <xf numFmtId="165" fontId="1" fillId="0" borderId="59" xfId="0" applyNumberFormat="1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center" vertical="center" wrapText="1"/>
    </xf>
    <xf numFmtId="166" fontId="25" fillId="0" borderId="102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vertical="center"/>
    </xf>
    <xf numFmtId="49" fontId="4" fillId="0" borderId="63" xfId="0" applyNumberFormat="1" applyFont="1" applyBorder="1" applyAlignment="1">
      <alignment horizontal="left" vertical="center"/>
    </xf>
    <xf numFmtId="4" fontId="4" fillId="0" borderId="63" xfId="0" applyNumberFormat="1" applyFont="1" applyBorder="1" applyAlignment="1">
      <alignment horizontal="center" vertical="center"/>
    </xf>
    <xf numFmtId="166" fontId="39" fillId="0" borderId="147" xfId="0" applyNumberFormat="1" applyFont="1" applyBorder="1" applyAlignment="1">
      <alignment horizontal="center" vertical="center"/>
    </xf>
    <xf numFmtId="4" fontId="39" fillId="0" borderId="148" xfId="0" applyNumberFormat="1" applyFont="1" applyBorder="1" applyAlignment="1">
      <alignment horizontal="center" vertical="center"/>
    </xf>
    <xf numFmtId="3" fontId="0" fillId="2" borderId="159" xfId="0" applyNumberFormat="1" applyFill="1" applyBorder="1" applyAlignment="1">
      <alignment horizontal="center" vertical="center"/>
    </xf>
    <xf numFmtId="3" fontId="0" fillId="2" borderId="161" xfId="0" applyNumberFormat="1" applyFill="1" applyBorder="1" applyAlignment="1">
      <alignment horizontal="center" vertical="center"/>
    </xf>
    <xf numFmtId="166" fontId="0" fillId="2" borderId="25" xfId="0" applyNumberFormat="1" applyFill="1" applyBorder="1" applyAlignment="1">
      <alignment horizontal="center" vertical="center"/>
    </xf>
    <xf numFmtId="4" fontId="0" fillId="2" borderId="26" xfId="0" applyNumberFormat="1" applyFill="1" applyBorder="1" applyAlignment="1">
      <alignment horizontal="center" vertical="center"/>
    </xf>
    <xf numFmtId="3" fontId="0" fillId="2" borderId="160" xfId="0" applyNumberFormat="1" applyFill="1" applyBorder="1" applyAlignment="1">
      <alignment horizontal="center" vertical="center"/>
    </xf>
    <xf numFmtId="166" fontId="0" fillId="2" borderId="27" xfId="0" applyNumberFormat="1" applyFill="1" applyBorder="1" applyAlignment="1">
      <alignment horizontal="center" vertical="center"/>
    </xf>
    <xf numFmtId="4" fontId="0" fillId="2" borderId="28" xfId="0" applyNumberFormat="1" applyFill="1" applyBorder="1" applyAlignment="1">
      <alignment horizontal="center" vertical="center"/>
    </xf>
    <xf numFmtId="3" fontId="0" fillId="2" borderId="157" xfId="0" applyNumberFormat="1" applyFill="1" applyBorder="1" applyAlignment="1">
      <alignment horizontal="center" vertical="center"/>
    </xf>
    <xf numFmtId="166" fontId="0" fillId="2" borderId="23" xfId="0" applyNumberFormat="1" applyFill="1" applyBorder="1" applyAlignment="1">
      <alignment horizontal="center" vertical="center"/>
    </xf>
    <xf numFmtId="4" fontId="0" fillId="2" borderId="24" xfId="0" applyNumberFormat="1" applyFill="1" applyBorder="1" applyAlignment="1">
      <alignment horizontal="center" vertical="center"/>
    </xf>
    <xf numFmtId="166" fontId="3" fillId="0" borderId="54" xfId="0" applyNumberFormat="1" applyFont="1" applyFill="1" applyBorder="1" applyAlignment="1">
      <alignment horizontal="right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67" xfId="0" applyNumberFormat="1" applyBorder="1" applyAlignment="1">
      <alignment horizontal="center" vertical="center"/>
    </xf>
    <xf numFmtId="0" fontId="0" fillId="0" borderId="63" xfId="0" applyNumberFormat="1" applyFill="1" applyBorder="1" applyAlignment="1">
      <alignment vertical="center"/>
    </xf>
    <xf numFmtId="49" fontId="4" fillId="0" borderId="156" xfId="0" applyNumberFormat="1" applyFont="1" applyBorder="1" applyAlignment="1">
      <alignment horizontal="left" vertical="center"/>
    </xf>
    <xf numFmtId="0" fontId="4" fillId="0" borderId="164" xfId="0" applyFont="1" applyBorder="1" applyAlignment="1">
      <alignment horizontal="left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164" fontId="1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" fontId="0" fillId="0" borderId="9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9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3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9" fontId="39" fillId="0" borderId="0" xfId="0" applyNumberFormat="1" applyFont="1" applyAlignment="1">
      <alignment vertical="center"/>
    </xf>
    <xf numFmtId="9" fontId="25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166" fontId="0" fillId="0" borderId="165" xfId="0" applyNumberFormat="1" applyBorder="1" applyAlignment="1">
      <alignment horizontal="right" vertical="center"/>
    </xf>
    <xf numFmtId="0" fontId="0" fillId="0" borderId="166" xfId="0" applyFont="1" applyBorder="1" applyAlignment="1">
      <alignment vertical="center"/>
    </xf>
    <xf numFmtId="166" fontId="0" fillId="0" borderId="165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left" vertical="center"/>
    </xf>
    <xf numFmtId="167" fontId="4" fillId="2" borderId="1" xfId="0" applyNumberFormat="1" applyFont="1" applyFill="1" applyBorder="1" applyAlignment="1">
      <alignment horizontal="left" vertical="center"/>
    </xf>
    <xf numFmtId="170" fontId="0" fillId="2" borderId="25" xfId="0" applyNumberFormat="1" applyFill="1" applyBorder="1" applyAlignment="1" applyProtection="1">
      <alignment horizontal="center" vertical="center"/>
      <protection locked="0"/>
    </xf>
    <xf numFmtId="170" fontId="0" fillId="2" borderId="25" xfId="0" applyNumberForma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9" fontId="13" fillId="0" borderId="113" xfId="0" applyNumberFormat="1" applyFont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left" vertical="center"/>
    </xf>
    <xf numFmtId="4" fontId="0" fillId="0" borderId="41" xfId="0" applyNumberFormat="1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166" fontId="3" fillId="0" borderId="41" xfId="0" applyNumberFormat="1" applyFont="1" applyFill="1" applyBorder="1" applyAlignment="1">
      <alignment horizontal="left" vertical="center"/>
    </xf>
    <xf numFmtId="9" fontId="3" fillId="0" borderId="159" xfId="0" applyNumberFormat="1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0" fillId="0" borderId="19" xfId="0" applyNumberFormat="1" applyFont="1" applyFill="1" applyBorder="1" applyAlignment="1">
      <alignment horizontal="left" vertical="center"/>
    </xf>
    <xf numFmtId="166" fontId="0" fillId="0" borderId="42" xfId="0" applyNumberFormat="1" applyFont="1" applyBorder="1" applyAlignment="1">
      <alignment vertical="center"/>
    </xf>
    <xf numFmtId="49" fontId="0" fillId="0" borderId="41" xfId="0" applyNumberFormat="1" applyFont="1" applyFill="1" applyBorder="1" applyAlignment="1">
      <alignment horizontal="left" vertical="center"/>
    </xf>
    <xf numFmtId="0" fontId="25" fillId="0" borderId="106" xfId="0" applyFont="1" applyFill="1" applyBorder="1" applyAlignment="1">
      <alignment vertical="center"/>
    </xf>
    <xf numFmtId="0" fontId="25" fillId="0" borderId="81" xfId="0" applyFont="1" applyFill="1" applyBorder="1" applyAlignment="1">
      <alignment vertical="center"/>
    </xf>
    <xf numFmtId="166" fontId="25" fillId="0" borderId="86" xfId="0" applyNumberFormat="1" applyFont="1" applyBorder="1" applyAlignment="1">
      <alignment horizontal="right" vertical="center"/>
    </xf>
    <xf numFmtId="166" fontId="25" fillId="0" borderId="84" xfId="0" applyNumberFormat="1" applyFont="1" applyFill="1" applyBorder="1" applyAlignment="1">
      <alignment vertical="center"/>
    </xf>
    <xf numFmtId="166" fontId="25" fillId="0" borderId="81" xfId="0" applyNumberFormat="1" applyFont="1" applyBorder="1" applyAlignment="1">
      <alignment horizontal="right" vertical="center"/>
    </xf>
    <xf numFmtId="9" fontId="25" fillId="0" borderId="124" xfId="0" applyNumberFormat="1" applyFont="1" applyBorder="1" applyAlignment="1">
      <alignment horizontal="right" vertical="center"/>
    </xf>
    <xf numFmtId="166" fontId="25" fillId="0" borderId="85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9" fontId="25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horizontal="left" vertical="center"/>
    </xf>
    <xf numFmtId="166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0" fillId="0" borderId="155" xfId="0" applyFont="1" applyBorder="1" applyAlignment="1">
      <alignment horizontal="left" vertical="center"/>
    </xf>
    <xf numFmtId="0" fontId="23" fillId="0" borderId="52" xfId="0" applyFont="1" applyFill="1" applyBorder="1" applyAlignment="1">
      <alignment vertical="center"/>
    </xf>
    <xf numFmtId="4" fontId="23" fillId="0" borderId="144" xfId="0" applyNumberFormat="1" applyFont="1" applyBorder="1" applyAlignment="1">
      <alignment horizontal="center" vertical="center"/>
    </xf>
    <xf numFmtId="167" fontId="39" fillId="0" borderId="52" xfId="0" applyNumberFormat="1" applyFont="1" applyBorder="1" applyAlignment="1">
      <alignment horizontal="left" vertical="center"/>
    </xf>
    <xf numFmtId="4" fontId="39" fillId="0" borderId="53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166" fontId="0" fillId="0" borderId="165" xfId="0" applyNumberFormat="1" applyFont="1" applyBorder="1" applyAlignment="1">
      <alignment horizontal="righ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 applyProtection="1">
      <alignment horizontal="left" vertical="center"/>
      <protection locked="0"/>
    </xf>
    <xf numFmtId="49" fontId="4" fillId="2" borderId="41" xfId="0" applyNumberFormat="1" applyFon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166" fontId="25" fillId="0" borderId="53" xfId="0" applyNumberFormat="1" applyFont="1" applyBorder="1" applyAlignment="1">
      <alignment horizontal="right" vertical="center"/>
    </xf>
    <xf numFmtId="167" fontId="39" fillId="0" borderId="53" xfId="0" applyNumberFormat="1" applyFont="1" applyBorder="1" applyAlignment="1">
      <alignment horizontal="left" vertical="center"/>
    </xf>
    <xf numFmtId="167" fontId="39" fillId="0" borderId="54" xfId="0" applyNumberFormat="1" applyFont="1" applyBorder="1" applyAlignment="1">
      <alignment horizontal="left" vertical="center"/>
    </xf>
    <xf numFmtId="166" fontId="25" fillId="0" borderId="46" xfId="0" applyNumberFormat="1" applyFont="1" applyBorder="1" applyAlignment="1">
      <alignment horizontal="right" vertical="center"/>
    </xf>
    <xf numFmtId="166" fontId="26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9" fontId="1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horizontal="center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10" fillId="0" borderId="42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left" vertical="center"/>
    </xf>
    <xf numFmtId="4" fontId="0" fillId="0" borderId="29" xfId="0" applyNumberFormat="1" applyBorder="1" applyAlignment="1">
      <alignment horizontal="center" vertical="center"/>
    </xf>
    <xf numFmtId="3" fontId="13" fillId="2" borderId="19" xfId="0" applyNumberFormat="1" applyFont="1" applyFill="1" applyBorder="1" applyAlignment="1">
      <alignment horizontal="left" vertical="center"/>
    </xf>
    <xf numFmtId="166" fontId="25" fillId="6" borderId="86" xfId="0" applyNumberFormat="1" applyFont="1" applyFill="1" applyBorder="1" applyAlignment="1">
      <alignment horizontal="right" vertical="center"/>
    </xf>
    <xf numFmtId="166" fontId="5" fillId="0" borderId="85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left" vertical="center"/>
    </xf>
    <xf numFmtId="166" fontId="10" fillId="0" borderId="0" xfId="0" applyNumberFormat="1" applyFont="1" applyBorder="1" applyAlignment="1">
      <alignment horizontal="center" vertical="center"/>
    </xf>
    <xf numFmtId="3" fontId="3" fillId="0" borderId="149" xfId="0" applyNumberFormat="1" applyFont="1" applyFill="1" applyBorder="1" applyAlignment="1">
      <alignment horizontal="center" vertical="center"/>
    </xf>
    <xf numFmtId="9" fontId="0" fillId="0" borderId="159" xfId="0" applyNumberFormat="1" applyFont="1" applyFill="1" applyBorder="1" applyAlignment="1">
      <alignment horizontal="left" vertical="center"/>
    </xf>
    <xf numFmtId="3" fontId="3" fillId="0" borderId="31" xfId="0" applyNumberFormat="1" applyFont="1" applyBorder="1" applyAlignment="1">
      <alignment horizontal="center" vertical="center"/>
    </xf>
    <xf numFmtId="10" fontId="0" fillId="0" borderId="106" xfId="0" applyNumberFormat="1" applyFill="1" applyBorder="1" applyAlignment="1">
      <alignment horizontal="center" vertical="center"/>
    </xf>
    <xf numFmtId="166" fontId="4" fillId="0" borderId="119" xfId="0" applyNumberFormat="1" applyFont="1" applyFill="1" applyBorder="1" applyAlignment="1">
      <alignment horizontal="center" vertical="center"/>
    </xf>
    <xf numFmtId="9" fontId="14" fillId="0" borderId="17" xfId="0" applyNumberFormat="1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/>
    </xf>
    <xf numFmtId="9" fontId="14" fillId="0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1" fillId="0" borderId="99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25" fillId="0" borderId="86" xfId="0" applyNumberFormat="1" applyFont="1" applyFill="1" applyBorder="1" applyAlignment="1">
      <alignment horizontal="right" vertical="center"/>
    </xf>
    <xf numFmtId="166" fontId="16" fillId="0" borderId="19" xfId="0" applyNumberFormat="1" applyFont="1" applyFill="1" applyBorder="1" applyAlignment="1">
      <alignment horizontal="center" vertical="center"/>
    </xf>
    <xf numFmtId="3" fontId="25" fillId="0" borderId="85" xfId="0" applyNumberFormat="1" applyFon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16" fillId="0" borderId="41" xfId="0" applyNumberFormat="1" applyFont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 wrapText="1"/>
    </xf>
    <xf numFmtId="165" fontId="16" fillId="0" borderId="15" xfId="0" applyNumberFormat="1" applyFont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4" fontId="0" fillId="0" borderId="41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65" fontId="16" fillId="0" borderId="26" xfId="0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3" fontId="0" fillId="0" borderId="102" xfId="0" applyNumberFormat="1" applyBorder="1" applyAlignment="1">
      <alignment horizontal="center" vertical="center"/>
    </xf>
    <xf numFmtId="166" fontId="19" fillId="0" borderId="3" xfId="0" applyNumberFormat="1" applyFon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19" fillId="0" borderId="115" xfId="0" applyNumberFormat="1" applyFont="1" applyBorder="1" applyAlignment="1">
      <alignment horizontal="right" vertical="center"/>
    </xf>
    <xf numFmtId="165" fontId="0" fillId="0" borderId="114" xfId="0" applyNumberForma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 vertical="center"/>
    </xf>
    <xf numFmtId="165" fontId="3" fillId="0" borderId="10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16" fillId="0" borderId="25" xfId="0" applyNumberFormat="1" applyFont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5" fontId="3" fillId="0" borderId="108" xfId="0" applyNumberFormat="1" applyFont="1" applyFill="1" applyBorder="1" applyAlignment="1">
      <alignment horizontal="center" vertical="center"/>
    </xf>
    <xf numFmtId="165" fontId="3" fillId="3" borderId="168" xfId="0" applyNumberFormat="1" applyFont="1" applyFill="1" applyBorder="1" applyAlignment="1">
      <alignment horizontal="center" vertical="center"/>
    </xf>
    <xf numFmtId="166" fontId="0" fillId="0" borderId="169" xfId="0" applyNumberFormat="1" applyBorder="1" applyAlignment="1">
      <alignment horizontal="center" vertical="center"/>
    </xf>
    <xf numFmtId="166" fontId="0" fillId="0" borderId="173" xfId="0" applyNumberFormat="1" applyBorder="1" applyAlignment="1">
      <alignment horizontal="center" vertical="center"/>
    </xf>
    <xf numFmtId="164" fontId="5" fillId="0" borderId="151" xfId="0" applyNumberFormat="1" applyFont="1" applyBorder="1" applyAlignment="1">
      <alignment horizontal="center" vertical="center"/>
    </xf>
    <xf numFmtId="10" fontId="0" fillId="0" borderId="177" xfId="0" applyNumberFormat="1" applyBorder="1" applyAlignment="1">
      <alignment horizontal="center" vertical="center"/>
    </xf>
    <xf numFmtId="166" fontId="4" fillId="0" borderId="174" xfId="0" applyNumberFormat="1" applyFont="1" applyFill="1" applyBorder="1" applyAlignment="1">
      <alignment horizontal="center" vertical="center"/>
    </xf>
    <xf numFmtId="171" fontId="14" fillId="0" borderId="10" xfId="0" applyNumberFormat="1" applyFont="1" applyFill="1" applyBorder="1" applyAlignment="1">
      <alignment horizontal="center" vertical="center"/>
    </xf>
    <xf numFmtId="171" fontId="14" fillId="0" borderId="11" xfId="0" applyNumberFormat="1" applyFont="1" applyFill="1" applyBorder="1" applyAlignment="1">
      <alignment horizontal="center" vertical="center"/>
    </xf>
    <xf numFmtId="171" fontId="14" fillId="0" borderId="13" xfId="0" applyNumberFormat="1" applyFont="1" applyFill="1" applyBorder="1" applyAlignment="1">
      <alignment horizontal="center" vertical="center"/>
    </xf>
    <xf numFmtId="171" fontId="0" fillId="0" borderId="8" xfId="0" applyNumberFormat="1" applyBorder="1" applyAlignment="1">
      <alignment horizontal="center" vertical="center"/>
    </xf>
    <xf numFmtId="171" fontId="0" fillId="0" borderId="14" xfId="0" applyNumberFormat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10" fontId="14" fillId="0" borderId="72" xfId="0" applyNumberFormat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/>
    </xf>
    <xf numFmtId="166" fontId="14" fillId="0" borderId="3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164" fontId="1" fillId="0" borderId="62" xfId="0" applyNumberFormat="1" applyFont="1" applyBorder="1" applyAlignment="1">
      <alignment horizontal="center" vertical="center" wrapText="1"/>
    </xf>
    <xf numFmtId="10" fontId="1" fillId="0" borderId="63" xfId="0" applyNumberFormat="1" applyFont="1" applyBorder="1" applyAlignment="1">
      <alignment horizontal="center" vertical="center" wrapText="1"/>
    </xf>
    <xf numFmtId="166" fontId="1" fillId="0" borderId="63" xfId="0" applyNumberFormat="1" applyFont="1" applyBorder="1" applyAlignment="1">
      <alignment horizontal="center" vertical="center" wrapText="1"/>
    </xf>
    <xf numFmtId="166" fontId="29" fillId="0" borderId="6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left" vertical="center"/>
    </xf>
    <xf numFmtId="10" fontId="4" fillId="0" borderId="8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46" fillId="0" borderId="2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166" fontId="3" fillId="0" borderId="102" xfId="0" applyNumberFormat="1" applyFont="1" applyBorder="1" applyAlignment="1">
      <alignment horizontal="center" vertical="center" wrapText="1"/>
    </xf>
    <xf numFmtId="1" fontId="0" fillId="0" borderId="95" xfId="0" applyNumberFormat="1" applyFont="1" applyBorder="1" applyAlignment="1">
      <alignment horizontal="left" vertical="center"/>
    </xf>
    <xf numFmtId="164" fontId="0" fillId="0" borderId="1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164" fontId="0" fillId="0" borderId="19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164" fontId="1" fillId="0" borderId="67" xfId="0" applyNumberFormat="1" applyFont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166" fontId="45" fillId="0" borderId="0" xfId="0" applyNumberFormat="1" applyFont="1" applyBorder="1" applyAlignment="1">
      <alignment vertical="center"/>
    </xf>
    <xf numFmtId="166" fontId="4" fillId="0" borderId="27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166" fontId="0" fillId="0" borderId="180" xfId="0" applyNumberFormat="1" applyBorder="1" applyAlignment="1">
      <alignment horizontal="center" vertical="center"/>
    </xf>
    <xf numFmtId="10" fontId="0" fillId="0" borderId="175" xfId="0" applyNumberFormat="1" applyBorder="1" applyAlignment="1">
      <alignment horizontal="center" vertical="center"/>
    </xf>
    <xf numFmtId="171" fontId="0" fillId="0" borderId="181" xfId="0" applyNumberFormat="1" applyBorder="1" applyAlignment="1">
      <alignment horizontal="center" vertical="center"/>
    </xf>
    <xf numFmtId="164" fontId="5" fillId="0" borderId="176" xfId="0" applyNumberFormat="1" applyFont="1" applyBorder="1" applyAlignment="1">
      <alignment horizontal="center" vertical="center" wrapText="1"/>
    </xf>
    <xf numFmtId="166" fontId="3" fillId="0" borderId="41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164" fontId="4" fillId="2" borderId="2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 vertical="center"/>
    </xf>
    <xf numFmtId="166" fontId="4" fillId="2" borderId="24" xfId="0" applyNumberFormat="1" applyFont="1" applyFill="1" applyBorder="1" applyAlignment="1">
      <alignment horizontal="right" vertical="center"/>
    </xf>
    <xf numFmtId="164" fontId="16" fillId="0" borderId="182" xfId="0" applyNumberFormat="1" applyFont="1" applyBorder="1" applyAlignment="1">
      <alignment horizontal="righ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166" fontId="47" fillId="0" borderId="0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4" fillId="6" borderId="1" xfId="0" applyNumberFormat="1" applyFont="1" applyFill="1" applyBorder="1" applyAlignment="1">
      <alignment horizontal="center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15" fillId="0" borderId="63" xfId="0" applyNumberFormat="1" applyFont="1" applyBorder="1" applyAlignment="1">
      <alignment horizontal="center" vertical="center"/>
    </xf>
    <xf numFmtId="166" fontId="23" fillId="0" borderId="184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5" fillId="0" borderId="105" xfId="0" applyFont="1" applyFill="1" applyBorder="1" applyAlignment="1">
      <alignment horizontal="center" vertical="center"/>
    </xf>
    <xf numFmtId="3" fontId="3" fillId="0" borderId="105" xfId="0" applyNumberFormat="1" applyFont="1" applyFill="1" applyBorder="1" applyAlignment="1">
      <alignment horizontal="left" vertical="center"/>
    </xf>
    <xf numFmtId="9" fontId="0" fillId="0" borderId="161" xfId="0" applyNumberFormat="1" applyFont="1" applyFill="1" applyBorder="1" applyAlignment="1">
      <alignment horizontal="left" vertical="center"/>
    </xf>
    <xf numFmtId="166" fontId="25" fillId="0" borderId="124" xfId="0" applyNumberFormat="1" applyFont="1" applyBorder="1" applyAlignment="1">
      <alignment horizontal="right" vertical="center"/>
    </xf>
    <xf numFmtId="166" fontId="10" fillId="11" borderId="187" xfId="0" applyNumberFormat="1" applyFont="1" applyFill="1" applyBorder="1" applyAlignment="1">
      <alignment horizontal="right" vertical="center"/>
    </xf>
    <xf numFmtId="49" fontId="10" fillId="11" borderId="188" xfId="0" applyNumberFormat="1" applyFont="1" applyFill="1" applyBorder="1" applyAlignment="1">
      <alignment horizontal="left" vertical="center"/>
    </xf>
    <xf numFmtId="164" fontId="10" fillId="11" borderId="189" xfId="0" applyNumberFormat="1" applyFont="1" applyFill="1" applyBorder="1" applyAlignment="1">
      <alignment horizontal="left" vertical="center"/>
    </xf>
    <xf numFmtId="166" fontId="25" fillId="0" borderId="96" xfId="0" applyNumberFormat="1" applyFont="1" applyBorder="1" applyAlignment="1">
      <alignment horizontal="center" vertical="center" wrapText="1"/>
    </xf>
    <xf numFmtId="164" fontId="6" fillId="0" borderId="52" xfId="0" applyNumberFormat="1" applyFont="1" applyBorder="1" applyAlignment="1">
      <alignment horizontal="center" vertical="center" wrapText="1"/>
    </xf>
    <xf numFmtId="166" fontId="14" fillId="0" borderId="117" xfId="0" applyNumberFormat="1" applyFont="1" applyFill="1" applyBorder="1" applyAlignment="1">
      <alignment horizontal="center" vertical="center"/>
    </xf>
    <xf numFmtId="171" fontId="14" fillId="0" borderId="52" xfId="0" applyNumberFormat="1" applyFont="1" applyFill="1" applyBorder="1" applyAlignment="1">
      <alignment horizontal="center" vertical="center"/>
    </xf>
    <xf numFmtId="166" fontId="14" fillId="0" borderId="114" xfId="0" applyNumberFormat="1" applyFont="1" applyFill="1" applyBorder="1" applyAlignment="1">
      <alignment horizontal="center" vertical="center"/>
    </xf>
    <xf numFmtId="166" fontId="17" fillId="0" borderId="114" xfId="0" applyNumberFormat="1" applyFont="1" applyFill="1" applyBorder="1" applyAlignment="1">
      <alignment horizontal="center" vertical="center"/>
    </xf>
    <xf numFmtId="166" fontId="14" fillId="0" borderId="107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17" fillId="0" borderId="190" xfId="0" applyNumberFormat="1" applyFont="1" applyFill="1" applyBorder="1" applyAlignment="1">
      <alignment horizontal="center" vertical="center"/>
    </xf>
    <xf numFmtId="166" fontId="17" fillId="0" borderId="183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49" fontId="0" fillId="0" borderId="62" xfId="0" applyNumberFormat="1" applyBorder="1" applyAlignment="1">
      <alignment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18" fillId="5" borderId="25" xfId="0" applyNumberFormat="1" applyFont="1" applyFill="1" applyBorder="1" applyAlignment="1">
      <alignment horizontal="center" vertical="center"/>
    </xf>
    <xf numFmtId="164" fontId="18" fillId="5" borderId="26" xfId="0" applyNumberFormat="1" applyFont="1" applyFill="1" applyBorder="1" applyAlignment="1">
      <alignment horizontal="right" vertical="center"/>
    </xf>
    <xf numFmtId="3" fontId="37" fillId="5" borderId="3" xfId="0" applyNumberFormat="1" applyFont="1" applyFill="1" applyBorder="1" applyAlignment="1">
      <alignment horizontal="center" vertical="center"/>
    </xf>
    <xf numFmtId="3" fontId="53" fillId="5" borderId="1" xfId="0" applyNumberFormat="1" applyFont="1" applyFill="1" applyBorder="1" applyAlignment="1">
      <alignment horizontal="center" vertical="center"/>
    </xf>
    <xf numFmtId="164" fontId="53" fillId="5" borderId="41" xfId="0" applyNumberFormat="1" applyFont="1" applyFill="1" applyBorder="1" applyAlignment="1">
      <alignment horizontal="center" vertical="center"/>
    </xf>
    <xf numFmtId="3" fontId="53" fillId="5" borderId="25" xfId="0" applyNumberFormat="1" applyFont="1" applyFill="1" applyBorder="1" applyAlignment="1">
      <alignment horizontal="center" vertical="center"/>
    </xf>
    <xf numFmtId="3" fontId="53" fillId="5" borderId="41" xfId="0" applyNumberFormat="1" applyFont="1" applyFill="1" applyBorder="1" applyAlignment="1">
      <alignment horizontal="center" vertical="center"/>
    </xf>
    <xf numFmtId="4" fontId="55" fillId="5" borderId="44" xfId="0" applyNumberFormat="1" applyFont="1" applyFill="1" applyBorder="1" applyAlignment="1">
      <alignment horizontal="center" vertical="center"/>
    </xf>
    <xf numFmtId="166" fontId="18" fillId="5" borderId="26" xfId="0" applyNumberFormat="1" applyFont="1" applyFill="1" applyBorder="1" applyAlignment="1">
      <alignment horizontal="center" vertical="center"/>
    </xf>
    <xf numFmtId="166" fontId="37" fillId="5" borderId="19" xfId="0" applyNumberFormat="1" applyFont="1" applyFill="1" applyBorder="1" applyAlignment="1">
      <alignment horizontal="center" vertical="center"/>
    </xf>
    <xf numFmtId="166" fontId="37" fillId="5" borderId="2" xfId="0" applyNumberFormat="1" applyFont="1" applyFill="1" applyBorder="1" applyAlignment="1">
      <alignment horizontal="center" vertical="center"/>
    </xf>
    <xf numFmtId="166" fontId="37" fillId="5" borderId="15" xfId="0" applyNumberFormat="1" applyFont="1" applyFill="1" applyBorder="1" applyAlignment="1">
      <alignment horizontal="center" vertical="center"/>
    </xf>
    <xf numFmtId="166" fontId="37" fillId="5" borderId="7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1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58" fillId="0" borderId="1" xfId="0" applyNumberFormat="1" applyFont="1" applyBorder="1" applyAlignment="1">
      <alignment horizontal="left" vertical="center"/>
    </xf>
    <xf numFmtId="49" fontId="57" fillId="0" borderId="19" xfId="0" applyNumberFormat="1" applyFont="1" applyBorder="1" applyAlignment="1">
      <alignment horizontal="left" vertical="center"/>
    </xf>
    <xf numFmtId="166" fontId="57" fillId="0" borderId="2" xfId="0" applyNumberFormat="1" applyFont="1" applyBorder="1" applyAlignment="1">
      <alignment horizontal="center" vertical="center"/>
    </xf>
    <xf numFmtId="166" fontId="57" fillId="0" borderId="26" xfId="0" applyNumberFormat="1" applyFont="1" applyBorder="1" applyAlignment="1">
      <alignment horizontal="center" vertical="center"/>
    </xf>
    <xf numFmtId="164" fontId="57" fillId="0" borderId="44" xfId="0" applyNumberFormat="1" applyFont="1" applyBorder="1" applyAlignment="1">
      <alignment horizontal="center" vertical="center"/>
    </xf>
    <xf numFmtId="49" fontId="57" fillId="0" borderId="62" xfId="0" applyNumberFormat="1" applyFont="1" applyBorder="1" applyAlignment="1">
      <alignment horizontal="left" vertical="center"/>
    </xf>
    <xf numFmtId="49" fontId="57" fillId="0" borderId="1" xfId="0" applyNumberFormat="1" applyFont="1" applyBorder="1" applyAlignment="1">
      <alignment horizontal="left" vertical="center"/>
    </xf>
    <xf numFmtId="49" fontId="57" fillId="0" borderId="69" xfId="0" applyNumberFormat="1" applyFont="1" applyBorder="1" applyAlignment="1">
      <alignment horizontal="left" vertical="center"/>
    </xf>
    <xf numFmtId="166" fontId="57" fillId="0" borderId="63" xfId="0" applyNumberFormat="1" applyFont="1" applyBorder="1" applyAlignment="1">
      <alignment horizontal="center" vertical="center"/>
    </xf>
    <xf numFmtId="164" fontId="57" fillId="0" borderId="123" xfId="0" applyNumberFormat="1" applyFont="1" applyBorder="1" applyAlignment="1">
      <alignment horizontal="center" vertical="center"/>
    </xf>
    <xf numFmtId="49" fontId="57" fillId="0" borderId="41" xfId="0" applyNumberFormat="1" applyFont="1" applyBorder="1" applyAlignment="1">
      <alignment horizontal="left" vertical="center"/>
    </xf>
    <xf numFmtId="49" fontId="61" fillId="0" borderId="15" xfId="2" applyNumberFormat="1" applyBorder="1" applyAlignment="1">
      <alignment horizontal="left" vertical="center"/>
    </xf>
    <xf numFmtId="49" fontId="57" fillId="0" borderId="34" xfId="0" applyNumberFormat="1" applyFont="1" applyBorder="1" applyAlignment="1">
      <alignment horizontal="left" vertical="center"/>
    </xf>
    <xf numFmtId="49" fontId="57" fillId="0" borderId="121" xfId="0" applyNumberFormat="1" applyFont="1" applyBorder="1" applyAlignment="1">
      <alignment horizontal="left" vertical="center"/>
    </xf>
    <xf numFmtId="49" fontId="57" fillId="0" borderId="105" xfId="0" applyNumberFormat="1" applyFont="1" applyBorder="1" applyAlignment="1">
      <alignment horizontal="left" vertical="center"/>
    </xf>
    <xf numFmtId="49" fontId="61" fillId="0" borderId="67" xfId="2" applyNumberFormat="1" applyBorder="1" applyAlignment="1">
      <alignment horizontal="left" vertical="center"/>
    </xf>
    <xf numFmtId="49" fontId="59" fillId="0" borderId="117" xfId="0" applyNumberFormat="1" applyFont="1" applyBorder="1" applyAlignment="1">
      <alignment horizontal="left" vertical="center"/>
    </xf>
    <xf numFmtId="49" fontId="59" fillId="0" borderId="191" xfId="0" applyNumberFormat="1" applyFont="1" applyBorder="1" applyAlignment="1">
      <alignment horizontal="left" vertical="center"/>
    </xf>
    <xf numFmtId="49" fontId="57" fillId="0" borderId="199" xfId="0" applyNumberFormat="1" applyFont="1" applyBorder="1" applyAlignment="1">
      <alignment horizontal="left" vertical="center"/>
    </xf>
    <xf numFmtId="166" fontId="57" fillId="0" borderId="200" xfId="0" applyNumberFormat="1" applyFont="1" applyBorder="1" applyAlignment="1">
      <alignment horizontal="center" vertical="center"/>
    </xf>
    <xf numFmtId="166" fontId="57" fillId="0" borderId="136" xfId="0" applyNumberFormat="1" applyFont="1" applyBorder="1" applyAlignment="1">
      <alignment horizontal="center" vertical="center"/>
    </xf>
    <xf numFmtId="164" fontId="57" fillId="0" borderId="201" xfId="0" applyNumberFormat="1" applyFont="1" applyBorder="1" applyAlignment="1">
      <alignment horizontal="center" vertical="center"/>
    </xf>
    <xf numFmtId="49" fontId="57" fillId="0" borderId="202" xfId="0" applyNumberFormat="1" applyFont="1" applyBorder="1" applyAlignment="1">
      <alignment horizontal="left" vertical="center"/>
    </xf>
    <xf numFmtId="49" fontId="57" fillId="0" borderId="139" xfId="0" applyNumberFormat="1" applyFont="1" applyBorder="1" applyAlignment="1">
      <alignment horizontal="left" vertical="center"/>
    </xf>
    <xf numFmtId="49" fontId="57" fillId="0" borderId="203" xfId="0" applyNumberFormat="1" applyFont="1" applyBorder="1" applyAlignment="1">
      <alignment horizontal="left" vertical="center"/>
    </xf>
    <xf numFmtId="49" fontId="57" fillId="0" borderId="204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5" fillId="3" borderId="0" xfId="0" applyNumberFormat="1" applyFont="1" applyFill="1" applyAlignment="1">
      <alignment vertical="center"/>
    </xf>
    <xf numFmtId="3" fontId="0" fillId="0" borderId="0" xfId="0" applyNumberFormat="1"/>
    <xf numFmtId="0" fontId="10" fillId="0" borderId="0" xfId="0" applyFont="1" applyBorder="1" applyAlignment="1">
      <alignment horizontal="right" vertical="center"/>
    </xf>
    <xf numFmtId="164" fontId="0" fillId="3" borderId="0" xfId="0" applyNumberFormat="1" applyFill="1" applyBorder="1" applyAlignment="1">
      <alignment horizontal="left" vertical="center"/>
    </xf>
    <xf numFmtId="166" fontId="0" fillId="3" borderId="0" xfId="0" applyNumberFormat="1" applyFill="1" applyBorder="1" applyAlignment="1">
      <alignment horizontal="left" vertical="center"/>
    </xf>
    <xf numFmtId="49" fontId="10" fillId="3" borderId="29" xfId="0" applyNumberFormat="1" applyFont="1" applyFill="1" applyBorder="1" applyAlignment="1">
      <alignment horizontal="left" vertical="center"/>
    </xf>
    <xf numFmtId="49" fontId="4" fillId="0" borderId="205" xfId="0" applyNumberFormat="1" applyFont="1" applyBorder="1" applyAlignment="1">
      <alignment horizontal="left" vertical="center"/>
    </xf>
    <xf numFmtId="0" fontId="4" fillId="0" borderId="206" xfId="0" applyFont="1" applyBorder="1" applyAlignment="1">
      <alignment horizontal="left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65" fillId="0" borderId="0" xfId="0" applyNumberFormat="1" applyFont="1" applyFill="1" applyAlignment="1">
      <alignment horizontal="left" vertical="center"/>
    </xf>
    <xf numFmtId="3" fontId="66" fillId="0" borderId="0" xfId="0" applyNumberFormat="1" applyFont="1" applyFill="1" applyAlignment="1">
      <alignment horizontal="left" vertical="center"/>
    </xf>
    <xf numFmtId="3" fontId="66" fillId="0" borderId="0" xfId="0" applyNumberFormat="1" applyFont="1" applyFill="1" applyAlignment="1">
      <alignment vertical="center"/>
    </xf>
    <xf numFmtId="3" fontId="65" fillId="0" borderId="0" xfId="0" applyNumberFormat="1" applyFont="1" applyFill="1" applyAlignment="1">
      <alignment vertical="center"/>
    </xf>
    <xf numFmtId="166" fontId="4" fillId="0" borderId="163" xfId="0" applyNumberFormat="1" applyFont="1" applyFill="1" applyBorder="1" applyAlignment="1">
      <alignment horizontal="center" vertical="center"/>
    </xf>
    <xf numFmtId="171" fontId="14" fillId="0" borderId="22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49" fillId="0" borderId="30" xfId="0" applyNumberFormat="1" applyFont="1" applyFill="1" applyBorder="1" applyAlignment="1">
      <alignment horizontal="right" vertical="center"/>
    </xf>
    <xf numFmtId="166" fontId="49" fillId="0" borderId="43" xfId="0" applyNumberFormat="1" applyFont="1" applyFill="1" applyBorder="1" applyAlignment="1">
      <alignment horizontal="right" vertical="center"/>
    </xf>
    <xf numFmtId="166" fontId="49" fillId="0" borderId="44" xfId="0" applyNumberFormat="1" applyFont="1" applyFill="1" applyBorder="1" applyAlignment="1">
      <alignment horizontal="right" vertical="center"/>
    </xf>
    <xf numFmtId="166" fontId="52" fillId="0" borderId="44" xfId="0" applyNumberFormat="1" applyFont="1" applyFill="1" applyBorder="1" applyAlignment="1">
      <alignment horizontal="right" vertical="center"/>
    </xf>
    <xf numFmtId="166" fontId="49" fillId="0" borderId="45" xfId="0" applyNumberFormat="1" applyFont="1" applyFill="1" applyBorder="1" applyAlignment="1">
      <alignment horizontal="right" vertical="center"/>
    </xf>
    <xf numFmtId="166" fontId="48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center" wrapText="1"/>
    </xf>
    <xf numFmtId="166" fontId="50" fillId="0" borderId="0" xfId="0" applyNumberFormat="1" applyFont="1" applyFill="1" applyAlignment="1">
      <alignment horizontal="right" vertical="center"/>
    </xf>
    <xf numFmtId="166" fontId="50" fillId="0" borderId="0" xfId="0" applyNumberFormat="1" applyFont="1" applyAlignment="1">
      <alignment horizontal="right" vertical="center"/>
    </xf>
    <xf numFmtId="166" fontId="51" fillId="0" borderId="0" xfId="0" applyNumberFormat="1" applyFont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164" fontId="0" fillId="0" borderId="8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6" fontId="0" fillId="0" borderId="102" xfId="0" applyNumberFormat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left" vertical="center"/>
    </xf>
    <xf numFmtId="3" fontId="38" fillId="0" borderId="1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left" vertical="center"/>
    </xf>
    <xf numFmtId="14" fontId="3" fillId="0" borderId="5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8" xfId="0" applyNumberFormat="1" applyFill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 vertical="center"/>
    </xf>
    <xf numFmtId="4" fontId="15" fillId="0" borderId="207" xfId="0" applyNumberFormat="1" applyFont="1" applyBorder="1" applyAlignment="1">
      <alignment horizontal="center" vertical="center"/>
    </xf>
    <xf numFmtId="4" fontId="15" fillId="0" borderId="208" xfId="0" applyNumberFormat="1" applyFont="1" applyBorder="1" applyAlignment="1">
      <alignment horizontal="left" vertical="center"/>
    </xf>
    <xf numFmtId="4" fontId="4" fillId="0" borderId="185" xfId="0" applyNumberFormat="1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left" vertical="center"/>
    </xf>
    <xf numFmtId="0" fontId="0" fillId="0" borderId="0" xfId="0" applyFont="1" applyFill="1" applyBorder="1"/>
    <xf numFmtId="1" fontId="0" fillId="0" borderId="0" xfId="0" applyNumberFormat="1"/>
    <xf numFmtId="1" fontId="5" fillId="0" borderId="60" xfId="0" applyNumberFormat="1" applyFont="1" applyBorder="1" applyAlignment="1">
      <alignment horizontal="center" vertical="center"/>
    </xf>
    <xf numFmtId="3" fontId="57" fillId="0" borderId="23" xfId="0" applyNumberFormat="1" applyFont="1" applyBorder="1" applyAlignment="1">
      <alignment horizontal="center" vertical="center"/>
    </xf>
    <xf numFmtId="3" fontId="57" fillId="0" borderId="8" xfId="0" applyNumberFormat="1" applyFont="1" applyBorder="1" applyAlignment="1">
      <alignment horizontal="center" vertical="center"/>
    </xf>
    <xf numFmtId="164" fontId="57" fillId="0" borderId="14" xfId="0" applyNumberFormat="1" applyFont="1" applyBorder="1" applyAlignment="1">
      <alignment horizontal="center" vertical="center"/>
    </xf>
    <xf numFmtId="3" fontId="57" fillId="0" borderId="25" xfId="0" applyNumberFormat="1" applyFont="1" applyBorder="1" applyAlignment="1">
      <alignment horizontal="center" vertical="center"/>
    </xf>
    <xf numFmtId="3" fontId="57" fillId="0" borderId="2" xfId="0" applyNumberFormat="1" applyFont="1" applyBorder="1" applyAlignment="1">
      <alignment horizontal="center" vertical="center"/>
    </xf>
    <xf numFmtId="164" fontId="57" fillId="0" borderId="15" xfId="0" applyNumberFormat="1" applyFont="1" applyBorder="1" applyAlignment="1">
      <alignment horizontal="center" vertical="center"/>
    </xf>
    <xf numFmtId="166" fontId="57" fillId="0" borderId="34" xfId="0" applyNumberFormat="1" applyFont="1" applyBorder="1" applyAlignment="1">
      <alignment horizontal="center" vertical="center"/>
    </xf>
    <xf numFmtId="166" fontId="57" fillId="0" borderId="36" xfId="0" applyNumberFormat="1" applyFont="1" applyBorder="1" applyAlignment="1">
      <alignment horizontal="center" vertical="center"/>
    </xf>
    <xf numFmtId="3" fontId="38" fillId="0" borderId="37" xfId="0" applyNumberFormat="1" applyFont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center" vertical="center"/>
    </xf>
    <xf numFmtId="3" fontId="58" fillId="0" borderId="15" xfId="0" applyNumberFormat="1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5" xfId="0" applyBorder="1" applyAlignment="1">
      <alignment vertical="center"/>
    </xf>
    <xf numFmtId="1" fontId="0" fillId="0" borderId="88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" fontId="5" fillId="0" borderId="5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13" fillId="0" borderId="108" xfId="0" applyNumberFormat="1" applyFont="1" applyBorder="1" applyAlignment="1">
      <alignment vertical="center"/>
    </xf>
    <xf numFmtId="3" fontId="13" fillId="0" borderId="19" xfId="0" applyNumberFormat="1" applyFont="1" applyFill="1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left" vertical="center"/>
    </xf>
    <xf numFmtId="3" fontId="13" fillId="12" borderId="216" xfId="0" applyNumberFormat="1" applyFont="1" applyFill="1" applyBorder="1" applyAlignment="1">
      <alignment horizontal="center" vertical="center"/>
    </xf>
    <xf numFmtId="3" fontId="9" fillId="0" borderId="217" xfId="0" applyNumberFormat="1" applyFont="1" applyFill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3" fontId="68" fillId="0" borderId="68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3" fontId="68" fillId="0" borderId="37" xfId="0" applyNumberFormat="1" applyFont="1" applyBorder="1" applyAlignment="1">
      <alignment horizontal="center" vertical="center" wrapText="1"/>
    </xf>
    <xf numFmtId="3" fontId="57" fillId="0" borderId="36" xfId="0" applyNumberFormat="1" applyFont="1" applyBorder="1" applyAlignment="1">
      <alignment horizontal="center" vertical="center"/>
    </xf>
    <xf numFmtId="3" fontId="57" fillId="0" borderId="34" xfId="0" applyNumberFormat="1" applyFont="1" applyBorder="1" applyAlignment="1">
      <alignment horizontal="center" vertical="center"/>
    </xf>
    <xf numFmtId="3" fontId="57" fillId="0" borderId="104" xfId="0" applyNumberFormat="1" applyFont="1" applyBorder="1" applyAlignment="1">
      <alignment horizontal="center" vertical="center"/>
    </xf>
    <xf numFmtId="3" fontId="57" fillId="0" borderId="63" xfId="0" applyNumberFormat="1" applyFont="1" applyBorder="1" applyAlignment="1">
      <alignment horizontal="center" vertical="center"/>
    </xf>
    <xf numFmtId="164" fontId="57" fillId="0" borderId="67" xfId="0" applyNumberFormat="1" applyFont="1" applyBorder="1" applyAlignment="1">
      <alignment horizontal="center" vertical="center"/>
    </xf>
    <xf numFmtId="3" fontId="57" fillId="0" borderId="121" xfId="0" applyNumberFormat="1" applyFont="1" applyBorder="1" applyAlignment="1">
      <alignment horizontal="center" vertical="center"/>
    </xf>
    <xf numFmtId="3" fontId="57" fillId="0" borderId="69" xfId="0" applyNumberFormat="1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166" fontId="5" fillId="0" borderId="12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166" fontId="2" fillId="0" borderId="63" xfId="0" applyNumberFormat="1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166" fontId="0" fillId="0" borderId="203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162" xfId="0" applyNumberFormat="1" applyBorder="1" applyAlignment="1">
      <alignment horizontal="center" vertical="center"/>
    </xf>
    <xf numFmtId="166" fontId="0" fillId="0" borderId="142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1" fontId="0" fillId="0" borderId="197" xfId="0" applyNumberFormat="1" applyBorder="1" applyAlignment="1">
      <alignment horizontal="center" vertical="center"/>
    </xf>
    <xf numFmtId="3" fontId="0" fillId="0" borderId="196" xfId="0" applyNumberFormat="1" applyBorder="1" applyAlignment="1">
      <alignment horizontal="center" vertical="center"/>
    </xf>
    <xf numFmtId="166" fontId="0" fillId="0" borderId="219" xfId="0" applyNumberFormat="1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219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21" xfId="0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left" vertical="center"/>
    </xf>
    <xf numFmtId="166" fontId="3" fillId="0" borderId="219" xfId="0" applyNumberFormat="1" applyFont="1" applyBorder="1" applyAlignment="1">
      <alignment horizontal="center" vertical="center"/>
    </xf>
    <xf numFmtId="166" fontId="0" fillId="0" borderId="196" xfId="0" applyNumberFormat="1" applyBorder="1" applyAlignment="1">
      <alignment horizontal="center" vertical="center"/>
    </xf>
    <xf numFmtId="166" fontId="0" fillId="0" borderId="220" xfId="0" applyNumberFormat="1" applyBorder="1" applyAlignment="1">
      <alignment horizontal="center" vertical="center"/>
    </xf>
    <xf numFmtId="166" fontId="0" fillId="0" borderId="221" xfId="0" applyNumberFormat="1" applyBorder="1" applyAlignment="1">
      <alignment horizontal="center" vertical="center"/>
    </xf>
    <xf numFmtId="0" fontId="58" fillId="0" borderId="7" xfId="0" applyNumberFormat="1" applyFont="1" applyBorder="1" applyAlignment="1">
      <alignment horizontal="left" vertical="center"/>
    </xf>
    <xf numFmtId="0" fontId="58" fillId="0" borderId="1" xfId="0" applyNumberFormat="1" applyFont="1" applyBorder="1" applyAlignment="1">
      <alignment horizontal="left" vertical="center"/>
    </xf>
    <xf numFmtId="0" fontId="58" fillId="0" borderId="62" xfId="0" applyNumberFormat="1" applyFont="1" applyBorder="1" applyAlignment="1">
      <alignment horizontal="center" vertical="center"/>
    </xf>
    <xf numFmtId="166" fontId="57" fillId="0" borderId="47" xfId="0" applyNumberFormat="1" applyFont="1" applyBorder="1" applyAlignment="1">
      <alignment horizontal="center" vertical="center"/>
    </xf>
    <xf numFmtId="0" fontId="58" fillId="0" borderId="88" xfId="0" applyNumberFormat="1" applyFont="1" applyBorder="1" applyAlignment="1">
      <alignment horizontal="left" vertical="center"/>
    </xf>
    <xf numFmtId="0" fontId="58" fillId="0" borderId="4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166" fontId="57" fillId="0" borderId="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/>
    </xf>
    <xf numFmtId="3" fontId="57" fillId="0" borderId="11" xfId="0" applyNumberFormat="1" applyFont="1" applyBorder="1" applyAlignment="1">
      <alignment horizontal="center" vertical="center"/>
    </xf>
    <xf numFmtId="164" fontId="57" fillId="0" borderId="13" xfId="0" applyNumberFormat="1" applyFont="1" applyBorder="1" applyAlignment="1">
      <alignment horizontal="center" vertical="center"/>
    </xf>
    <xf numFmtId="3" fontId="57" fillId="0" borderId="47" xfId="0" applyNumberFormat="1" applyFont="1" applyBorder="1" applyAlignment="1">
      <alignment horizontal="center" vertical="center"/>
    </xf>
    <xf numFmtId="3" fontId="57" fillId="0" borderId="17" xfId="0" applyNumberFormat="1" applyFont="1" applyBorder="1" applyAlignment="1">
      <alignment horizontal="center" vertical="center"/>
    </xf>
    <xf numFmtId="3" fontId="58" fillId="0" borderId="13" xfId="0" applyNumberFormat="1" applyFont="1" applyBorder="1" applyAlignment="1">
      <alignment horizontal="center" vertical="center"/>
    </xf>
    <xf numFmtId="3" fontId="58" fillId="0" borderId="40" xfId="0" applyNumberFormat="1" applyFont="1" applyBorder="1" applyAlignment="1">
      <alignment horizontal="center" vertical="center"/>
    </xf>
    <xf numFmtId="3" fontId="58" fillId="0" borderId="41" xfId="0" applyNumberFormat="1" applyFont="1" applyBorder="1" applyAlignment="1">
      <alignment horizontal="center" vertical="center"/>
    </xf>
    <xf numFmtId="3" fontId="58" fillId="0" borderId="42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 wrapText="1"/>
    </xf>
    <xf numFmtId="164" fontId="0" fillId="0" borderId="35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164" fontId="6" fillId="0" borderId="103" xfId="0" applyNumberFormat="1" applyFont="1" applyBorder="1" applyAlignment="1">
      <alignment horizontal="center" vertical="center" wrapText="1"/>
    </xf>
    <xf numFmtId="164" fontId="21" fillId="0" borderId="150" xfId="0" applyNumberFormat="1" applyFont="1" applyBorder="1" applyAlignment="1">
      <alignment horizontal="center" vertical="center"/>
    </xf>
    <xf numFmtId="164" fontId="21" fillId="0" borderId="149" xfId="0" applyNumberFormat="1" applyFont="1" applyBorder="1" applyAlignment="1">
      <alignment horizontal="center" vertical="center"/>
    </xf>
    <xf numFmtId="164" fontId="21" fillId="0" borderId="15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0" fillId="2" borderId="7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49" fontId="0" fillId="0" borderId="117" xfId="0" applyNumberFormat="1" applyBorder="1" applyAlignment="1">
      <alignment horizontal="left" vertical="center"/>
    </xf>
    <xf numFmtId="3" fontId="58" fillId="0" borderId="95" xfId="0" applyNumberFormat="1" applyFont="1" applyBorder="1" applyAlignment="1">
      <alignment horizontal="center" vertical="center"/>
    </xf>
    <xf numFmtId="3" fontId="58" fillId="0" borderId="16" xfId="0" applyNumberFormat="1" applyFont="1" applyBorder="1" applyAlignment="1">
      <alignment horizontal="center" vertical="center"/>
    </xf>
    <xf numFmtId="165" fontId="58" fillId="0" borderId="95" xfId="0" applyNumberFormat="1" applyFont="1" applyBorder="1" applyAlignment="1">
      <alignment horizontal="center" vertical="center"/>
    </xf>
    <xf numFmtId="165" fontId="58" fillId="0" borderId="15" xfId="0" applyNumberFormat="1" applyFont="1" applyBorder="1" applyAlignment="1">
      <alignment horizontal="center" vertical="center"/>
    </xf>
    <xf numFmtId="3" fontId="68" fillId="0" borderId="81" xfId="0" applyNumberFormat="1" applyFont="1" applyBorder="1" applyAlignment="1">
      <alignment horizontal="center" vertical="center" wrapText="1"/>
    </xf>
    <xf numFmtId="3" fontId="57" fillId="0" borderId="20" xfId="0" applyNumberFormat="1" applyFont="1" applyBorder="1" applyAlignment="1">
      <alignment horizontal="center" vertical="center"/>
    </xf>
    <xf numFmtId="3" fontId="57" fillId="0" borderId="225" xfId="0" applyNumberFormat="1" applyFont="1" applyBorder="1" applyAlignment="1">
      <alignment horizontal="center" vertical="center"/>
    </xf>
    <xf numFmtId="3" fontId="57" fillId="0" borderId="73" xfId="0" applyNumberFormat="1" applyFont="1" applyBorder="1" applyAlignment="1">
      <alignment horizontal="center" vertical="center"/>
    </xf>
    <xf numFmtId="3" fontId="57" fillId="0" borderId="7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9" fontId="28" fillId="0" borderId="25" xfId="0" applyNumberFormat="1" applyFont="1" applyBorder="1" applyAlignment="1">
      <alignment horizontal="center" vertical="center"/>
    </xf>
    <xf numFmtId="166" fontId="28" fillId="0" borderId="2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9" fontId="2" fillId="0" borderId="3" xfId="0" applyNumberFormat="1" applyFont="1" applyBorder="1" applyAlignment="1">
      <alignment horizontal="left" vertical="center"/>
    </xf>
    <xf numFmtId="2" fontId="0" fillId="0" borderId="4" xfId="0" applyNumberForma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80" xfId="0" applyNumberFormat="1" applyBorder="1" applyAlignment="1">
      <alignment horizontal="center" vertical="center"/>
    </xf>
    <xf numFmtId="166" fontId="1" fillId="0" borderId="142" xfId="0" applyNumberFormat="1" applyFont="1" applyBorder="1" applyAlignment="1">
      <alignment horizontal="left" vertical="center" wrapText="1"/>
    </xf>
    <xf numFmtId="164" fontId="0" fillId="0" borderId="89" xfId="0" applyNumberFormat="1" applyBorder="1" applyAlignment="1">
      <alignment horizontal="center" vertical="center"/>
    </xf>
    <xf numFmtId="164" fontId="0" fillId="0" borderId="102" xfId="0" applyNumberFormat="1" applyBorder="1" applyAlignment="1">
      <alignment horizontal="center" vertical="center"/>
    </xf>
    <xf numFmtId="166" fontId="3" fillId="8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left" vertical="center"/>
    </xf>
    <xf numFmtId="166" fontId="0" fillId="6" borderId="26" xfId="0" applyNumberFormat="1" applyFill="1" applyBorder="1" applyAlignment="1">
      <alignment horizontal="right" vertical="center"/>
    </xf>
    <xf numFmtId="166" fontId="4" fillId="6" borderId="26" xfId="0" applyNumberFormat="1" applyFont="1" applyFill="1" applyBorder="1" applyAlignment="1">
      <alignment horizontal="right" vertical="center"/>
    </xf>
    <xf numFmtId="166" fontId="0" fillId="6" borderId="24" xfId="0" applyNumberFormat="1" applyFill="1" applyBorder="1" applyAlignment="1">
      <alignment horizontal="right" vertical="center"/>
    </xf>
    <xf numFmtId="4" fontId="3" fillId="0" borderId="0" xfId="0" applyNumberFormat="1" applyFont="1" applyAlignment="1">
      <alignment horizontal="left" vertical="center"/>
    </xf>
    <xf numFmtId="1" fontId="0" fillId="0" borderId="0" xfId="0" applyNumberFormat="1" applyFont="1" applyFill="1" applyBorder="1"/>
    <xf numFmtId="3" fontId="53" fillId="13" borderId="23" xfId="0" applyNumberFormat="1" applyFont="1" applyFill="1" applyBorder="1" applyAlignment="1">
      <alignment horizontal="center" vertical="center"/>
    </xf>
    <xf numFmtId="3" fontId="53" fillId="13" borderId="40" xfId="0" applyNumberFormat="1" applyFont="1" applyFill="1" applyBorder="1" applyAlignment="1">
      <alignment horizontal="center" vertical="center"/>
    </xf>
    <xf numFmtId="3" fontId="53" fillId="13" borderId="25" xfId="0" applyNumberFormat="1" applyFont="1" applyFill="1" applyBorder="1" applyAlignment="1">
      <alignment horizontal="center" vertical="center"/>
    </xf>
    <xf numFmtId="3" fontId="53" fillId="13" borderId="41" xfId="0" applyNumberFormat="1" applyFont="1" applyFill="1" applyBorder="1" applyAlignment="1">
      <alignment horizontal="center" vertical="center"/>
    </xf>
    <xf numFmtId="3" fontId="37" fillId="13" borderId="3" xfId="0" applyNumberFormat="1" applyFont="1" applyFill="1" applyBorder="1" applyAlignment="1">
      <alignment horizontal="center" vertical="center"/>
    </xf>
    <xf numFmtId="3" fontId="53" fillId="13" borderId="1" xfId="0" applyNumberFormat="1" applyFont="1" applyFill="1" applyBorder="1" applyAlignment="1">
      <alignment horizontal="center" vertical="center"/>
    </xf>
    <xf numFmtId="164" fontId="53" fillId="13" borderId="41" xfId="0" applyNumberFormat="1" applyFont="1" applyFill="1" applyBorder="1" applyAlignment="1">
      <alignment horizontal="center" vertical="center"/>
    </xf>
    <xf numFmtId="164" fontId="37" fillId="13" borderId="26" xfId="0" applyNumberFormat="1" applyFont="1" applyFill="1" applyBorder="1" applyAlignment="1">
      <alignment horizontal="center" vertical="center"/>
    </xf>
    <xf numFmtId="3" fontId="37" fillId="13" borderId="9" xfId="0" applyNumberFormat="1" applyFont="1" applyFill="1" applyBorder="1" applyAlignment="1">
      <alignment horizontal="center" vertical="center"/>
    </xf>
    <xf numFmtId="3" fontId="53" fillId="13" borderId="7" xfId="0" applyNumberFormat="1" applyFont="1" applyFill="1" applyBorder="1" applyAlignment="1">
      <alignment horizontal="center" vertical="center"/>
    </xf>
    <xf numFmtId="164" fontId="53" fillId="13" borderId="40" xfId="0" applyNumberFormat="1" applyFont="1" applyFill="1" applyBorder="1" applyAlignment="1">
      <alignment horizontal="center" vertical="center"/>
    </xf>
    <xf numFmtId="164" fontId="37" fillId="13" borderId="2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" fillId="0" borderId="0" xfId="0" applyFont="1"/>
    <xf numFmtId="3" fontId="21" fillId="0" borderId="1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0" fillId="0" borderId="124" xfId="0" applyNumberForma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4" fillId="0" borderId="226" xfId="0" applyNumberFormat="1" applyFont="1" applyBorder="1" applyAlignment="1">
      <alignment horizontal="center" vertical="center"/>
    </xf>
    <xf numFmtId="0" fontId="4" fillId="0" borderId="213" xfId="0" applyNumberFormat="1" applyFont="1" applyBorder="1" applyAlignment="1">
      <alignment horizontal="center" vertical="center"/>
    </xf>
    <xf numFmtId="0" fontId="0" fillId="0" borderId="226" xfId="0" applyNumberFormat="1" applyBorder="1" applyAlignment="1">
      <alignment horizontal="center" vertical="center"/>
    </xf>
    <xf numFmtId="0" fontId="0" fillId="0" borderId="213" xfId="0" applyNumberFormat="1" applyBorder="1" applyAlignment="1">
      <alignment horizontal="center" vertical="center"/>
    </xf>
    <xf numFmtId="0" fontId="0" fillId="0" borderId="227" xfId="0" applyNumberFormat="1" applyBorder="1" applyAlignment="1">
      <alignment horizontal="center" vertical="center"/>
    </xf>
    <xf numFmtId="0" fontId="0" fillId="0" borderId="228" xfId="0" applyNumberFormat="1" applyBorder="1" applyAlignment="1">
      <alignment horizontal="center" vertical="center"/>
    </xf>
    <xf numFmtId="0" fontId="16" fillId="0" borderId="226" xfId="0" applyNumberFormat="1" applyFont="1" applyBorder="1" applyAlignment="1">
      <alignment horizontal="center" vertical="center"/>
    </xf>
    <xf numFmtId="0" fontId="16" fillId="0" borderId="213" xfId="0" applyNumberFormat="1" applyFont="1" applyBorder="1" applyAlignment="1">
      <alignment horizontal="center" vertical="center"/>
    </xf>
    <xf numFmtId="0" fontId="0" fillId="0" borderId="226" xfId="0" applyNumberFormat="1" applyFill="1" applyBorder="1" applyAlignment="1">
      <alignment horizontal="center" vertical="center"/>
    </xf>
    <xf numFmtId="0" fontId="0" fillId="0" borderId="213" xfId="0" applyNumberFormat="1" applyFill="1" applyBorder="1" applyAlignment="1">
      <alignment horizontal="center" vertical="center"/>
    </xf>
    <xf numFmtId="0" fontId="0" fillId="0" borderId="166" xfId="0" applyNumberFormat="1" applyBorder="1" applyAlignment="1">
      <alignment horizontal="center" vertical="center"/>
    </xf>
    <xf numFmtId="0" fontId="0" fillId="0" borderId="165" xfId="0" applyNumberFormat="1" applyBorder="1" applyAlignment="1">
      <alignment horizontal="center" vertical="center"/>
    </xf>
    <xf numFmtId="3" fontId="21" fillId="6" borderId="25" xfId="0" applyNumberFormat="1" applyFont="1" applyFill="1" applyBorder="1" applyAlignment="1">
      <alignment horizontal="center" vertical="center"/>
    </xf>
    <xf numFmtId="3" fontId="21" fillId="6" borderId="41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164" fontId="21" fillId="6" borderId="41" xfId="0" applyNumberFormat="1" applyFon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14" borderId="19" xfId="0" applyNumberFormat="1" applyFill="1" applyBorder="1" applyAlignment="1">
      <alignment horizontal="center" vertical="center"/>
    </xf>
    <xf numFmtId="166" fontId="0" fillId="14" borderId="26" xfId="0" applyNumberFormat="1" applyFill="1" applyBorder="1" applyAlignment="1">
      <alignment horizontal="right" vertical="center"/>
    </xf>
    <xf numFmtId="166" fontId="0" fillId="0" borderId="26" xfId="0" applyNumberFormat="1" applyFill="1" applyBorder="1" applyAlignment="1">
      <alignment horizontal="right" vertical="center"/>
    </xf>
    <xf numFmtId="3" fontId="22" fillId="0" borderId="25" xfId="0" applyNumberFormat="1" applyFont="1" applyFill="1" applyBorder="1" applyAlignment="1">
      <alignment horizontal="center" vertical="center"/>
    </xf>
    <xf numFmtId="3" fontId="22" fillId="0" borderId="41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164" fontId="22" fillId="0" borderId="41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7" xfId="0" applyBorder="1" applyAlignment="1">
      <alignment vertical="center"/>
    </xf>
    <xf numFmtId="1" fontId="0" fillId="0" borderId="62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top" wrapText="1"/>
    </xf>
    <xf numFmtId="4" fontId="28" fillId="2" borderId="41" xfId="0" applyNumberFormat="1" applyFont="1" applyFill="1" applyBorder="1" applyAlignment="1">
      <alignment horizontal="center" vertical="center"/>
    </xf>
    <xf numFmtId="166" fontId="28" fillId="2" borderId="26" xfId="0" applyNumberFormat="1" applyFont="1" applyFill="1" applyBorder="1" applyAlignment="1">
      <alignment horizontal="right" vertical="center"/>
    </xf>
    <xf numFmtId="167" fontId="28" fillId="2" borderId="1" xfId="0" applyNumberFormat="1" applyFont="1" applyFill="1" applyBorder="1" applyAlignment="1">
      <alignment horizontal="left" vertical="center"/>
    </xf>
    <xf numFmtId="164" fontId="0" fillId="2" borderId="226" xfId="0" applyNumberForma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left" vertical="center"/>
    </xf>
    <xf numFmtId="0" fontId="4" fillId="0" borderId="26" xfId="0" applyNumberFormat="1" applyFont="1" applyFill="1" applyBorder="1" applyAlignment="1">
      <alignment vertical="center"/>
    </xf>
    <xf numFmtId="0" fontId="0" fillId="0" borderId="26" xfId="0" applyNumberFormat="1" applyFill="1" applyBorder="1" applyAlignment="1">
      <alignment vertical="center"/>
    </xf>
    <xf numFmtId="0" fontId="0" fillId="0" borderId="120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4" fillId="0" borderId="0" xfId="0" applyFont="1"/>
    <xf numFmtId="164" fontId="72" fillId="6" borderId="2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166" fontId="73" fillId="0" borderId="26" xfId="0" applyNumberFormat="1" applyFont="1" applyBorder="1" applyAlignment="1">
      <alignment horizontal="center" vertical="center"/>
    </xf>
    <xf numFmtId="164" fontId="73" fillId="0" borderId="44" xfId="0" applyNumberFormat="1" applyFont="1" applyBorder="1" applyAlignment="1">
      <alignment horizontal="center" vertical="center"/>
    </xf>
    <xf numFmtId="49" fontId="73" fillId="0" borderId="19" xfId="0" applyNumberFormat="1" applyFont="1" applyBorder="1" applyAlignment="1">
      <alignment horizontal="left" vertical="center"/>
    </xf>
    <xf numFmtId="49" fontId="73" fillId="0" borderId="41" xfId="0" applyNumberFormat="1" applyFont="1" applyBorder="1" applyAlignment="1">
      <alignment horizontal="left" vertical="center"/>
    </xf>
    <xf numFmtId="49" fontId="74" fillId="0" borderId="15" xfId="2" applyNumberFormat="1" applyFont="1" applyBorder="1" applyAlignment="1">
      <alignment horizontal="left" vertical="center"/>
    </xf>
    <xf numFmtId="49" fontId="73" fillId="0" borderId="121" xfId="0" applyNumberFormat="1" applyFont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49" fontId="73" fillId="0" borderId="1" xfId="0" applyNumberFormat="1" applyFont="1" applyBorder="1" applyAlignment="1">
      <alignment horizontal="left" vertical="center"/>
    </xf>
    <xf numFmtId="166" fontId="7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3" fillId="0" borderId="3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0" fillId="0" borderId="114" xfId="0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229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159" xfId="0" applyNumberFormat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5" fillId="0" borderId="230" xfId="0" applyNumberFormat="1" applyFont="1" applyBorder="1" applyAlignment="1">
      <alignment horizontal="center" vertical="center" wrapText="1"/>
    </xf>
    <xf numFmtId="3" fontId="0" fillId="0" borderId="78" xfId="0" applyNumberFormat="1" applyBorder="1" applyAlignment="1">
      <alignment horizontal="center" vertical="center" wrapText="1"/>
    </xf>
    <xf numFmtId="3" fontId="0" fillId="0" borderId="76" xfId="0" applyNumberFormat="1" applyBorder="1" applyAlignment="1">
      <alignment horizontal="center" vertical="center" wrapText="1"/>
    </xf>
    <xf numFmtId="3" fontId="0" fillId="0" borderId="77" xfId="0" applyNumberFormat="1" applyBorder="1" applyAlignment="1">
      <alignment horizontal="center" vertical="center" wrapText="1"/>
    </xf>
    <xf numFmtId="164" fontId="76" fillId="2" borderId="1" xfId="0" applyNumberFormat="1" applyFont="1" applyFill="1" applyBorder="1" applyAlignment="1">
      <alignment horizontal="left" vertical="center"/>
    </xf>
    <xf numFmtId="4" fontId="72" fillId="6" borderId="41" xfId="0" applyNumberFormat="1" applyFont="1" applyFill="1" applyBorder="1" applyAlignment="1">
      <alignment horizontal="center" vertical="center"/>
    </xf>
    <xf numFmtId="166" fontId="72" fillId="6" borderId="2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166" fontId="4" fillId="0" borderId="2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vertical="center"/>
    </xf>
    <xf numFmtId="166" fontId="16" fillId="0" borderId="2" xfId="0" applyNumberFormat="1" applyFont="1" applyFill="1" applyBorder="1" applyAlignment="1">
      <alignment horizontal="right" vertical="center"/>
    </xf>
    <xf numFmtId="169" fontId="14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9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66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169" fontId="14" fillId="0" borderId="8" xfId="0" applyNumberFormat="1" applyFont="1" applyBorder="1" applyAlignment="1">
      <alignment horizontal="center" vertical="center"/>
    </xf>
    <xf numFmtId="166" fontId="1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3" fontId="8" fillId="0" borderId="59" xfId="0" applyNumberFormat="1" applyFont="1" applyBorder="1" applyAlignment="1">
      <alignment horizontal="center" vertical="center" wrapText="1"/>
    </xf>
    <xf numFmtId="4" fontId="8" fillId="0" borderId="83" xfId="0" applyNumberFormat="1" applyFon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/>
    </xf>
    <xf numFmtId="169" fontId="14" fillId="0" borderId="63" xfId="0" applyNumberFormat="1" applyFont="1" applyBorder="1" applyAlignment="1">
      <alignment horizontal="center" vertical="center"/>
    </xf>
    <xf numFmtId="166" fontId="14" fillId="0" borderId="6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63" xfId="0" applyFont="1" applyBorder="1" applyAlignment="1">
      <alignment horizontal="right" vertical="center"/>
    </xf>
    <xf numFmtId="0" fontId="3" fillId="0" borderId="89" xfId="0" applyFont="1" applyBorder="1" applyAlignment="1">
      <alignment vertical="center"/>
    </xf>
    <xf numFmtId="166" fontId="14" fillId="0" borderId="89" xfId="0" applyNumberFormat="1" applyFont="1" applyFill="1" applyBorder="1" applyAlignment="1">
      <alignment horizontal="center" vertical="center"/>
    </xf>
    <xf numFmtId="3" fontId="3" fillId="0" borderId="89" xfId="0" applyNumberFormat="1" applyFont="1" applyBorder="1" applyAlignment="1">
      <alignment horizontal="center" vertical="center"/>
    </xf>
    <xf numFmtId="4" fontId="3" fillId="0" borderId="89" xfId="0" applyNumberFormat="1" applyFont="1" applyBorder="1" applyAlignment="1">
      <alignment horizontal="center" vertical="center"/>
    </xf>
    <xf numFmtId="4" fontId="14" fillId="0" borderId="89" xfId="0" applyNumberFormat="1" applyFont="1" applyBorder="1" applyAlignment="1">
      <alignment horizontal="right" vertical="center"/>
    </xf>
    <xf numFmtId="165" fontId="3" fillId="0" borderId="89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6" fontId="17" fillId="0" borderId="2" xfId="0" applyNumberFormat="1" applyFont="1" applyBorder="1" applyAlignment="1">
      <alignment horizontal="left" vertical="center"/>
    </xf>
    <xf numFmtId="166" fontId="14" fillId="0" borderId="2" xfId="0" applyNumberFormat="1" applyFont="1" applyBorder="1" applyAlignment="1">
      <alignment horizontal="left" vertical="center"/>
    </xf>
    <xf numFmtId="2" fontId="78" fillId="8" borderId="62" xfId="0" applyNumberFormat="1" applyFont="1" applyFill="1" applyBorder="1" applyAlignment="1">
      <alignment vertical="center"/>
    </xf>
    <xf numFmtId="0" fontId="78" fillId="8" borderId="63" xfId="0" applyNumberFormat="1" applyFont="1" applyFill="1" applyBorder="1" applyAlignment="1">
      <alignment vertical="center"/>
    </xf>
    <xf numFmtId="164" fontId="78" fillId="8" borderId="63" xfId="0" applyNumberFormat="1" applyFont="1" applyFill="1" applyBorder="1" applyAlignment="1">
      <alignment horizontal="center" vertical="center"/>
    </xf>
    <xf numFmtId="168" fontId="78" fillId="8" borderId="63" xfId="0" applyNumberFormat="1" applyFont="1" applyFill="1" applyBorder="1" applyAlignment="1">
      <alignment horizontal="center" vertical="center"/>
    </xf>
    <xf numFmtId="3" fontId="78" fillId="8" borderId="63" xfId="0" applyNumberFormat="1" applyFont="1" applyFill="1" applyBorder="1" applyAlignment="1">
      <alignment horizontal="center" vertical="center"/>
    </xf>
    <xf numFmtId="169" fontId="77" fillId="8" borderId="63" xfId="0" applyNumberFormat="1" applyFont="1" applyFill="1" applyBorder="1" applyAlignment="1">
      <alignment horizontal="center" vertical="center"/>
    </xf>
    <xf numFmtId="166" fontId="77" fillId="8" borderId="63" xfId="0" applyNumberFormat="1" applyFont="1" applyFill="1" applyBorder="1" applyAlignment="1">
      <alignment horizontal="center" vertical="center"/>
    </xf>
    <xf numFmtId="4" fontId="78" fillId="8" borderId="63" xfId="0" applyNumberFormat="1" applyFont="1" applyFill="1" applyBorder="1" applyAlignment="1">
      <alignment horizontal="center" vertical="center"/>
    </xf>
    <xf numFmtId="4" fontId="78" fillId="8" borderId="63" xfId="0" applyNumberFormat="1" applyFont="1" applyFill="1" applyBorder="1" applyAlignment="1">
      <alignment horizontal="right" vertical="center"/>
    </xf>
    <xf numFmtId="166" fontId="78" fillId="8" borderId="63" xfId="0" applyNumberFormat="1" applyFont="1" applyFill="1" applyBorder="1" applyAlignment="1">
      <alignment horizontal="center" vertical="center"/>
    </xf>
    <xf numFmtId="0" fontId="78" fillId="8" borderId="0" xfId="0" applyFont="1" applyFill="1" applyAlignment="1">
      <alignment vertical="center"/>
    </xf>
    <xf numFmtId="169" fontId="78" fillId="8" borderId="63" xfId="0" applyNumberFormat="1" applyFont="1" applyFill="1" applyBorder="1" applyAlignment="1">
      <alignment horizontal="center" vertical="center"/>
    </xf>
    <xf numFmtId="169" fontId="78" fillId="8" borderId="62" xfId="0" applyNumberFormat="1" applyFont="1" applyFill="1" applyBorder="1" applyAlignment="1">
      <alignment horizontal="center" vertical="center"/>
    </xf>
    <xf numFmtId="169" fontId="0" fillId="0" borderId="62" xfId="0" applyNumberForma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6" fontId="3" fillId="0" borderId="89" xfId="0" applyNumberFormat="1" applyFont="1" applyBorder="1" applyAlignment="1">
      <alignment horizontal="center" vertical="center"/>
    </xf>
    <xf numFmtId="3" fontId="3" fillId="0" borderId="88" xfId="0" applyNumberFormat="1" applyFont="1" applyBorder="1" applyAlignment="1">
      <alignment horizontal="center" vertical="center"/>
    </xf>
    <xf numFmtId="3" fontId="3" fillId="0" borderId="10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4" fontId="3" fillId="0" borderId="108" xfId="0" applyNumberFormat="1" applyFont="1" applyBorder="1" applyAlignment="1">
      <alignment horizontal="center" vertical="center"/>
    </xf>
    <xf numFmtId="4" fontId="78" fillId="8" borderId="105" xfId="0" applyNumberFormat="1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14" fillId="0" borderId="88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166" fontId="78" fillId="8" borderId="67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6" fontId="14" fillId="0" borderId="88" xfId="0" applyNumberFormat="1" applyFont="1" applyFill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102" xfId="0" applyNumberFormat="1" applyFont="1" applyBorder="1" applyAlignment="1">
      <alignment horizontal="center" vertical="center"/>
    </xf>
    <xf numFmtId="166" fontId="4" fillId="0" borderId="62" xfId="0" applyNumberFormat="1" applyFont="1" applyBorder="1" applyAlignment="1">
      <alignment horizontal="right" vertical="center"/>
    </xf>
    <xf numFmtId="166" fontId="0" fillId="0" borderId="63" xfId="0" applyNumberFormat="1" applyBorder="1" applyAlignment="1">
      <alignment vertical="center"/>
    </xf>
    <xf numFmtId="3" fontId="0" fillId="0" borderId="8" xfId="0" applyNumberFormat="1" applyFont="1" applyBorder="1" applyAlignment="1">
      <alignment horizontal="center" vertical="center"/>
    </xf>
    <xf numFmtId="169" fontId="4" fillId="0" borderId="8" xfId="0" applyNumberFormat="1" applyFont="1" applyBorder="1" applyAlignment="1">
      <alignment horizontal="center" vertical="center"/>
    </xf>
    <xf numFmtId="3" fontId="0" fillId="0" borderId="89" xfId="0" applyNumberFormat="1" applyFont="1" applyBorder="1" applyAlignment="1">
      <alignment horizontal="center" vertical="center"/>
    </xf>
    <xf numFmtId="4" fontId="0" fillId="0" borderId="108" xfId="0" applyNumberFormat="1" applyFont="1" applyBorder="1" applyAlignment="1">
      <alignment horizontal="center" vertical="center"/>
    </xf>
    <xf numFmtId="166" fontId="0" fillId="0" borderId="95" xfId="0" applyNumberFormat="1" applyFont="1" applyBorder="1" applyAlignment="1">
      <alignment horizontal="center" vertical="center"/>
    </xf>
    <xf numFmtId="166" fontId="0" fillId="0" borderId="89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wrapText="1"/>
    </xf>
    <xf numFmtId="164" fontId="6" fillId="0" borderId="109" xfId="0" applyNumberFormat="1" applyFont="1" applyBorder="1" applyAlignment="1">
      <alignment horizontal="center" vertical="top" wrapText="1"/>
    </xf>
    <xf numFmtId="3" fontId="77" fillId="8" borderId="64" xfId="0" applyNumberFormat="1" applyFont="1" applyFill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166" fontId="77" fillId="8" borderId="64" xfId="0" applyNumberFormat="1" applyFont="1" applyFill="1" applyBorder="1" applyAlignment="1">
      <alignment horizontal="center" vertical="center"/>
    </xf>
    <xf numFmtId="166" fontId="3" fillId="0" borderId="64" xfId="0" applyNumberFormat="1" applyFont="1" applyBorder="1" applyAlignment="1">
      <alignment vertical="center"/>
    </xf>
    <xf numFmtId="169" fontId="3" fillId="0" borderId="0" xfId="0" applyNumberFormat="1" applyFont="1" applyAlignment="1">
      <alignment horizontal="left" vertical="center"/>
    </xf>
    <xf numFmtId="4" fontId="4" fillId="0" borderId="88" xfId="0" applyNumberFormat="1" applyFont="1" applyBorder="1" applyAlignment="1">
      <alignment horizontal="center" vertical="center"/>
    </xf>
    <xf numFmtId="166" fontId="4" fillId="0" borderId="88" xfId="0" applyNumberFormat="1" applyFont="1" applyFill="1" applyBorder="1" applyAlignment="1">
      <alignment horizontal="center" vertical="center"/>
    </xf>
    <xf numFmtId="4" fontId="78" fillId="8" borderId="62" xfId="0" applyNumberFormat="1" applyFont="1" applyFill="1" applyBorder="1" applyAlignment="1">
      <alignment horizontal="center" vertical="center"/>
    </xf>
    <xf numFmtId="166" fontId="78" fillId="8" borderId="62" xfId="0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77" fillId="8" borderId="67" xfId="0" applyNumberFormat="1" applyFont="1" applyFill="1" applyBorder="1" applyAlignment="1">
      <alignment horizontal="center" vertical="center"/>
    </xf>
    <xf numFmtId="166" fontId="14" fillId="0" borderId="67" xfId="0" applyNumberFormat="1" applyFont="1" applyBorder="1" applyAlignment="1">
      <alignment horizontal="center" vertical="center"/>
    </xf>
    <xf numFmtId="166" fontId="14" fillId="0" borderId="95" xfId="0" applyNumberFormat="1" applyFont="1" applyFill="1" applyBorder="1" applyAlignment="1">
      <alignment horizontal="center" vertical="center"/>
    </xf>
    <xf numFmtId="3" fontId="77" fillId="8" borderId="62" xfId="0" applyNumberFormat="1" applyFont="1" applyFill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3" fontId="77" fillId="8" borderId="63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4" fontId="3" fillId="0" borderId="102" xfId="0" applyNumberFormat="1" applyFont="1" applyBorder="1" applyAlignment="1">
      <alignment horizontal="center" vertical="center"/>
    </xf>
    <xf numFmtId="2" fontId="15" fillId="9" borderId="62" xfId="0" applyNumberFormat="1" applyFont="1" applyFill="1" applyBorder="1" applyAlignment="1">
      <alignment vertical="center"/>
    </xf>
    <xf numFmtId="0" fontId="15" fillId="9" borderId="63" xfId="0" applyNumberFormat="1" applyFont="1" applyFill="1" applyBorder="1" applyAlignment="1">
      <alignment vertical="center"/>
    </xf>
    <xf numFmtId="169" fontId="15" fillId="9" borderId="63" xfId="0" applyNumberFormat="1" applyFont="1" applyFill="1" applyBorder="1" applyAlignment="1">
      <alignment horizontal="center" vertical="center"/>
    </xf>
    <xf numFmtId="168" fontId="15" fillId="9" borderId="63" xfId="0" applyNumberFormat="1" applyFont="1" applyFill="1" applyBorder="1" applyAlignment="1">
      <alignment horizontal="center" vertical="center"/>
    </xf>
    <xf numFmtId="3" fontId="15" fillId="9" borderId="63" xfId="0" applyNumberFormat="1" applyFont="1" applyFill="1" applyBorder="1" applyAlignment="1">
      <alignment horizontal="center" vertical="center"/>
    </xf>
    <xf numFmtId="169" fontId="23" fillId="9" borderId="63" xfId="0" applyNumberFormat="1" applyFont="1" applyFill="1" applyBorder="1" applyAlignment="1">
      <alignment horizontal="center" vertical="center"/>
    </xf>
    <xf numFmtId="166" fontId="23" fillId="9" borderId="63" xfId="0" applyNumberFormat="1" applyFont="1" applyFill="1" applyBorder="1" applyAlignment="1">
      <alignment horizontal="center" vertical="center"/>
    </xf>
    <xf numFmtId="4" fontId="15" fillId="9" borderId="63" xfId="0" applyNumberFormat="1" applyFont="1" applyFill="1" applyBorder="1" applyAlignment="1">
      <alignment horizontal="center" vertical="center"/>
    </xf>
    <xf numFmtId="4" fontId="15" fillId="9" borderId="63" xfId="0" applyNumberFormat="1" applyFont="1" applyFill="1" applyBorder="1" applyAlignment="1">
      <alignment horizontal="right" vertical="center"/>
    </xf>
    <xf numFmtId="166" fontId="15" fillId="9" borderId="63" xfId="0" applyNumberFormat="1" applyFont="1" applyFill="1" applyBorder="1" applyAlignment="1">
      <alignment horizontal="center" vertical="center"/>
    </xf>
    <xf numFmtId="0" fontId="15" fillId="9" borderId="0" xfId="0" applyFont="1" applyFill="1" applyAlignment="1">
      <alignment vertical="center"/>
    </xf>
    <xf numFmtId="169" fontId="15" fillId="9" borderId="62" xfId="0" applyNumberFormat="1" applyFont="1" applyFill="1" applyBorder="1" applyAlignment="1">
      <alignment horizontal="center" vertical="center"/>
    </xf>
    <xf numFmtId="164" fontId="15" fillId="9" borderId="63" xfId="0" applyNumberFormat="1" applyFont="1" applyFill="1" applyBorder="1" applyAlignment="1">
      <alignment horizontal="center" vertical="center"/>
    </xf>
    <xf numFmtId="166" fontId="23" fillId="9" borderId="67" xfId="0" applyNumberFormat="1" applyFont="1" applyFill="1" applyBorder="1" applyAlignment="1">
      <alignment horizontal="center" vertical="center"/>
    </xf>
    <xf numFmtId="3" fontId="23" fillId="9" borderId="62" xfId="0" applyNumberFormat="1" applyFont="1" applyFill="1" applyBorder="1" applyAlignment="1">
      <alignment horizontal="center" vertical="center"/>
    </xf>
    <xf numFmtId="3" fontId="23" fillId="9" borderId="63" xfId="0" applyNumberFormat="1" applyFont="1" applyFill="1" applyBorder="1" applyAlignment="1">
      <alignment horizontal="center" vertical="center"/>
    </xf>
    <xf numFmtId="3" fontId="23" fillId="9" borderId="64" xfId="0" applyNumberFormat="1" applyFont="1" applyFill="1" applyBorder="1" applyAlignment="1">
      <alignment horizontal="center" vertical="center"/>
    </xf>
    <xf numFmtId="4" fontId="15" fillId="9" borderId="105" xfId="0" applyNumberFormat="1" applyFont="1" applyFill="1" applyBorder="1" applyAlignment="1">
      <alignment horizontal="center" vertical="center"/>
    </xf>
    <xf numFmtId="4" fontId="15" fillId="9" borderId="62" xfId="0" applyNumberFormat="1" applyFont="1" applyFill="1" applyBorder="1" applyAlignment="1">
      <alignment horizontal="center" vertical="center"/>
    </xf>
    <xf numFmtId="166" fontId="15" fillId="9" borderId="67" xfId="0" applyNumberFormat="1" applyFont="1" applyFill="1" applyBorder="1" applyAlignment="1">
      <alignment horizontal="center" vertical="center"/>
    </xf>
    <xf numFmtId="166" fontId="15" fillId="9" borderId="62" xfId="0" applyNumberFormat="1" applyFont="1" applyFill="1" applyBorder="1" applyAlignment="1">
      <alignment horizontal="center" vertical="center"/>
    </xf>
    <xf numFmtId="166" fontId="23" fillId="9" borderId="64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66" fontId="16" fillId="0" borderId="15" xfId="0" applyNumberFormat="1" applyFont="1" applyFill="1" applyBorder="1" applyAlignment="1">
      <alignment horizontal="right" vertical="center"/>
    </xf>
    <xf numFmtId="166" fontId="4" fillId="0" borderId="15" xfId="0" applyNumberFormat="1" applyFont="1" applyFill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166" fontId="14" fillId="0" borderId="95" xfId="0" applyNumberFormat="1" applyFont="1" applyFill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78" fillId="8" borderId="3" xfId="0" applyNumberFormat="1" applyFont="1" applyFill="1" applyBorder="1" applyAlignment="1">
      <alignment horizontal="center" vertical="center"/>
    </xf>
    <xf numFmtId="166" fontId="14" fillId="0" borderId="89" xfId="0" applyNumberFormat="1" applyFont="1" applyFill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78" fillId="8" borderId="63" xfId="0" applyNumberFormat="1" applyFont="1" applyFill="1" applyBorder="1" applyAlignment="1">
      <alignment horizontal="right" vertical="center"/>
    </xf>
    <xf numFmtId="4" fontId="15" fillId="9" borderId="3" xfId="0" applyNumberFormat="1" applyFont="1" applyFill="1" applyBorder="1" applyAlignment="1">
      <alignment horizontal="center" vertical="center"/>
    </xf>
    <xf numFmtId="166" fontId="15" fillId="9" borderId="63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2" fontId="4" fillId="0" borderId="62" xfId="0" applyNumberFormat="1" applyFont="1" applyFill="1" applyBorder="1" applyAlignment="1">
      <alignment vertical="center"/>
    </xf>
    <xf numFmtId="0" fontId="4" fillId="0" borderId="63" xfId="0" applyNumberFormat="1" applyFont="1" applyFill="1" applyBorder="1" applyAlignment="1">
      <alignment vertical="center"/>
    </xf>
    <xf numFmtId="169" fontId="4" fillId="0" borderId="63" xfId="0" applyNumberFormat="1" applyFont="1" applyFill="1" applyBorder="1" applyAlignment="1">
      <alignment horizontal="center" vertical="center"/>
    </xf>
    <xf numFmtId="168" fontId="4" fillId="0" borderId="63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center" vertical="center"/>
    </xf>
    <xf numFmtId="169" fontId="14" fillId="0" borderId="63" xfId="0" applyNumberFormat="1" applyFont="1" applyFill="1" applyBorder="1" applyAlignment="1">
      <alignment horizontal="center" vertical="center"/>
    </xf>
    <xf numFmtId="166" fontId="14" fillId="0" borderId="63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right" vertical="center"/>
    </xf>
    <xf numFmtId="166" fontId="4" fillId="0" borderId="63" xfId="0" applyNumberFormat="1" applyFont="1" applyFill="1" applyBorder="1" applyAlignment="1">
      <alignment horizontal="right" vertical="center"/>
    </xf>
    <xf numFmtId="169" fontId="4" fillId="0" borderId="62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166" fontId="14" fillId="0" borderId="67" xfId="0" applyNumberFormat="1" applyFont="1" applyFill="1" applyBorder="1" applyAlignment="1">
      <alignment horizontal="center" vertical="center"/>
    </xf>
    <xf numFmtId="3" fontId="14" fillId="0" borderId="62" xfId="0" applyNumberFormat="1" applyFont="1" applyFill="1" applyBorder="1" applyAlignment="1">
      <alignment horizontal="center" vertical="center"/>
    </xf>
    <xf numFmtId="3" fontId="14" fillId="0" borderId="63" xfId="0" applyNumberFormat="1" applyFont="1" applyFill="1" applyBorder="1" applyAlignment="1">
      <alignment horizontal="center" vertical="center"/>
    </xf>
    <xf numFmtId="3" fontId="14" fillId="0" borderId="64" xfId="0" applyNumberFormat="1" applyFont="1" applyFill="1" applyBorder="1" applyAlignment="1">
      <alignment horizontal="center" vertical="center"/>
    </xf>
    <xf numFmtId="4" fontId="4" fillId="0" borderId="105" xfId="0" applyNumberFormat="1" applyFont="1" applyFill="1" applyBorder="1" applyAlignment="1">
      <alignment horizontal="center" vertical="center"/>
    </xf>
    <xf numFmtId="4" fontId="4" fillId="0" borderId="62" xfId="0" applyNumberFormat="1" applyFont="1" applyFill="1" applyBorder="1" applyAlignment="1">
      <alignment horizontal="center" vertical="center"/>
    </xf>
    <xf numFmtId="166" fontId="4" fillId="0" borderId="67" xfId="0" applyNumberFormat="1" applyFont="1" applyFill="1" applyBorder="1" applyAlignment="1">
      <alignment horizontal="center" vertical="center"/>
    </xf>
    <xf numFmtId="166" fontId="4" fillId="0" borderId="62" xfId="0" applyNumberFormat="1" applyFont="1" applyFill="1" applyBorder="1" applyAlignment="1">
      <alignment horizontal="center" vertical="center"/>
    </xf>
    <xf numFmtId="166" fontId="14" fillId="0" borderId="6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76" xfId="0" applyBorder="1" applyAlignment="1">
      <alignment vertical="center"/>
    </xf>
    <xf numFmtId="3" fontId="0" fillId="0" borderId="76" xfId="0" applyNumberForma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69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49" fontId="30" fillId="0" borderId="2" xfId="0" applyNumberFormat="1" applyFont="1" applyBorder="1" applyAlignment="1">
      <alignment vertical="center"/>
    </xf>
    <xf numFmtId="0" fontId="30" fillId="0" borderId="2" xfId="0" applyNumberFormat="1" applyFont="1" applyBorder="1" applyAlignment="1">
      <alignment horizontal="left" vertical="center"/>
    </xf>
    <xf numFmtId="164" fontId="21" fillId="0" borderId="4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6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0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14" xfId="0" applyBorder="1" applyAlignment="1">
      <alignment horizontal="center" vertical="center"/>
    </xf>
    <xf numFmtId="164" fontId="0" fillId="15" borderId="19" xfId="0" applyNumberFormat="1" applyFill="1" applyBorder="1" applyAlignment="1">
      <alignment horizontal="center" vertical="center"/>
    </xf>
    <xf numFmtId="166" fontId="0" fillId="15" borderId="26" xfId="0" applyNumberFormat="1" applyFill="1" applyBorder="1" applyAlignment="1">
      <alignment horizontal="right" vertical="center"/>
    </xf>
    <xf numFmtId="0" fontId="0" fillId="0" borderId="2" xfId="0" applyNumberFormat="1" applyFill="1" applyBorder="1" applyAlignment="1">
      <alignment horizontal="left" vertical="center"/>
    </xf>
    <xf numFmtId="166" fontId="10" fillId="3" borderId="39" xfId="0" applyNumberFormat="1" applyFont="1" applyFill="1" applyBorder="1" applyAlignment="1">
      <alignment horizontal="right"/>
    </xf>
    <xf numFmtId="166" fontId="10" fillId="3" borderId="33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5" fillId="0" borderId="116" xfId="0" applyFont="1" applyBorder="1" applyAlignment="1">
      <alignment horizontal="right" vertical="top" wrapText="1"/>
    </xf>
    <xf numFmtId="0" fontId="5" fillId="0" borderId="40" xfId="0" applyFont="1" applyBorder="1" applyAlignment="1">
      <alignment horizontal="right" vertical="top" wrapText="1"/>
    </xf>
    <xf numFmtId="0" fontId="5" fillId="0" borderId="157" xfId="0" applyFont="1" applyBorder="1" applyAlignment="1">
      <alignment horizontal="right" vertical="top" wrapText="1"/>
    </xf>
    <xf numFmtId="1" fontId="0" fillId="0" borderId="60" xfId="0" applyNumberFormat="1" applyBorder="1" applyAlignment="1">
      <alignment horizontal="center" vertical="center" textRotation="90" wrapText="1"/>
    </xf>
    <xf numFmtId="1" fontId="0" fillId="0" borderId="142" xfId="0" applyNumberFormat="1" applyBorder="1" applyAlignment="1">
      <alignment horizontal="center" vertical="center" textRotation="90" wrapText="1"/>
    </xf>
    <xf numFmtId="1" fontId="0" fillId="0" borderId="109" xfId="0" applyNumberFormat="1" applyBorder="1" applyAlignment="1">
      <alignment horizontal="center" vertical="center" textRotation="90" wrapText="1"/>
    </xf>
    <xf numFmtId="49" fontId="1" fillId="0" borderId="99" xfId="0" applyNumberFormat="1" applyFont="1" applyBorder="1" applyAlignment="1">
      <alignment horizontal="left" vertical="center" wrapText="1"/>
    </xf>
    <xf numFmtId="49" fontId="1" fillId="0" borderId="154" xfId="0" applyNumberFormat="1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83" xfId="0" applyNumberFormat="1" applyFont="1" applyBorder="1" applyAlignment="1">
      <alignment horizontal="center" vertical="center" wrapText="1"/>
    </xf>
    <xf numFmtId="165" fontId="1" fillId="0" borderId="59" xfId="0" applyNumberFormat="1" applyFont="1" applyBorder="1" applyAlignment="1">
      <alignment horizontal="center" vertical="center" wrapText="1"/>
    </xf>
    <xf numFmtId="165" fontId="1" fillId="0" borderId="83" xfId="0" applyNumberFormat="1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left" vertical="center" wrapText="1"/>
    </xf>
    <xf numFmtId="0" fontId="1" fillId="0" borderId="83" xfId="0" applyNumberFormat="1" applyFont="1" applyBorder="1" applyAlignment="1">
      <alignment horizontal="left" vertical="center" wrapText="1"/>
    </xf>
    <xf numFmtId="0" fontId="1" fillId="0" borderId="61" xfId="0" applyNumberFormat="1" applyFont="1" applyBorder="1" applyAlignment="1">
      <alignment horizontal="left" vertical="center" wrapText="1"/>
    </xf>
    <xf numFmtId="0" fontId="1" fillId="0" borderId="94" xfId="0" applyNumberFormat="1" applyFont="1" applyBorder="1" applyAlignment="1">
      <alignment horizontal="left" vertical="center" wrapText="1"/>
    </xf>
    <xf numFmtId="164" fontId="1" fillId="0" borderId="99" xfId="0" applyNumberFormat="1" applyFont="1" applyBorder="1" applyAlignment="1">
      <alignment horizontal="center" vertical="center" wrapText="1"/>
    </xf>
    <xf numFmtId="164" fontId="1" fillId="0" borderId="154" xfId="0" applyNumberFormat="1" applyFont="1" applyBorder="1" applyAlignment="1">
      <alignment horizontal="center" vertical="center" wrapText="1"/>
    </xf>
    <xf numFmtId="165" fontId="1" fillId="0" borderId="100" xfId="0" applyNumberFormat="1" applyFont="1" applyBorder="1" applyAlignment="1">
      <alignment horizontal="center" vertical="center" wrapText="1"/>
    </xf>
    <xf numFmtId="165" fontId="1" fillId="0" borderId="87" xfId="0" applyNumberFormat="1" applyFont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0" borderId="83" xfId="0" applyNumberFormat="1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center" vertical="center" wrapText="1"/>
    </xf>
    <xf numFmtId="4" fontId="1" fillId="0" borderId="10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5" fillId="0" borderId="126" xfId="0" applyNumberFormat="1" applyFont="1" applyFill="1" applyBorder="1" applyAlignment="1">
      <alignment horizontal="center" vertical="center" wrapText="1"/>
    </xf>
    <xf numFmtId="4" fontId="5" fillId="0" borderId="127" xfId="0" applyNumberFormat="1" applyFont="1" applyFill="1" applyBorder="1" applyAlignment="1">
      <alignment horizontal="center" vertical="center" wrapText="1"/>
    </xf>
    <xf numFmtId="4" fontId="5" fillId="0" borderId="84" xfId="0" applyNumberFormat="1" applyFont="1" applyFill="1" applyBorder="1" applyAlignment="1">
      <alignment horizontal="center" vertical="center" wrapText="1"/>
    </xf>
    <xf numFmtId="4" fontId="5" fillId="0" borderId="81" xfId="0" applyNumberFormat="1" applyFont="1" applyFill="1" applyBorder="1" applyAlignment="1">
      <alignment horizontal="center" vertical="center" wrapText="1"/>
    </xf>
    <xf numFmtId="4" fontId="5" fillId="0" borderId="125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 wrapText="1"/>
    </xf>
    <xf numFmtId="14" fontId="13" fillId="0" borderId="29" xfId="0" applyNumberFormat="1" applyFont="1" applyFill="1" applyBorder="1" applyAlignment="1">
      <alignment horizontal="left" vertical="center" wrapText="1"/>
    </xf>
    <xf numFmtId="0" fontId="5" fillId="0" borderId="96" xfId="0" applyNumberFormat="1" applyFont="1" applyFill="1" applyBorder="1" applyAlignment="1">
      <alignment horizontal="center" vertical="center" wrapText="1"/>
    </xf>
    <xf numFmtId="0" fontId="5" fillId="0" borderId="97" xfId="0" applyNumberFormat="1" applyFont="1" applyFill="1" applyBorder="1" applyAlignment="1">
      <alignment horizontal="center" vertical="center" wrapText="1"/>
    </xf>
    <xf numFmtId="0" fontId="5" fillId="0" borderId="98" xfId="0" applyNumberFormat="1" applyFont="1" applyFill="1" applyBorder="1" applyAlignment="1">
      <alignment horizontal="center" vertical="center" wrapText="1"/>
    </xf>
    <xf numFmtId="0" fontId="5" fillId="0" borderId="61" xfId="0" applyNumberFormat="1" applyFont="1" applyFill="1" applyBorder="1" applyAlignment="1">
      <alignment horizontal="center" vertical="center" wrapText="1"/>
    </xf>
    <xf numFmtId="0" fontId="5" fillId="0" borderId="93" xfId="0" applyNumberFormat="1" applyFont="1" applyFill="1" applyBorder="1" applyAlignment="1">
      <alignment horizontal="center" vertical="center" wrapText="1"/>
    </xf>
    <xf numFmtId="0" fontId="5" fillId="0" borderId="94" xfId="0" applyNumberFormat="1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horizontal="center" vertical="center" wrapText="1"/>
    </xf>
    <xf numFmtId="0" fontId="5" fillId="0" borderId="80" xfId="0" applyNumberFormat="1" applyFont="1" applyFill="1" applyBorder="1" applyAlignment="1">
      <alignment horizontal="center" vertical="center" wrapText="1"/>
    </xf>
    <xf numFmtId="0" fontId="5" fillId="0" borderId="83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4" fontId="5" fillId="0" borderId="85" xfId="0" applyNumberFormat="1" applyFont="1" applyFill="1" applyBorder="1" applyAlignment="1">
      <alignment horizontal="center" vertical="center" wrapText="1"/>
    </xf>
    <xf numFmtId="4" fontId="5" fillId="0" borderId="9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5" fillId="0" borderId="84" xfId="0" applyNumberFormat="1" applyFont="1" applyFill="1" applyBorder="1" applyAlignment="1">
      <alignment horizontal="center" vertical="center" wrapText="1"/>
    </xf>
    <xf numFmtId="0" fontId="5" fillId="0" borderId="81" xfId="0" applyNumberFormat="1" applyFont="1" applyFill="1" applyBorder="1" applyAlignment="1">
      <alignment horizontal="center" vertical="center" wrapText="1"/>
    </xf>
    <xf numFmtId="0" fontId="5" fillId="0" borderId="86" xfId="0" applyNumberFormat="1" applyFont="1" applyFill="1" applyBorder="1" applyAlignment="1">
      <alignment horizontal="center" vertical="center" wrapText="1"/>
    </xf>
    <xf numFmtId="0" fontId="5" fillId="0" borderId="8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24" xfId="0" applyNumberFormat="1" applyFont="1" applyFill="1" applyBorder="1" applyAlignment="1">
      <alignment horizontal="center" vertical="center" wrapText="1"/>
    </xf>
    <xf numFmtId="0" fontId="5" fillId="0" borderId="100" xfId="0" applyNumberFormat="1" applyFont="1" applyFill="1" applyBorder="1" applyAlignment="1">
      <alignment horizontal="left" vertical="center" wrapText="1"/>
    </xf>
    <xf numFmtId="0" fontId="5" fillId="0" borderId="163" xfId="0" applyNumberFormat="1" applyFont="1" applyFill="1" applyBorder="1" applyAlignment="1">
      <alignment horizontal="left" vertical="center" wrapText="1"/>
    </xf>
    <xf numFmtId="0" fontId="5" fillId="0" borderId="87" xfId="0" applyNumberFormat="1" applyFont="1" applyFill="1" applyBorder="1" applyAlignment="1">
      <alignment horizontal="left" vertical="center" wrapText="1"/>
    </xf>
    <xf numFmtId="14" fontId="3" fillId="0" borderId="29" xfId="0" applyNumberFormat="1" applyFont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69" fontId="32" fillId="0" borderId="99" xfId="0" applyNumberFormat="1" applyFont="1" applyBorder="1" applyAlignment="1">
      <alignment horizontal="center" vertical="center" wrapText="1"/>
    </xf>
    <xf numFmtId="169" fontId="32" fillId="0" borderId="154" xfId="0" applyNumberFormat="1" applyFont="1" applyBorder="1" applyAlignment="1">
      <alignment horizontal="center" vertical="center" wrapText="1"/>
    </xf>
    <xf numFmtId="166" fontId="32" fillId="0" borderId="100" xfId="0" applyNumberFormat="1" applyFont="1" applyBorder="1" applyAlignment="1">
      <alignment horizontal="center" vertical="center" wrapText="1"/>
    </xf>
    <xf numFmtId="166" fontId="32" fillId="0" borderId="87" xfId="0" applyNumberFormat="1" applyFont="1" applyBorder="1" applyAlignment="1">
      <alignment horizontal="center" vertical="center" wrapText="1"/>
    </xf>
    <xf numFmtId="169" fontId="8" fillId="0" borderId="68" xfId="0" applyNumberFormat="1" applyFont="1" applyBorder="1" applyAlignment="1">
      <alignment horizontal="center" vertical="center" wrapText="1"/>
    </xf>
    <xf numFmtId="169" fontId="8" fillId="0" borderId="141" xfId="0" applyNumberFormat="1" applyFont="1" applyBorder="1" applyAlignment="1">
      <alignment horizontal="center" vertical="center" wrapText="1"/>
    </xf>
    <xf numFmtId="169" fontId="8" fillId="0" borderId="60" xfId="0" applyNumberFormat="1" applyFont="1" applyBorder="1" applyAlignment="1">
      <alignment horizontal="left" vertical="center" wrapText="1"/>
    </xf>
    <xf numFmtId="169" fontId="8" fillId="0" borderId="109" xfId="0" applyNumberFormat="1" applyFont="1" applyBorder="1" applyAlignment="1">
      <alignment horizontal="left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164" fontId="8" fillId="0" borderId="58" xfId="0" applyNumberFormat="1" applyFont="1" applyBorder="1" applyAlignment="1">
      <alignment horizontal="center" vertical="center" wrapText="1"/>
    </xf>
    <xf numFmtId="164" fontId="8" fillId="0" borderId="82" xfId="0" applyNumberFormat="1" applyFont="1" applyBorder="1" applyAlignment="1">
      <alignment horizontal="center" vertical="center" wrapText="1"/>
    </xf>
    <xf numFmtId="164" fontId="8" fillId="0" borderId="59" xfId="0" applyNumberFormat="1" applyFont="1" applyBorder="1" applyAlignment="1">
      <alignment horizontal="center" vertical="center" wrapText="1"/>
    </xf>
    <xf numFmtId="164" fontId="8" fillId="0" borderId="83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142" xfId="0" applyFont="1" applyBorder="1" applyAlignment="1">
      <alignment horizontal="center" vertical="center" wrapText="1"/>
    </xf>
    <xf numFmtId="49" fontId="0" fillId="0" borderId="113" xfId="0" applyNumberFormat="1" applyBorder="1" applyAlignment="1">
      <alignment horizontal="right" vertical="center"/>
    </xf>
    <xf numFmtId="49" fontId="0" fillId="0" borderId="108" xfId="0" applyNumberFormat="1" applyBorder="1" applyAlignment="1">
      <alignment horizontal="right" vertical="center"/>
    </xf>
    <xf numFmtId="49" fontId="0" fillId="0" borderId="114" xfId="0" applyNumberFormat="1" applyBorder="1" applyAlignment="1">
      <alignment horizontal="right" vertical="center"/>
    </xf>
    <xf numFmtId="49" fontId="0" fillId="0" borderId="41" xfId="0" applyNumberFormat="1" applyBorder="1" applyAlignment="1">
      <alignment horizontal="right" vertical="center"/>
    </xf>
    <xf numFmtId="9" fontId="0" fillId="0" borderId="107" xfId="0" applyNumberFormat="1" applyBorder="1" applyAlignment="1">
      <alignment horizontal="right" vertical="center"/>
    </xf>
    <xf numFmtId="9" fontId="0" fillId="0" borderId="42" xfId="0" applyNumberFormat="1" applyBorder="1" applyAlignment="1">
      <alignment horizontal="right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79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93" xfId="0" applyNumberFormat="1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left" vertical="center"/>
    </xf>
    <xf numFmtId="0" fontId="64" fillId="0" borderId="144" xfId="0" applyFont="1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49" fontId="56" fillId="0" borderId="52" xfId="0" applyNumberFormat="1" applyFont="1" applyBorder="1" applyAlignment="1">
      <alignment horizontal="center" vertical="center"/>
    </xf>
    <xf numFmtId="49" fontId="56" fillId="0" borderId="53" xfId="0" applyNumberFormat="1" applyFont="1" applyBorder="1" applyAlignment="1">
      <alignment horizontal="center" vertical="center"/>
    </xf>
    <xf numFmtId="49" fontId="56" fillId="0" borderId="144" xfId="0" applyNumberFormat="1" applyFont="1" applyBorder="1" applyAlignment="1">
      <alignment horizontal="center" vertical="center"/>
    </xf>
    <xf numFmtId="166" fontId="59" fillId="0" borderId="80" xfId="0" applyNumberFormat="1" applyFont="1" applyBorder="1" applyAlignment="1">
      <alignment horizontal="center" vertical="center"/>
    </xf>
    <xf numFmtId="166" fontId="59" fillId="0" borderId="193" xfId="0" applyNumberFormat="1" applyFont="1" applyBorder="1" applyAlignment="1">
      <alignment horizontal="center" vertical="center"/>
    </xf>
    <xf numFmtId="166" fontId="59" fillId="0" borderId="163" xfId="0" applyNumberFormat="1" applyFont="1" applyBorder="1" applyAlignment="1">
      <alignment horizontal="center" vertical="center"/>
    </xf>
    <xf numFmtId="166" fontId="59" fillId="0" borderId="135" xfId="0" applyNumberFormat="1" applyFont="1" applyBorder="1" applyAlignment="1">
      <alignment horizontal="center" vertical="center"/>
    </xf>
    <xf numFmtId="164" fontId="59" fillId="0" borderId="97" xfId="0" applyNumberFormat="1" applyFont="1" applyBorder="1" applyAlignment="1">
      <alignment horizontal="center" vertical="center" wrapText="1"/>
    </xf>
    <xf numFmtId="164" fontId="59" fillId="0" borderId="194" xfId="0" applyNumberFormat="1" applyFont="1" applyBorder="1" applyAlignment="1">
      <alignment horizontal="center" vertical="center" wrapText="1"/>
    </xf>
    <xf numFmtId="49" fontId="59" fillId="0" borderId="8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/>
    </xf>
    <xf numFmtId="49" fontId="59" fillId="0" borderId="192" xfId="0" applyNumberFormat="1" applyFont="1" applyBorder="1" applyAlignment="1">
      <alignment horizontal="left" vertical="center"/>
    </xf>
    <xf numFmtId="49" fontId="59" fillId="0" borderId="50" xfId="0" applyNumberFormat="1" applyFont="1" applyBorder="1" applyAlignment="1">
      <alignment horizontal="left" vertical="center"/>
    </xf>
    <xf numFmtId="0" fontId="59" fillId="0" borderId="48" xfId="0" applyFont="1" applyBorder="1" applyAlignment="1">
      <alignment horizontal="left" vertical="center"/>
    </xf>
    <xf numFmtId="0" fontId="59" fillId="0" borderId="195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94" xfId="0" applyNumberFormat="1" applyFont="1" applyBorder="1" applyAlignment="1">
      <alignment horizontal="center" vertical="center" wrapText="1"/>
    </xf>
    <xf numFmtId="164" fontId="0" fillId="0" borderId="88" xfId="0" applyNumberFormat="1" applyBorder="1" applyAlignment="1">
      <alignment horizontal="right" vertical="center"/>
    </xf>
    <xf numFmtId="164" fontId="0" fillId="0" borderId="89" xfId="0" applyNumberFormat="1" applyBorder="1" applyAlignment="1">
      <alignment horizontal="right" vertical="center"/>
    </xf>
    <xf numFmtId="164" fontId="3" fillId="8" borderId="4" xfId="0" applyNumberFormat="1" applyFont="1" applyFill="1" applyBorder="1" applyAlignment="1">
      <alignment horizontal="right" vertical="center"/>
    </xf>
    <xf numFmtId="164" fontId="3" fillId="8" borderId="5" xfId="0" applyNumberFormat="1" applyFont="1" applyFill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" fontId="3" fillId="0" borderId="58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60" xfId="0" applyNumberFormat="1" applyFont="1" applyBorder="1" applyAlignment="1">
      <alignment horizontal="center" vertical="center"/>
    </xf>
    <xf numFmtId="166" fontId="3" fillId="0" borderId="170" xfId="0" applyNumberFormat="1" applyFont="1" applyBorder="1" applyAlignment="1">
      <alignment horizontal="center" vertical="center" wrapText="1"/>
    </xf>
    <xf numFmtId="166" fontId="3" fillId="0" borderId="171" xfId="0" applyNumberFormat="1" applyFont="1" applyBorder="1" applyAlignment="1">
      <alignment horizontal="center" vertical="center" wrapText="1"/>
    </xf>
    <xf numFmtId="166" fontId="3" fillId="0" borderId="178" xfId="0" applyNumberFormat="1" applyFont="1" applyBorder="1" applyAlignment="1">
      <alignment horizontal="center" vertical="center" wrapText="1"/>
    </xf>
    <xf numFmtId="166" fontId="3" fillId="0" borderId="172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124" xfId="0" applyNumberFormat="1" applyFont="1" applyBorder="1" applyAlignment="1">
      <alignment horizontal="center" vertical="center" wrapText="1"/>
    </xf>
    <xf numFmtId="166" fontId="45" fillId="0" borderId="152" xfId="0" applyNumberFormat="1" applyFont="1" applyBorder="1" applyAlignment="1">
      <alignment horizontal="center" vertical="center"/>
    </xf>
    <xf numFmtId="166" fontId="45" fillId="0" borderId="153" xfId="0" applyNumberFormat="1" applyFont="1" applyBorder="1" applyAlignment="1">
      <alignment horizontal="center" vertical="center"/>
    </xf>
    <xf numFmtId="166" fontId="45" fillId="0" borderId="179" xfId="0" applyNumberFormat="1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 wrapText="1"/>
    </xf>
    <xf numFmtId="0" fontId="60" fillId="0" borderId="82" xfId="0" applyFont="1" applyBorder="1" applyAlignment="1">
      <alignment horizontal="center" vertical="center" wrapText="1"/>
    </xf>
    <xf numFmtId="0" fontId="57" fillId="0" borderId="95" xfId="0" applyFont="1" applyBorder="1" applyAlignment="1">
      <alignment horizontal="left" vertical="center"/>
    </xf>
    <xf numFmtId="0" fontId="57" fillId="0" borderId="212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213" xfId="0" applyFont="1" applyBorder="1" applyAlignment="1">
      <alignment horizontal="left" vertical="center"/>
    </xf>
    <xf numFmtId="164" fontId="58" fillId="3" borderId="187" xfId="0" applyNumberFormat="1" applyFont="1" applyFill="1" applyBorder="1" applyAlignment="1">
      <alignment horizontal="center" vertical="center"/>
    </xf>
    <xf numFmtId="164" fontId="58" fillId="3" borderId="188" xfId="0" applyNumberFormat="1" applyFont="1" applyFill="1" applyBorder="1" applyAlignment="1">
      <alignment horizontal="center" vertical="center"/>
    </xf>
    <xf numFmtId="164" fontId="58" fillId="3" borderId="189" xfId="0" applyNumberFormat="1" applyFont="1" applyFill="1" applyBorder="1" applyAlignment="1">
      <alignment horizontal="center" vertical="center"/>
    </xf>
    <xf numFmtId="166" fontId="15" fillId="0" borderId="210" xfId="0" applyNumberFormat="1" applyFont="1" applyBorder="1" applyAlignment="1">
      <alignment horizontal="center" vertical="center"/>
    </xf>
    <xf numFmtId="166" fontId="15" fillId="0" borderId="190" xfId="0" applyNumberFormat="1" applyFont="1" applyBorder="1" applyAlignment="1">
      <alignment horizontal="center" vertical="center"/>
    </xf>
    <xf numFmtId="166" fontId="4" fillId="0" borderId="209" xfId="0" applyNumberFormat="1" applyFont="1" applyBorder="1" applyAlignment="1">
      <alignment horizontal="center" vertical="center"/>
    </xf>
    <xf numFmtId="166" fontId="4" fillId="0" borderId="186" xfId="0" applyNumberFormat="1" applyFont="1" applyBorder="1" applyAlignment="1">
      <alignment horizontal="center" vertical="center"/>
    </xf>
    <xf numFmtId="0" fontId="68" fillId="0" borderId="61" xfId="0" applyFont="1" applyBorder="1" applyAlignment="1">
      <alignment horizontal="left" vertical="center" wrapText="1"/>
    </xf>
    <xf numFmtId="0" fontId="68" fillId="0" borderId="86" xfId="0" applyFont="1" applyBorder="1" applyAlignment="1">
      <alignment horizontal="left" vertical="center" wrapText="1"/>
    </xf>
    <xf numFmtId="0" fontId="68" fillId="0" borderId="94" xfId="0" applyFont="1" applyBorder="1" applyAlignment="1">
      <alignment horizontal="left" vertical="center" wrapText="1"/>
    </xf>
    <xf numFmtId="0" fontId="68" fillId="0" borderId="211" xfId="0" applyFont="1" applyBorder="1" applyAlignment="1">
      <alignment horizontal="left" vertical="center" wrapText="1"/>
    </xf>
    <xf numFmtId="3" fontId="68" fillId="0" borderId="99" xfId="0" applyNumberFormat="1" applyFont="1" applyBorder="1" applyAlignment="1">
      <alignment horizontal="center" vertical="center" wrapText="1"/>
    </xf>
    <xf numFmtId="3" fontId="68" fillId="0" borderId="154" xfId="0" applyNumberFormat="1" applyFont="1" applyBorder="1" applyAlignment="1">
      <alignment horizontal="center" vertical="center" wrapText="1"/>
    </xf>
    <xf numFmtId="3" fontId="68" fillId="0" borderId="59" xfId="0" applyNumberFormat="1" applyFont="1" applyBorder="1" applyAlignment="1">
      <alignment horizontal="center" vertical="center" wrapText="1"/>
    </xf>
    <xf numFmtId="3" fontId="68" fillId="0" borderId="83" xfId="0" applyNumberFormat="1" applyFont="1" applyBorder="1" applyAlignment="1">
      <alignment horizontal="center" vertical="center" wrapText="1"/>
    </xf>
    <xf numFmtId="164" fontId="68" fillId="0" borderId="61" xfId="0" applyNumberFormat="1" applyFont="1" applyBorder="1" applyAlignment="1">
      <alignment horizontal="center" vertical="center" wrapText="1"/>
    </xf>
    <xf numFmtId="164" fontId="68" fillId="0" borderId="94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5" fillId="0" borderId="88" xfId="0" applyNumberFormat="1" applyFont="1" applyBorder="1" applyAlignment="1">
      <alignment horizontal="center" vertical="center"/>
    </xf>
    <xf numFmtId="164" fontId="5" fillId="0" borderId="102" xfId="0" applyNumberFormat="1" applyFont="1" applyBorder="1" applyAlignment="1">
      <alignment horizontal="center" vertical="center"/>
    </xf>
    <xf numFmtId="14" fontId="25" fillId="0" borderId="53" xfId="0" applyNumberFormat="1" applyFont="1" applyBorder="1" applyAlignment="1">
      <alignment horizontal="center" vertical="center"/>
    </xf>
    <xf numFmtId="14" fontId="25" fillId="0" borderId="144" xfId="0" applyNumberFormat="1" applyFont="1" applyBorder="1" applyAlignment="1">
      <alignment horizontal="center" vertical="center"/>
    </xf>
    <xf numFmtId="49" fontId="58" fillId="0" borderId="52" xfId="0" applyNumberFormat="1" applyFont="1" applyBorder="1" applyAlignment="1">
      <alignment horizontal="center" vertical="center"/>
    </xf>
    <xf numFmtId="49" fontId="58" fillId="0" borderId="53" xfId="0" applyNumberFormat="1" applyFont="1" applyBorder="1" applyAlignment="1">
      <alignment horizontal="center" vertical="center"/>
    </xf>
    <xf numFmtId="49" fontId="58" fillId="0" borderId="46" xfId="0" applyNumberFormat="1" applyFont="1" applyBorder="1" applyAlignment="1">
      <alignment horizontal="center" vertical="center"/>
    </xf>
    <xf numFmtId="0" fontId="57" fillId="0" borderId="67" xfId="0" applyFont="1" applyBorder="1" applyAlignment="1">
      <alignment horizontal="left" vertical="center"/>
    </xf>
    <xf numFmtId="0" fontId="57" fillId="0" borderId="218" xfId="0" applyFont="1" applyBorder="1" applyAlignment="1">
      <alignment horizontal="left" vertical="center"/>
    </xf>
    <xf numFmtId="164" fontId="25" fillId="0" borderId="52" xfId="0" applyNumberFormat="1" applyFont="1" applyBorder="1" applyAlignment="1">
      <alignment horizontal="center" vertical="center"/>
    </xf>
    <xf numFmtId="164" fontId="25" fillId="0" borderId="53" xfId="0" applyNumberFormat="1" applyFont="1" applyBorder="1" applyAlignment="1">
      <alignment horizontal="center" vertical="center"/>
    </xf>
    <xf numFmtId="3" fontId="69" fillId="13" borderId="53" xfId="0" applyNumberFormat="1" applyFont="1" applyFill="1" applyBorder="1" applyAlignment="1">
      <alignment horizontal="center" vertical="center"/>
    </xf>
    <xf numFmtId="164" fontId="1" fillId="0" borderId="223" xfId="0" applyNumberFormat="1" applyFont="1" applyBorder="1" applyAlignment="1">
      <alignment horizontal="center" vertical="center" wrapText="1"/>
    </xf>
    <xf numFmtId="164" fontId="1" fillId="0" borderId="160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164" fontId="3" fillId="0" borderId="53" xfId="0" applyNumberFormat="1" applyFont="1" applyBorder="1" applyAlignment="1">
      <alignment horizontal="center" vertical="center" wrapText="1"/>
    </xf>
    <xf numFmtId="164" fontId="3" fillId="0" borderId="144" xfId="0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164" fontId="57" fillId="0" borderId="25" xfId="0" applyNumberFormat="1" applyFont="1" applyBorder="1" applyAlignment="1">
      <alignment horizontal="center" vertical="center"/>
    </xf>
    <xf numFmtId="164" fontId="57" fillId="0" borderId="2" xfId="0" applyNumberFormat="1" applyFont="1" applyBorder="1" applyAlignment="1">
      <alignment horizontal="center" vertical="center"/>
    </xf>
    <xf numFmtId="0" fontId="57" fillId="0" borderId="5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164" fontId="57" fillId="0" borderId="27" xfId="0" applyNumberFormat="1" applyFont="1" applyBorder="1" applyAlignment="1">
      <alignment horizontal="center" vertical="center"/>
    </xf>
    <xf numFmtId="164" fontId="57" fillId="0" borderId="5" xfId="0" applyNumberFormat="1" applyFont="1" applyBorder="1" applyAlignment="1">
      <alignment horizontal="center" vertical="center"/>
    </xf>
    <xf numFmtId="0" fontId="57" fillId="0" borderId="89" xfId="0" applyFont="1" applyBorder="1" applyAlignment="1">
      <alignment horizontal="left" vertical="center"/>
    </xf>
    <xf numFmtId="0" fontId="57" fillId="0" borderId="91" xfId="0" applyFont="1" applyBorder="1" applyAlignment="1">
      <alignment horizontal="left" vertical="center"/>
    </xf>
    <xf numFmtId="0" fontId="68" fillId="0" borderId="81" xfId="0" applyFont="1" applyBorder="1" applyAlignment="1">
      <alignment horizontal="left" vertical="center" wrapText="1"/>
    </xf>
    <xf numFmtId="0" fontId="68" fillId="0" borderId="29" xfId="0" applyFont="1" applyBorder="1" applyAlignment="1">
      <alignment horizontal="left" vertical="center" wrapText="1"/>
    </xf>
    <xf numFmtId="3" fontId="68" fillId="0" borderId="224" xfId="0" applyNumberFormat="1" applyFont="1" applyBorder="1" applyAlignment="1">
      <alignment horizontal="center" vertical="center" wrapText="1"/>
    </xf>
    <xf numFmtId="3" fontId="68" fillId="0" borderId="222" xfId="0" applyNumberFormat="1" applyFont="1" applyBorder="1" applyAlignment="1">
      <alignment horizontal="center" vertical="center" wrapText="1"/>
    </xf>
    <xf numFmtId="164" fontId="62" fillId="0" borderId="90" xfId="0" applyNumberFormat="1" applyFont="1" applyFill="1" applyBorder="1" applyAlignment="1">
      <alignment horizontal="center" vertical="center"/>
    </xf>
    <xf numFmtId="164" fontId="62" fillId="0" borderId="89" xfId="0" applyNumberFormat="1" applyFont="1" applyFill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83" xfId="0" applyNumberFormat="1" applyFont="1" applyBorder="1" applyAlignment="1">
      <alignment horizontal="center" vertical="center" wrapText="1"/>
    </xf>
    <xf numFmtId="164" fontId="1" fillId="0" borderId="61" xfId="0" applyNumberFormat="1" applyFont="1" applyBorder="1" applyAlignment="1">
      <alignment horizontal="center" vertical="center" wrapText="1"/>
    </xf>
    <xf numFmtId="164" fontId="1" fillId="0" borderId="94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164" fontId="3" fillId="0" borderId="144" xfId="0" applyNumberFormat="1" applyFont="1" applyBorder="1" applyAlignment="1">
      <alignment horizontal="center" vertical="center"/>
    </xf>
    <xf numFmtId="164" fontId="57" fillId="0" borderId="90" xfId="0" applyNumberFormat="1" applyFont="1" applyBorder="1" applyAlignment="1">
      <alignment horizontal="center" vertical="center"/>
    </xf>
    <xf numFmtId="164" fontId="57" fillId="0" borderId="89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83" xfId="0" applyNumberFormat="1" applyFont="1" applyBorder="1" applyAlignment="1">
      <alignment horizontal="center" vertical="center" wrapText="1"/>
    </xf>
    <xf numFmtId="4" fontId="38" fillId="0" borderId="59" xfId="0" applyNumberFormat="1" applyFont="1" applyBorder="1" applyAlignment="1">
      <alignment horizontal="center" vertical="center" wrapText="1"/>
    </xf>
    <xf numFmtId="4" fontId="38" fillId="0" borderId="83" xfId="0" applyNumberFormat="1" applyFont="1" applyBorder="1" applyAlignment="1">
      <alignment horizontal="center" vertical="center" wrapText="1"/>
    </xf>
    <xf numFmtId="0" fontId="3" fillId="0" borderId="113" xfId="0" applyFont="1" applyBorder="1" applyAlignment="1">
      <alignment horizontal="right" vertical="center"/>
    </xf>
    <xf numFmtId="0" fontId="3" fillId="0" borderId="115" xfId="0" applyFont="1" applyBorder="1" applyAlignment="1">
      <alignment horizontal="right" vertical="center"/>
    </xf>
    <xf numFmtId="0" fontId="3" fillId="0" borderId="10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69" fontId="32" fillId="0" borderId="59" xfId="0" applyNumberFormat="1" applyFont="1" applyBorder="1" applyAlignment="1">
      <alignment horizontal="center" vertical="center" wrapText="1"/>
    </xf>
    <xf numFmtId="169" fontId="32" fillId="0" borderId="83" xfId="0" applyNumberFormat="1" applyFont="1" applyBorder="1" applyAlignment="1">
      <alignment horizontal="center" vertical="center" wrapText="1"/>
    </xf>
    <xf numFmtId="166" fontId="32" fillId="0" borderId="59" xfId="0" applyNumberFormat="1" applyFont="1" applyBorder="1" applyAlignment="1">
      <alignment horizontal="center" vertical="center" wrapText="1"/>
    </xf>
    <xf numFmtId="166" fontId="32" fillId="0" borderId="83" xfId="0" applyNumberFormat="1" applyFont="1" applyBorder="1" applyAlignment="1">
      <alignment horizontal="center" vertical="center" wrapText="1"/>
    </xf>
    <xf numFmtId="164" fontId="38" fillId="0" borderId="59" xfId="0" applyNumberFormat="1" applyFont="1" applyBorder="1" applyAlignment="1">
      <alignment horizontal="center" vertical="center" wrapText="1"/>
    </xf>
    <xf numFmtId="164" fontId="38" fillId="0" borderId="83" xfId="0" applyNumberFormat="1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3" fontId="6" fillId="0" borderId="83" xfId="0" applyNumberFormat="1" applyFont="1" applyBorder="1" applyAlignment="1">
      <alignment horizontal="center" vertical="center" wrapText="1"/>
    </xf>
    <xf numFmtId="4" fontId="1" fillId="0" borderId="81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36" fillId="0" borderId="58" xfId="0" applyNumberFormat="1" applyFont="1" applyBorder="1" applyAlignment="1">
      <alignment horizontal="center" vertical="center" wrapText="1"/>
    </xf>
    <xf numFmtId="4" fontId="36" fillId="0" borderId="82" xfId="0" applyNumberFormat="1" applyFont="1" applyBorder="1" applyAlignment="1">
      <alignment horizontal="center" vertical="center" wrapText="1"/>
    </xf>
    <xf numFmtId="166" fontId="32" fillId="0" borderId="61" xfId="0" applyNumberFormat="1" applyFont="1" applyBorder="1" applyAlignment="1">
      <alignment horizontal="center" vertical="center" wrapText="1"/>
    </xf>
    <xf numFmtId="166" fontId="32" fillId="0" borderId="94" xfId="0" applyNumberFormat="1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3" fontId="6" fillId="0" borderId="82" xfId="0" applyNumberFormat="1" applyFont="1" applyBorder="1" applyAlignment="1">
      <alignment horizontal="center" vertical="center" wrapText="1"/>
    </xf>
    <xf numFmtId="164" fontId="38" fillId="0" borderId="61" xfId="0" applyNumberFormat="1" applyFont="1" applyBorder="1" applyAlignment="1">
      <alignment horizontal="center" vertical="center" wrapText="1"/>
    </xf>
    <xf numFmtId="164" fontId="38" fillId="0" borderId="94" xfId="0" applyNumberFormat="1" applyFont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 wrapText="1"/>
    </xf>
    <xf numFmtId="4" fontId="6" fillId="0" borderId="82" xfId="0" applyNumberFormat="1" applyFont="1" applyBorder="1" applyAlignment="1">
      <alignment horizontal="center" vertical="center" wrapText="1"/>
    </xf>
    <xf numFmtId="3" fontId="1" fillId="0" borderId="68" xfId="0" applyNumberFormat="1" applyFont="1" applyBorder="1" applyAlignment="1">
      <alignment horizontal="center" vertical="center" wrapText="1"/>
    </xf>
    <xf numFmtId="3" fontId="1" fillId="0" borderId="141" xfId="0" applyNumberFormat="1" applyFont="1" applyBorder="1" applyAlignment="1">
      <alignment horizontal="center" vertical="center" wrapText="1"/>
    </xf>
    <xf numFmtId="164" fontId="36" fillId="0" borderId="58" xfId="0" applyNumberFormat="1" applyFont="1" applyBorder="1" applyAlignment="1">
      <alignment horizontal="center" vertical="center" wrapText="1"/>
    </xf>
    <xf numFmtId="164" fontId="36" fillId="0" borderId="82" xfId="0" applyNumberFormat="1" applyFont="1" applyBorder="1" applyAlignment="1">
      <alignment horizontal="center" vertical="center" wrapText="1"/>
    </xf>
    <xf numFmtId="166" fontId="13" fillId="0" borderId="214" xfId="0" applyNumberFormat="1" applyFont="1" applyBorder="1" applyAlignment="1">
      <alignment horizontal="right" vertical="center"/>
    </xf>
    <xf numFmtId="166" fontId="13" fillId="0" borderId="215" xfId="0" applyNumberFormat="1" applyFont="1" applyBorder="1" applyAlignment="1">
      <alignment horizontal="right" vertical="center"/>
    </xf>
    <xf numFmtId="166" fontId="25" fillId="0" borderId="106" xfId="0" applyNumberFormat="1" applyFont="1" applyFill="1" applyBorder="1" applyAlignment="1">
      <alignment horizontal="left" vertical="center"/>
    </xf>
    <xf numFmtId="166" fontId="25" fillId="0" borderId="81" xfId="0" applyNumberFormat="1" applyFont="1" applyFill="1" applyBorder="1" applyAlignment="1">
      <alignment horizontal="left" vertical="center"/>
    </xf>
    <xf numFmtId="166" fontId="25" fillId="0" borderId="116" xfId="0" applyNumberFormat="1" applyFont="1" applyFill="1" applyBorder="1" applyAlignment="1">
      <alignment horizontal="center" vertical="center"/>
    </xf>
    <xf numFmtId="166" fontId="25" fillId="0" borderId="40" xfId="0" applyNumberFormat="1" applyFont="1" applyFill="1" applyBorder="1" applyAlignment="1">
      <alignment horizontal="center" vertical="center"/>
    </xf>
    <xf numFmtId="0" fontId="0" fillId="0" borderId="107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66" xfId="0" applyFont="1" applyBorder="1" applyAlignment="1">
      <alignment horizontal="left" vertical="center"/>
    </xf>
    <xf numFmtId="166" fontId="25" fillId="0" borderId="84" xfId="0" applyNumberFormat="1" applyFont="1" applyFill="1" applyBorder="1" applyAlignment="1">
      <alignment horizontal="left" vertical="center"/>
    </xf>
    <xf numFmtId="166" fontId="26" fillId="3" borderId="29" xfId="0" applyNumberFormat="1" applyFont="1" applyFill="1" applyBorder="1" applyAlignment="1">
      <alignment horizontal="right" vertical="center"/>
    </xf>
    <xf numFmtId="166" fontId="25" fillId="0" borderId="0" xfId="0" applyNumberFormat="1" applyFont="1" applyFill="1" applyBorder="1" applyAlignment="1">
      <alignment horizontal="left" vertical="center"/>
    </xf>
    <xf numFmtId="166" fontId="25" fillId="0" borderId="84" xfId="0" applyNumberFormat="1" applyFont="1" applyFill="1" applyBorder="1" applyAlignment="1">
      <alignment horizontal="center" vertical="center"/>
    </xf>
    <xf numFmtId="166" fontId="25" fillId="0" borderId="81" xfId="0" applyNumberFormat="1" applyFont="1" applyFill="1" applyBorder="1" applyAlignment="1">
      <alignment horizontal="center" vertical="center"/>
    </xf>
    <xf numFmtId="4" fontId="1" fillId="0" borderId="106" xfId="0" applyNumberFormat="1" applyFont="1" applyBorder="1" applyAlignment="1" applyProtection="1">
      <alignment horizontal="center" vertical="center" wrapText="1"/>
      <protection locked="0"/>
    </xf>
    <xf numFmtId="4" fontId="1" fillId="0" borderId="125" xfId="0" applyNumberFormat="1" applyFont="1" applyBorder="1" applyAlignment="1" applyProtection="1">
      <alignment horizontal="center" vertical="center" wrapText="1"/>
      <protection locked="0"/>
    </xf>
    <xf numFmtId="4" fontId="1" fillId="0" borderId="117" xfId="0" applyNumberFormat="1" applyFont="1" applyBorder="1" applyAlignment="1" applyProtection="1">
      <alignment horizontal="center" vertical="center" wrapText="1"/>
      <protection locked="0"/>
    </xf>
    <xf numFmtId="4" fontId="1" fillId="0" borderId="126" xfId="0" applyNumberFormat="1" applyFont="1" applyBorder="1" applyAlignment="1" applyProtection="1">
      <alignment horizontal="center" vertical="center" wrapText="1"/>
      <protection locked="0"/>
    </xf>
    <xf numFmtId="4" fontId="1" fillId="0" borderId="116" xfId="0" applyNumberFormat="1" applyFont="1" applyBorder="1" applyAlignment="1" applyProtection="1">
      <alignment horizontal="center" vertical="center" wrapText="1"/>
      <protection locked="0"/>
    </xf>
    <xf numFmtId="4" fontId="1" fillId="0" borderId="157" xfId="0" applyNumberFormat="1" applyFont="1" applyBorder="1" applyAlignment="1" applyProtection="1">
      <alignment horizontal="center" vertical="center" wrapText="1"/>
      <protection locked="0"/>
    </xf>
    <xf numFmtId="166" fontId="0" fillId="0" borderId="15" xfId="0" applyNumberFormat="1" applyFont="1" applyFill="1" applyBorder="1" applyAlignment="1">
      <alignment horizontal="left" vertical="center"/>
    </xf>
    <xf numFmtId="166" fontId="0" fillId="0" borderId="41" xfId="0" applyNumberFormat="1" applyFont="1" applyFill="1" applyBorder="1" applyAlignment="1">
      <alignment horizontal="left" vertical="center"/>
    </xf>
    <xf numFmtId="2" fontId="0" fillId="0" borderId="41" xfId="0" applyNumberFormat="1" applyFont="1" applyFill="1" applyBorder="1" applyAlignment="1">
      <alignment horizontal="left" vertical="center"/>
    </xf>
    <xf numFmtId="2" fontId="0" fillId="0" borderId="159" xfId="0" applyNumberFormat="1" applyFont="1" applyFill="1" applyBorder="1" applyAlignment="1">
      <alignment horizontal="left" vertical="center"/>
    </xf>
    <xf numFmtId="4" fontId="3" fillId="0" borderId="41" xfId="0" applyNumberFormat="1" applyFont="1" applyFill="1" applyBorder="1" applyAlignment="1">
      <alignment horizontal="left" vertical="center"/>
    </xf>
    <xf numFmtId="166" fontId="3" fillId="0" borderId="99" xfId="0" applyNumberFormat="1" applyFont="1" applyBorder="1" applyAlignment="1">
      <alignment horizontal="center" vertical="center" wrapText="1"/>
    </xf>
    <xf numFmtId="166" fontId="3" fillId="0" borderId="162" xfId="0" applyNumberFormat="1" applyFont="1" applyBorder="1" applyAlignment="1">
      <alignment horizontal="center" vertical="center" wrapText="1"/>
    </xf>
    <xf numFmtId="166" fontId="3" fillId="0" borderId="167" xfId="0" applyNumberFormat="1" applyFont="1" applyBorder="1" applyAlignment="1">
      <alignment horizontal="center" vertical="center" wrapText="1"/>
    </xf>
    <xf numFmtId="166" fontId="3" fillId="0" borderId="154" xfId="0" applyNumberFormat="1" applyFont="1" applyBorder="1" applyAlignment="1">
      <alignment horizontal="center" vertical="center" wrapText="1"/>
    </xf>
    <xf numFmtId="166" fontId="3" fillId="0" borderId="100" xfId="0" applyNumberFormat="1" applyFont="1" applyBorder="1" applyAlignment="1">
      <alignment horizontal="center" vertical="center" wrapText="1"/>
    </xf>
    <xf numFmtId="166" fontId="3" fillId="0" borderId="163" xfId="0" applyNumberFormat="1" applyFont="1" applyBorder="1" applyAlignment="1">
      <alignment horizontal="center" vertical="center" wrapText="1"/>
    </xf>
    <xf numFmtId="166" fontId="3" fillId="0" borderId="87" xfId="0" applyNumberFormat="1" applyFont="1" applyBorder="1" applyAlignment="1">
      <alignment horizontal="center" vertical="center" wrapText="1"/>
    </xf>
    <xf numFmtId="3" fontId="0" fillId="0" borderId="146" xfId="0" applyNumberFormat="1" applyFont="1" applyBorder="1" applyAlignment="1">
      <alignment horizontal="center" vertical="center" wrapText="1"/>
    </xf>
    <xf numFmtId="3" fontId="0" fillId="0" borderId="157" xfId="0" applyNumberFormat="1" applyFont="1" applyBorder="1" applyAlignment="1">
      <alignment horizontal="center" vertical="center" wrapText="1"/>
    </xf>
    <xf numFmtId="3" fontId="0" fillId="0" borderId="126" xfId="0" applyNumberFormat="1" applyFont="1" applyBorder="1" applyAlignment="1">
      <alignment horizontal="center" vertical="center" wrapText="1"/>
    </xf>
    <xf numFmtId="3" fontId="0" fillId="0" borderId="160" xfId="0" applyNumberFormat="1" applyFont="1" applyBorder="1" applyAlignment="1">
      <alignment horizontal="center" vertical="center" wrapText="1"/>
    </xf>
    <xf numFmtId="4" fontId="0" fillId="0" borderId="75" xfId="0" applyNumberFormat="1" applyFont="1" applyBorder="1" applyAlignment="1">
      <alignment horizontal="center" vertical="center" wrapText="1"/>
    </xf>
    <xf numFmtId="4" fontId="0" fillId="0" borderId="78" xfId="0" applyNumberFormat="1" applyFont="1" applyBorder="1" applyAlignment="1">
      <alignment horizontal="center" vertical="center" wrapText="1"/>
    </xf>
    <xf numFmtId="4" fontId="0" fillId="0" borderId="150" xfId="0" applyNumberFormat="1" applyFont="1" applyBorder="1" applyAlignment="1">
      <alignment horizontal="center" vertical="center" wrapText="1"/>
    </xf>
    <xf numFmtId="4" fontId="0" fillId="0" borderId="77" xfId="0" applyNumberFormat="1" applyFont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left" vertical="center"/>
    </xf>
    <xf numFmtId="166" fontId="3" fillId="0" borderId="15" xfId="0" applyNumberFormat="1" applyFont="1" applyFill="1" applyBorder="1" applyAlignment="1">
      <alignment horizontal="left" vertical="center"/>
    </xf>
    <xf numFmtId="166" fontId="3" fillId="0" borderId="41" xfId="0" applyNumberFormat="1" applyFont="1" applyFill="1" applyBorder="1" applyAlignment="1">
      <alignment horizontal="left" vertical="center"/>
    </xf>
    <xf numFmtId="0" fontId="10" fillId="0" borderId="107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166" fontId="13" fillId="0" borderId="108" xfId="0" applyNumberFormat="1" applyFont="1" applyBorder="1" applyAlignment="1">
      <alignment horizontal="left" vertical="center"/>
    </xf>
    <xf numFmtId="166" fontId="13" fillId="0" borderId="146" xfId="0" applyNumberFormat="1" applyFont="1" applyBorder="1" applyAlignment="1">
      <alignment horizontal="left" vertical="center"/>
    </xf>
    <xf numFmtId="4" fontId="0" fillId="0" borderId="103" xfId="0" applyNumberFormat="1" applyFont="1" applyBorder="1" applyAlignment="1">
      <alignment horizontal="center" vertical="center" wrapText="1"/>
    </xf>
    <xf numFmtId="4" fontId="0" fillId="0" borderId="76" xfId="0" applyNumberFormat="1" applyFont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left" vertical="center"/>
    </xf>
    <xf numFmtId="2" fontId="0" fillId="0" borderId="15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3" fillId="0" borderId="128" xfId="0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/>
    </xf>
    <xf numFmtId="0" fontId="3" fillId="0" borderId="13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3" fillId="0" borderId="106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125" xfId="0" applyFont="1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118" xfId="0" applyFont="1" applyBorder="1" applyAlignment="1">
      <alignment horizontal="left" vertical="top"/>
    </xf>
    <xf numFmtId="0" fontId="3" fillId="0" borderId="119" xfId="0" applyFont="1" applyBorder="1" applyAlignment="1">
      <alignment horizontal="left" vertical="top"/>
    </xf>
    <xf numFmtId="166" fontId="0" fillId="0" borderId="162" xfId="0" applyNumberFormat="1" applyBorder="1" applyAlignment="1">
      <alignment horizontal="center" vertical="center"/>
    </xf>
    <xf numFmtId="166" fontId="0" fillId="0" borderId="154" xfId="0" applyNumberFormat="1" applyBorder="1" applyAlignment="1">
      <alignment horizontal="center" vertical="center"/>
    </xf>
    <xf numFmtId="166" fontId="0" fillId="0" borderId="142" xfId="0" applyNumberFormat="1" applyBorder="1" applyAlignment="1">
      <alignment horizontal="center" vertical="center"/>
    </xf>
    <xf numFmtId="166" fontId="0" fillId="0" borderId="109" xfId="0" applyNumberFormat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0" fontId="3" fillId="0" borderId="165" xfId="0" applyFont="1" applyBorder="1" applyAlignment="1">
      <alignment horizontal="right" vertical="center"/>
    </xf>
    <xf numFmtId="0" fontId="3" fillId="0" borderId="138" xfId="0" applyFont="1" applyBorder="1" applyAlignment="1">
      <alignment horizontal="left" vertical="top" wrapText="1"/>
    </xf>
    <xf numFmtId="0" fontId="3" fillId="0" borderId="222" xfId="0" applyFont="1" applyBorder="1" applyAlignment="1">
      <alignment horizontal="left" vertical="top" wrapText="1"/>
    </xf>
    <xf numFmtId="0" fontId="3" fillId="0" borderId="139" xfId="0" applyFont="1" applyBorder="1" applyAlignment="1">
      <alignment horizontal="right" vertical="center"/>
    </xf>
    <xf numFmtId="0" fontId="3" fillId="0" borderId="140" xfId="0" applyFont="1" applyBorder="1" applyAlignment="1">
      <alignment horizontal="right" vertical="center"/>
    </xf>
    <xf numFmtId="0" fontId="3" fillId="0" borderId="118" xfId="0" applyFont="1" applyBorder="1" applyAlignment="1">
      <alignment horizontal="left" vertical="top" wrapText="1"/>
    </xf>
    <xf numFmtId="0" fontId="3" fillId="0" borderId="13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11" fillId="0" borderId="54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0" borderId="53" xfId="0" applyNumberFormat="1" applyFont="1" applyBorder="1" applyAlignment="1">
      <alignment horizontal="left" vertical="center"/>
    </xf>
    <xf numFmtId="166" fontId="3" fillId="0" borderId="46" xfId="0" applyNumberFormat="1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66" fontId="6" fillId="0" borderId="37" xfId="0" applyNumberFormat="1" applyFont="1" applyBorder="1" applyAlignment="1">
      <alignment horizontal="center" vertical="center" wrapText="1"/>
    </xf>
    <xf numFmtId="166" fontId="6" fillId="0" borderId="48" xfId="0" applyNumberFormat="1" applyFont="1" applyBorder="1" applyAlignment="1">
      <alignment horizontal="center" vertical="center" wrapText="1"/>
    </xf>
    <xf numFmtId="166" fontId="6" fillId="0" borderId="38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 wrapText="1"/>
    </xf>
    <xf numFmtId="3" fontId="1" fillId="0" borderId="76" xfId="0" applyNumberFormat="1" applyFont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 wrapText="1"/>
    </xf>
    <xf numFmtId="4" fontId="1" fillId="0" borderId="75" xfId="0" applyNumberFormat="1" applyFont="1" applyBorder="1" applyAlignment="1">
      <alignment horizontal="center" vertical="center" wrapText="1"/>
    </xf>
    <xf numFmtId="4" fontId="1" fillId="0" borderId="76" xfId="0" applyNumberFormat="1" applyFont="1" applyBorder="1" applyAlignment="1">
      <alignment horizontal="center" vertical="center" wrapText="1"/>
    </xf>
    <xf numFmtId="4" fontId="1" fillId="0" borderId="77" xfId="0" applyNumberFormat="1" applyFont="1" applyBorder="1" applyAlignment="1">
      <alignment horizontal="center" vertical="center" wrapText="1"/>
    </xf>
    <xf numFmtId="166" fontId="0" fillId="2" borderId="50" xfId="0" applyNumberFormat="1" applyFont="1" applyFill="1" applyBorder="1" applyAlignment="1">
      <alignment horizontal="left" vertical="center"/>
    </xf>
    <xf numFmtId="166" fontId="0" fillId="2" borderId="51" xfId="0" applyNumberFormat="1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1" fillId="0" borderId="103" xfId="0" applyNumberFormat="1" applyFont="1" applyBorder="1" applyAlignment="1">
      <alignment horizontal="center" vertical="center" wrapText="1"/>
    </xf>
    <xf numFmtId="4" fontId="1" fillId="0" borderId="78" xfId="0" applyNumberFormat="1" applyFont="1" applyBorder="1" applyAlignment="1">
      <alignment horizontal="center" vertical="center" wrapText="1"/>
    </xf>
    <xf numFmtId="166" fontId="3" fillId="2" borderId="53" xfId="0" applyNumberFormat="1" applyFont="1" applyFill="1" applyBorder="1" applyAlignment="1">
      <alignment horizontal="left" vertical="center"/>
    </xf>
    <xf numFmtId="166" fontId="3" fillId="2" borderId="46" xfId="0" applyNumberFormat="1" applyFont="1" applyFill="1" applyBorder="1" applyAlignment="1">
      <alignment horizontal="left" vertical="center"/>
    </xf>
  </cellXfs>
  <cellStyles count="3">
    <cellStyle name="Hypertextové prepojenie" xfId="2" builtinId="8"/>
    <cellStyle name="Normálna" xfId="0" builtinId="0"/>
    <cellStyle name="Percentá" xfId="1" builtinId="5"/>
  </cellStyles>
  <dxfs count="442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CCFFFF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theme="0"/>
      </font>
    </dxf>
    <dxf>
      <font>
        <b/>
        <i/>
        <color theme="9" tint="-0.499984740745262"/>
      </font>
      <fill>
        <patternFill>
          <bgColor theme="9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theme="9" tint="-0.499984740745262"/>
      </font>
      <fill>
        <patternFill>
          <bgColor theme="9" tint="0.79998168889431442"/>
        </patternFill>
      </fill>
    </dxf>
    <dxf>
      <font>
        <b/>
        <i/>
        <color rgb="FFC00000"/>
      </font>
      <fill>
        <patternFill>
          <bgColor rgb="FFFFCCCC"/>
        </patternFill>
      </fill>
    </dxf>
    <dxf>
      <font>
        <b/>
        <i/>
        <color theme="9" tint="-0.499984740745262"/>
      </font>
      <fill>
        <patternFill>
          <bgColor theme="9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theme="9" tint="-0.499984740745262"/>
      </font>
      <fill>
        <patternFill>
          <bgColor theme="9" tint="0.79998168889431442"/>
        </patternFill>
      </fill>
    </dxf>
    <dxf>
      <font>
        <b/>
        <i/>
        <color rgb="FFC00000"/>
      </font>
      <fill>
        <patternFill>
          <bgColor rgb="FFFFCCCC"/>
        </patternFill>
      </fill>
    </dxf>
    <dxf>
      <font>
        <b/>
        <i/>
        <color theme="9" tint="-0.499984740745262"/>
      </font>
      <fill>
        <patternFill>
          <bgColor theme="9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theme="9" tint="-0.499984740745262"/>
      </font>
      <fill>
        <patternFill>
          <bgColor theme="9" tint="0.79998168889431442"/>
        </patternFill>
      </fill>
    </dxf>
    <dxf>
      <font>
        <b/>
        <i/>
        <color rgb="FFC00000"/>
      </font>
      <fill>
        <patternFill>
          <bgColor rgb="FFFFCCCC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8000"/>
      <color rgb="FFD9FFFF"/>
      <color rgb="FFCCFFCC"/>
      <color rgb="FFFEF5F0"/>
      <color rgb="FFFF0066"/>
      <color rgb="FFB482DA"/>
      <color rgb="FFE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%20-%20UPJ&#352;\U%20-%20DOKUMENTY\U%20-%20DOPRAVA\U%20-%20V&#253;po&#269;et%20v&#253;konov%20vodi&#269;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šta"/>
      <sheetName val="Starý PV"/>
      <sheetName val="Nový PV"/>
      <sheetName val="KE574LL"/>
      <sheetName val="KE270MZ"/>
      <sheetName val="Tlač %"/>
      <sheetName val="Vzor PD"/>
      <sheetName val="PD 6"/>
      <sheetName val="PD 5"/>
      <sheetName val="PD 4"/>
      <sheetName val="PD 3"/>
      <sheetName val="PD 2"/>
      <sheetName val="PD 1"/>
      <sheetName val="PD 10"/>
      <sheetName val="PD 9"/>
      <sheetName val="PD 8"/>
      <sheetName val="PD 7"/>
      <sheetName val="Výpočet DPV"/>
      <sheetName val="Výpočet DPV 2"/>
      <sheetName val="KM"/>
      <sheetName val="NP 2022"/>
      <sheetName val="NP 2021"/>
      <sheetName val="NV"/>
      <sheetName val="Kalendár"/>
      <sheetName val="Hárok3"/>
      <sheetName val="Vyhodnotenie"/>
      <sheetName val="Dopravné výkony"/>
      <sheetName val="MINERVA"/>
      <sheetName val="Číselník"/>
      <sheetName val="Prepočet 20"/>
      <sheetName val="Postihy-vodiči"/>
      <sheetName val="Graf1"/>
      <sheetName val="Graf2"/>
      <sheetName val="Prepočet"/>
      <sheetName val="NP 2019"/>
      <sheetName val="2018"/>
      <sheetName val="NP 2017"/>
      <sheetName val="1 prac.deň"/>
      <sheetName val="Prevozňák ml.-knižnica"/>
      <sheetName val="1 VD"/>
      <sheetName val="Prevozňák ml.-SC"/>
      <sheetName val="Prevozňák"/>
      <sheetName val="Pavlíková"/>
      <sheetName val="Výpočet-SPIDO"/>
      <sheetName val="KE490FJ"/>
      <sheetName val="Výpočet 1 deň"/>
      <sheetName val="MK"/>
      <sheetName val="MN"/>
      <sheetName val="KP"/>
      <sheetName val="PG"/>
      <sheetName val="Výpočet rôzne"/>
      <sheetName val="Výpočet voľné dni"/>
      <sheetName val=" PD 1"/>
    </sheetNames>
    <sheetDataSet>
      <sheetData sheetId="0">
        <row r="5">
          <cell r="G5">
            <v>6408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mailto:fanautoke@gmail.com" TargetMode="External"/><Relationship Id="rId7" Type="http://schemas.openxmlformats.org/officeDocument/2006/relationships/hyperlink" Target="mailto:Kamil.Kobilic@gabriel.sk" TargetMode="External"/><Relationship Id="rId2" Type="http://schemas.openxmlformats.org/officeDocument/2006/relationships/hyperlink" Target="mailto:gursky@montrur.sk" TargetMode="External"/><Relationship Id="rId1" Type="http://schemas.openxmlformats.org/officeDocument/2006/relationships/hyperlink" Target="mailto:zelezono55@gmail.com" TargetMode="External"/><Relationship Id="rId6" Type="http://schemas.openxmlformats.org/officeDocument/2006/relationships/hyperlink" Target="mailto:martin.stefan@intercars.eu" TargetMode="External"/><Relationship Id="rId5" Type="http://schemas.openxmlformats.org/officeDocument/2006/relationships/hyperlink" Target="mailto:info@12volt.sk" TargetMode="External"/><Relationship Id="rId4" Type="http://schemas.openxmlformats.org/officeDocument/2006/relationships/hyperlink" Target="mailto:branislav.mikula@autokelly.sk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J33"/>
  <sheetViews>
    <sheetView workbookViewId="0">
      <selection sqref="A1:L14"/>
    </sheetView>
  </sheetViews>
  <sheetFormatPr defaultRowHeight="15.75" x14ac:dyDescent="0.25"/>
  <cols>
    <col min="1" max="1" width="3.625" style="220" customWidth="1"/>
    <col min="2" max="2" width="8.625" style="105" customWidth="1"/>
    <col min="3" max="3" width="18.625" style="105" customWidth="1"/>
    <col min="4" max="4" width="8.625" style="3" customWidth="1"/>
    <col min="5" max="5" width="6.625" style="4" customWidth="1"/>
    <col min="6" max="7" width="11" style="188" customWidth="1"/>
    <col min="8" max="9" width="12.375" style="188" customWidth="1"/>
  </cols>
  <sheetData>
    <row r="1" spans="1:10" x14ac:dyDescent="0.25">
      <c r="A1" s="1983" t="s">
        <v>92</v>
      </c>
      <c r="B1" s="1983"/>
      <c r="C1" s="1983"/>
      <c r="D1" s="1983"/>
      <c r="E1" s="1983"/>
      <c r="F1" s="1983"/>
      <c r="G1" s="1983"/>
      <c r="H1" s="1983"/>
      <c r="I1" s="1983"/>
    </row>
    <row r="2" spans="1:10" ht="51" x14ac:dyDescent="0.25">
      <c r="A2" s="216" t="s">
        <v>42</v>
      </c>
      <c r="B2" s="194" t="s">
        <v>2</v>
      </c>
      <c r="C2" s="194" t="s">
        <v>3</v>
      </c>
      <c r="D2" s="195" t="s">
        <v>4</v>
      </c>
      <c r="E2" s="206" t="s">
        <v>5</v>
      </c>
      <c r="F2" s="222" t="s">
        <v>89</v>
      </c>
      <c r="G2" s="223" t="s">
        <v>88</v>
      </c>
      <c r="H2" s="929" t="s">
        <v>86</v>
      </c>
      <c r="I2" s="214" t="s">
        <v>87</v>
      </c>
    </row>
    <row r="3" spans="1:10" x14ac:dyDescent="0.25">
      <c r="A3" s="217"/>
      <c r="B3" s="96"/>
      <c r="C3" s="199" t="s">
        <v>14</v>
      </c>
      <c r="D3" s="200"/>
      <c r="E3" s="1534">
        <f ca="1">AVERAGE(E4:E27)</f>
        <v>10.617385352498289</v>
      </c>
      <c r="F3" s="211"/>
      <c r="G3" s="212"/>
      <c r="H3" s="930"/>
      <c r="I3" s="201"/>
    </row>
    <row r="4" spans="1:10" x14ac:dyDescent="0.25">
      <c r="A4" s="218">
        <f>A3+1</f>
        <v>1</v>
      </c>
      <c r="B4" s="1533" t="str">
        <f>VLOOKUP(A4,Prehľad!$A$1:$BN$27,2,FALSE)</f>
        <v>KE164JL</v>
      </c>
      <c r="C4" s="1533" t="str">
        <f>VLOOKUP(A4,Prehľad!$A$1:$BN$27,3,FALSE)</f>
        <v>VW - GOLF combi</v>
      </c>
      <c r="D4" s="197">
        <f>VLOOKUP(A4,Prehľad!$A$1:$BN$27,6,FALSE)</f>
        <v>41992</v>
      </c>
      <c r="E4" s="344">
        <f ca="1">(TODAY()-D4)/365.25</f>
        <v>7.1594798083504445</v>
      </c>
      <c r="F4" s="934">
        <v>74.150000000000006</v>
      </c>
      <c r="G4" s="198">
        <f>F4*4</f>
        <v>296.60000000000002</v>
      </c>
      <c r="H4" s="931">
        <f ca="1">IF(E4&lt;10,G4,0)</f>
        <v>296.60000000000002</v>
      </c>
      <c r="I4" s="198">
        <f ca="1">IF(E4&lt;6,G4,0)</f>
        <v>0</v>
      </c>
    </row>
    <row r="5" spans="1:10" x14ac:dyDescent="0.25">
      <c r="A5" s="218">
        <v>2</v>
      </c>
      <c r="B5" s="1533" t="str">
        <f>VLOOKUP(A5,Prehľad!$A$1:$BN$27,2,FALSE)</f>
        <v>KE502KB</v>
      </c>
      <c r="C5" s="1533" t="str">
        <f>VLOOKUP(A5,Prehľad!$A$1:$BN$27,3,FALSE)</f>
        <v>VW - PASSAT combi</v>
      </c>
      <c r="D5" s="197">
        <f>VLOOKUP(A5,Prehľad!$A$1:$BN$27,6,FALSE)</f>
        <v>42366</v>
      </c>
      <c r="E5" s="344">
        <f ca="1">(TODAY()-D5)/365.25</f>
        <v>6.1355236139630387</v>
      </c>
      <c r="F5" s="934">
        <v>85.71</v>
      </c>
      <c r="G5" s="198">
        <f>F5*4</f>
        <v>342.84</v>
      </c>
      <c r="H5" s="931">
        <f ca="1">IF(E5&lt;10,G5,0)</f>
        <v>342.84</v>
      </c>
      <c r="I5" s="198">
        <f ca="1">IF(E5&lt;6,G5,0)</f>
        <v>0</v>
      </c>
    </row>
    <row r="6" spans="1:10" x14ac:dyDescent="0.25">
      <c r="A6" s="131"/>
      <c r="B6" s="1533"/>
      <c r="C6" s="1533"/>
      <c r="D6" s="197"/>
      <c r="E6" s="711"/>
      <c r="F6" s="531"/>
      <c r="G6" s="190"/>
      <c r="H6" s="932"/>
      <c r="I6" s="190"/>
    </row>
    <row r="7" spans="1:10" x14ac:dyDescent="0.25">
      <c r="A7" s="131">
        <v>3</v>
      </c>
      <c r="B7" s="1533" t="str">
        <f>VLOOKUP(A7,Prehľad!$A$1:$BN$27,2,FALSE)</f>
        <v>KE298YC</v>
      </c>
      <c r="C7" s="1533" t="str">
        <f>VLOOKUP(A7,Prehľad!$A$1:$BN$27,3,FALSE)</f>
        <v>STARÝ prívesný vozík</v>
      </c>
      <c r="D7" s="197">
        <f>VLOOKUP(A7,Prehľad!$A$1:$BN$27,6,FALSE)</f>
        <v>37057</v>
      </c>
      <c r="E7" s="256">
        <f ca="1">(TODAY()-D7)/365.25</f>
        <v>20.670773442847366</v>
      </c>
      <c r="F7" s="531">
        <v>0</v>
      </c>
      <c r="G7" s="190">
        <f t="shared" ref="G7:G25" si="0">F7*4</f>
        <v>0</v>
      </c>
      <c r="H7" s="932">
        <f t="shared" ref="H7:H17" ca="1" si="1">IF(E7&lt;10,G7,0)</f>
        <v>0</v>
      </c>
      <c r="I7" s="190">
        <f t="shared" ref="I7:I14" ca="1" si="2">IF(E7&lt;6,G7,0)</f>
        <v>0</v>
      </c>
    </row>
    <row r="8" spans="1:10" x14ac:dyDescent="0.25">
      <c r="A8" s="131">
        <v>4</v>
      </c>
      <c r="B8" s="1533" t="str">
        <f>VLOOKUP(A8,Prehľad!$A$1:$BN$27,2,FALSE)</f>
        <v>KE021DO</v>
      </c>
      <c r="C8" s="1533" t="str">
        <f>VLOOKUP(A8,Prehľad!$A$1:$BN$27,3,FALSE)</f>
        <v>VW - CARAVELLE</v>
      </c>
      <c r="D8" s="197">
        <f>VLOOKUP(A8,Prehľad!$A$1:$BN$27,6,FALSE)</f>
        <v>37256</v>
      </c>
      <c r="E8" s="256">
        <f ca="1">(TODAY()-D8)/365.25</f>
        <v>20.125941136208077</v>
      </c>
      <c r="F8" s="531">
        <v>0</v>
      </c>
      <c r="G8" s="190">
        <f t="shared" si="0"/>
        <v>0</v>
      </c>
      <c r="H8" s="932">
        <f t="shared" ca="1" si="1"/>
        <v>0</v>
      </c>
      <c r="I8" s="190">
        <f t="shared" ca="1" si="2"/>
        <v>0</v>
      </c>
    </row>
    <row r="9" spans="1:10" x14ac:dyDescent="0.25">
      <c r="A9" s="131">
        <v>5</v>
      </c>
      <c r="B9" s="1533" t="str">
        <f>VLOOKUP(A9,Prehľad!$A$1:$BN$27,2,FALSE)</f>
        <v>KE490FJ</v>
      </c>
      <c r="C9" s="1533" t="str">
        <f>VLOOKUP(A9,Prehľad!$A$1:$BN$27,3,FALSE)</f>
        <v>CITROEN - BERLINGO</v>
      </c>
      <c r="D9" s="197">
        <f>VLOOKUP(A9,Prehľad!$A$1:$BN$27,6,FALSE)</f>
        <v>39309</v>
      </c>
      <c r="E9" s="256">
        <f ca="1">(TODAY()-D9)/365.25</f>
        <v>14.505133470225873</v>
      </c>
      <c r="F9" s="531">
        <v>0</v>
      </c>
      <c r="G9" s="190">
        <f t="shared" si="0"/>
        <v>0</v>
      </c>
      <c r="H9" s="932">
        <f t="shared" ca="1" si="1"/>
        <v>0</v>
      </c>
      <c r="I9" s="190">
        <f t="shared" ca="1" si="2"/>
        <v>0</v>
      </c>
    </row>
    <row r="10" spans="1:10" hidden="1" x14ac:dyDescent="0.25">
      <c r="A10" s="131">
        <v>6</v>
      </c>
      <c r="B10" s="1533" t="str">
        <f>VLOOKUP(A10,Prehľad!$A$1:$BN$27,2,FALSE)</f>
        <v>KE298FP</v>
      </c>
      <c r="C10" s="1533" t="str">
        <f>VLOOKUP(A10,Prehľad!$A$1:$BN$27,3,FALSE)</f>
        <v>ŠKODA - OCTAVIA</v>
      </c>
      <c r="D10" s="197">
        <f>VLOOKUP(A10,Prehľad!$A$1:$BN$27,6,FALSE)</f>
        <v>39451</v>
      </c>
      <c r="E10" s="256">
        <f ca="1">(TODAY()-D10)/365.25</f>
        <v>14.116358658453114</v>
      </c>
      <c r="F10" s="531">
        <v>0</v>
      </c>
      <c r="G10" s="190">
        <f t="shared" si="0"/>
        <v>0</v>
      </c>
      <c r="H10" s="932">
        <f t="shared" ca="1" si="1"/>
        <v>0</v>
      </c>
      <c r="I10" s="190">
        <f t="shared" ca="1" si="2"/>
        <v>0</v>
      </c>
    </row>
    <row r="11" spans="1:10" x14ac:dyDescent="0.25">
      <c r="A11" s="131">
        <v>7</v>
      </c>
      <c r="B11" s="1533" t="str">
        <f>VLOOKUP(A11,Prehľad!$A$1:$BN$27,2,FALSE)</f>
        <v>KE692FR</v>
      </c>
      <c r="C11" s="1533" t="str">
        <f>VLOOKUP(A11,Prehľad!$A$1:$BN$27,3,FALSE)</f>
        <v>FORD - TRANSIT</v>
      </c>
      <c r="D11" s="197">
        <f>VLOOKUP(A11,Prehľad!$A$1:$BN$27,6,FALSE)</f>
        <v>39484</v>
      </c>
      <c r="E11" s="256">
        <f ca="1">(TODAY()-D11)/365.25</f>
        <v>14.026009582477755</v>
      </c>
      <c r="F11" s="531">
        <v>0</v>
      </c>
      <c r="G11" s="190">
        <f t="shared" si="0"/>
        <v>0</v>
      </c>
      <c r="H11" s="932">
        <f t="shared" ca="1" si="1"/>
        <v>0</v>
      </c>
      <c r="I11" s="190">
        <f t="shared" ca="1" si="2"/>
        <v>0</v>
      </c>
    </row>
    <row r="12" spans="1:10" x14ac:dyDescent="0.25">
      <c r="A12" s="131">
        <v>8</v>
      </c>
      <c r="B12" s="1533" t="str">
        <f>VLOOKUP(A12,Prehľad!$A$1:$BN$27,2,FALSE)</f>
        <v>KE552HZ</v>
      </c>
      <c r="C12" s="1533" t="str">
        <f>VLOOKUP(A12,Prehľad!$A$1:$BN$27,3,FALSE)</f>
        <v>ŠKODA - OCTAVIA</v>
      </c>
      <c r="D12" s="197">
        <f>VLOOKUP(A12,Prehľad!$A$1:$BN$27,6,FALSE)</f>
        <v>40959</v>
      </c>
      <c r="E12" s="256">
        <f t="shared" ref="E12:E17" ca="1" si="3">(TODAY()-D12)/365.25</f>
        <v>9.9876796714579061</v>
      </c>
      <c r="F12" s="531">
        <v>76.38</v>
      </c>
      <c r="G12" s="190">
        <f t="shared" si="0"/>
        <v>305.52</v>
      </c>
      <c r="H12" s="932">
        <f t="shared" ca="1" si="1"/>
        <v>305.52</v>
      </c>
      <c r="I12" s="190">
        <f t="shared" ca="1" si="2"/>
        <v>0</v>
      </c>
    </row>
    <row r="13" spans="1:10" x14ac:dyDescent="0.25">
      <c r="A13" s="131">
        <v>9</v>
      </c>
      <c r="B13" s="1533" t="str">
        <f>VLOOKUP(A13,Prehľad!$A$1:$BN$27,2,FALSE)</f>
        <v>KE791IT</v>
      </c>
      <c r="C13" s="1533" t="str">
        <f>VLOOKUP(A13,Prehľad!$A$1:$BN$27,3,FALSE)</f>
        <v>ŠKODA - OCTAVIA combi 4x4</v>
      </c>
      <c r="D13" s="197">
        <f>VLOOKUP(A13,Prehľad!$A$1:$BN$27,6,FALSE)</f>
        <v>41533</v>
      </c>
      <c r="E13" s="256">
        <f t="shared" ca="1" si="3"/>
        <v>8.4161533196440796</v>
      </c>
      <c r="F13" s="531">
        <v>110.26</v>
      </c>
      <c r="G13" s="190">
        <f t="shared" si="0"/>
        <v>441.04</v>
      </c>
      <c r="H13" s="932">
        <f t="shared" ca="1" si="1"/>
        <v>441.04</v>
      </c>
      <c r="I13" s="190">
        <f t="shared" ca="1" si="2"/>
        <v>0</v>
      </c>
    </row>
    <row r="14" spans="1:10" x14ac:dyDescent="0.25">
      <c r="A14" s="131">
        <v>10</v>
      </c>
      <c r="B14" s="1533" t="str">
        <f>VLOOKUP(A14,Prehľad!$A$1:$BN$27,2,FALSE)</f>
        <v>KE747JX</v>
      </c>
      <c r="C14" s="1533" t="str">
        <f>VLOOKUP(A14,Prehľad!$A$1:$BN$27,3,FALSE)</f>
        <v>ŠKODA - SUPERB</v>
      </c>
      <c r="D14" s="197">
        <f>VLOOKUP(A14,Prehľad!$A$1:$BN$27,6,FALSE)</f>
        <v>42356</v>
      </c>
      <c r="E14" s="256">
        <f t="shared" ca="1" si="3"/>
        <v>6.1629021218343603</v>
      </c>
      <c r="F14" s="531">
        <v>103.85</v>
      </c>
      <c r="G14" s="190">
        <f t="shared" si="0"/>
        <v>415.4</v>
      </c>
      <c r="H14" s="932">
        <f t="shared" ca="1" si="1"/>
        <v>415.4</v>
      </c>
      <c r="I14" s="190">
        <f t="shared" ca="1" si="2"/>
        <v>0</v>
      </c>
      <c r="J14" s="532"/>
    </row>
    <row r="15" spans="1:10" x14ac:dyDescent="0.25">
      <c r="A15" s="131">
        <v>11</v>
      </c>
      <c r="B15" s="1533" t="str">
        <f>VLOOKUP(A15,Prehľad!$A$1:$BN$27,2,FALSE)</f>
        <v>KE909KZ</v>
      </c>
      <c r="C15" s="1533" t="str">
        <f>VLOOKUP(A15,Prehľad!$A$1:$BN$27,3,FALSE)</f>
        <v>ŠKODA - SUPERB 4x4</v>
      </c>
      <c r="D15" s="197">
        <f>VLOOKUP(A15,Prehľad!$A$1:$BN$27,6,FALSE)</f>
        <v>42913</v>
      </c>
      <c r="E15" s="256">
        <f t="shared" ca="1" si="3"/>
        <v>4.6379192334017798</v>
      </c>
      <c r="F15" s="531">
        <v>121.31</v>
      </c>
      <c r="G15" s="190">
        <f t="shared" si="0"/>
        <v>485.24</v>
      </c>
      <c r="H15" s="932">
        <f t="shared" ca="1" si="1"/>
        <v>485.24</v>
      </c>
      <c r="I15" s="190">
        <v>0</v>
      </c>
      <c r="J15" s="532"/>
    </row>
    <row r="16" spans="1:10" x14ac:dyDescent="0.25">
      <c r="A16" s="131">
        <v>12</v>
      </c>
      <c r="B16" s="1533" t="str">
        <f>VLOOKUP(A16,Prehľad!$A$1:$BN$27,2,FALSE)</f>
        <v>BL253RN</v>
      </c>
      <c r="C16" s="1533" t="str">
        <f>VLOOKUP(A16,Prehľad!$A$1:$BN$27,3,FALSE)</f>
        <v>ŠKODA - OCTÁVIA combi</v>
      </c>
      <c r="D16" s="197">
        <f>VLOOKUP(A16,Prehľad!$A$1:$BN$27,6,FALSE)</f>
        <v>43089</v>
      </c>
      <c r="E16" s="256">
        <f t="shared" ca="1" si="3"/>
        <v>4.1560574948665296</v>
      </c>
      <c r="F16" s="531">
        <v>0</v>
      </c>
      <c r="G16" s="190">
        <f t="shared" si="0"/>
        <v>0</v>
      </c>
      <c r="H16" s="932">
        <f t="shared" ca="1" si="1"/>
        <v>0</v>
      </c>
      <c r="I16" s="190">
        <v>0</v>
      </c>
      <c r="J16" s="532"/>
    </row>
    <row r="17" spans="1:9" x14ac:dyDescent="0.25">
      <c r="A17" s="131">
        <v>13</v>
      </c>
      <c r="B17" s="1533" t="str">
        <f>VLOOKUP(A17,Prehľad!$A$1:$BN$27,2,FALSE)</f>
        <v>KE574LL</v>
      </c>
      <c r="C17" s="1533" t="str">
        <f>VLOOKUP(A17,Prehľad!$A$1:$BN$27,3,FALSE)</f>
        <v>MIDIBUS - ISUZU Novo</v>
      </c>
      <c r="D17" s="197">
        <f>VLOOKUP(A17,Prehľad!$A$1:$BN$27,6,FALSE)</f>
        <v>43160</v>
      </c>
      <c r="E17" s="256">
        <f t="shared" ca="1" si="3"/>
        <v>3.9616700889801506</v>
      </c>
      <c r="F17" s="531">
        <v>0</v>
      </c>
      <c r="G17" s="190">
        <f t="shared" si="0"/>
        <v>0</v>
      </c>
      <c r="H17" s="932">
        <f t="shared" ca="1" si="1"/>
        <v>0</v>
      </c>
      <c r="I17" s="190">
        <v>0</v>
      </c>
    </row>
    <row r="18" spans="1:9" x14ac:dyDescent="0.25">
      <c r="A18" s="131">
        <v>14</v>
      </c>
      <c r="B18" s="1533" t="str">
        <f>VLOOKUP(A18,Prehľad!$A$1:$BN$27,2,FALSE)</f>
        <v>KE344YO</v>
      </c>
      <c r="C18" s="1533" t="str">
        <f>VLOOKUP(A18,Prehľad!$A$1:$BN$27,3,FALSE)</f>
        <v>NOVÝ prívesný vozík</v>
      </c>
      <c r="D18" s="197">
        <f>VLOOKUP(A18,Prehľad!$A$1:$BN$27,6,FALSE)</f>
        <v>43348</v>
      </c>
      <c r="E18" s="256">
        <f t="shared" ref="E18:E23" ca="1" si="4">(TODAY()-D18)/365.25</f>
        <v>3.4469541409993156</v>
      </c>
      <c r="F18" s="531">
        <v>0</v>
      </c>
      <c r="G18" s="190">
        <f t="shared" si="0"/>
        <v>0</v>
      </c>
      <c r="H18" s="932">
        <f t="shared" ref="H18:H23" ca="1" si="5">IF(E18&lt;10,G18,0)</f>
        <v>0</v>
      </c>
      <c r="I18" s="190">
        <f t="shared" ref="I18:I23" ca="1" si="6">IF(E18&lt;6,G18,0)</f>
        <v>0</v>
      </c>
    </row>
    <row r="19" spans="1:9" x14ac:dyDescent="0.25">
      <c r="A19" s="131">
        <v>15</v>
      </c>
      <c r="B19" s="1533" t="str">
        <f>VLOOKUP(A19,Prehľad!$A$1:$BN$27,2,FALSE)</f>
        <v>BL028VG</v>
      </c>
      <c r="C19" s="1533" t="str">
        <f>VLOOKUP(A19,Prehľad!$A$1:$BN$27,3,FALSE)</f>
        <v>ŠKODA - OCTÁVIA combi</v>
      </c>
      <c r="D19" s="197">
        <f>VLOOKUP(A19,Prehľad!$A$1:$BN$27,6,FALSE)</f>
        <v>43558</v>
      </c>
      <c r="E19" s="256">
        <f t="shared" ca="1" si="4"/>
        <v>2.8720054757015743</v>
      </c>
      <c r="F19" s="531">
        <v>0</v>
      </c>
      <c r="G19" s="190">
        <f t="shared" si="0"/>
        <v>0</v>
      </c>
      <c r="H19" s="932">
        <f t="shared" ca="1" si="5"/>
        <v>0</v>
      </c>
      <c r="I19" s="190">
        <f t="shared" ca="1" si="6"/>
        <v>0</v>
      </c>
    </row>
    <row r="20" spans="1:9" hidden="1" x14ac:dyDescent="0.25">
      <c r="A20" s="131">
        <v>16</v>
      </c>
      <c r="B20" s="1533" t="str">
        <f>VLOOKUP(A20,Prehľad!$A$1:$BN$27,2,FALSE)</f>
        <v>KE502GM</v>
      </c>
      <c r="C20" s="1533" t="str">
        <f>VLOOKUP(A20,Prehľad!$A$1:$BN$27,3,FALSE)</f>
        <v>VW - PASSAT</v>
      </c>
      <c r="D20" s="197">
        <f>VLOOKUP(A20,Prehľad!$A$1:$BN$27,6,FALSE)</f>
        <v>39944</v>
      </c>
      <c r="E20" s="256">
        <f t="shared" ca="1" si="4"/>
        <v>12.766598220396988</v>
      </c>
      <c r="F20" s="531">
        <v>0</v>
      </c>
      <c r="G20" s="190">
        <f t="shared" si="0"/>
        <v>0</v>
      </c>
      <c r="H20" s="932">
        <f t="shared" ca="1" si="5"/>
        <v>0</v>
      </c>
      <c r="I20" s="190">
        <f t="shared" ca="1" si="6"/>
        <v>0</v>
      </c>
    </row>
    <row r="21" spans="1:9" x14ac:dyDescent="0.25">
      <c r="A21" s="131">
        <v>17</v>
      </c>
      <c r="B21" s="1533" t="str">
        <f>VLOOKUP(A21,Prehľad!$A$1:$BN$27,2,FALSE)</f>
        <v>KE270MZ</v>
      </c>
      <c r="C21" s="1533" t="str">
        <f>VLOOKUP(A21,Prehľad!$A$1:$BN$27,3,FALSE)</f>
        <v>PEUGEOT - BOXER mikrobus</v>
      </c>
      <c r="D21" s="197">
        <f>VLOOKUP(A21,Prehľad!$A$1:$BN$27,6,FALSE)</f>
        <v>44004</v>
      </c>
      <c r="E21" s="256">
        <f t="shared" ca="1" si="4"/>
        <v>1.6509240246406571</v>
      </c>
      <c r="F21" s="531">
        <v>102.8</v>
      </c>
      <c r="G21" s="190">
        <f t="shared" si="0"/>
        <v>411.2</v>
      </c>
      <c r="H21" s="932">
        <f t="shared" ca="1" si="5"/>
        <v>411.2</v>
      </c>
      <c r="I21" s="190">
        <f t="shared" ca="1" si="6"/>
        <v>411.2</v>
      </c>
    </row>
    <row r="22" spans="1:9" x14ac:dyDescent="0.25">
      <c r="A22" s="131">
        <v>18</v>
      </c>
      <c r="B22" s="1533" t="str">
        <f>VLOOKUP(A22,Prehľad!$A$1:$BN$27,2,FALSE)</f>
        <v>KE695DM</v>
      </c>
      <c r="C22" s="1533" t="str">
        <f>VLOOKUP(A22,Prehľad!$A$1:$BN$27,3,FALSE)</f>
        <v>VW - TRANSPORTER</v>
      </c>
      <c r="D22" s="197">
        <f>VLOOKUP(A22,Prehľad!$A$1:$BN$27,6,FALSE)</f>
        <v>33970</v>
      </c>
      <c r="E22" s="256">
        <f t="shared" ca="1" si="4"/>
        <v>29.12251882272416</v>
      </c>
      <c r="F22" s="531">
        <v>0</v>
      </c>
      <c r="G22" s="190">
        <f t="shared" si="0"/>
        <v>0</v>
      </c>
      <c r="H22" s="932">
        <f t="shared" ca="1" si="5"/>
        <v>0</v>
      </c>
      <c r="I22" s="190">
        <f t="shared" ca="1" si="6"/>
        <v>0</v>
      </c>
    </row>
    <row r="23" spans="1:9" x14ac:dyDescent="0.25">
      <c r="A23" s="131">
        <v>19</v>
      </c>
      <c r="B23" s="1533" t="str">
        <f>VLOOKUP(A23,Prehľad!$A$1:$BN$27,2,FALSE)</f>
        <v>KE885DT</v>
      </c>
      <c r="C23" s="1533" t="str">
        <f>VLOOKUP(A23,Prehľad!$A$1:$BN$27,3,FALSE)</f>
        <v>ŠKODA - FABIA combi</v>
      </c>
      <c r="D23" s="197">
        <f>VLOOKUP(A23,Prehľad!$A$1:$BN$27,6,FALSE)</f>
        <v>37987</v>
      </c>
      <c r="E23" s="256">
        <f t="shared" ca="1" si="4"/>
        <v>18.12457221081451</v>
      </c>
      <c r="F23" s="531">
        <v>0</v>
      </c>
      <c r="G23" s="190">
        <f t="shared" si="0"/>
        <v>0</v>
      </c>
      <c r="H23" s="932">
        <f t="shared" ca="1" si="5"/>
        <v>0</v>
      </c>
      <c r="I23" s="190">
        <f t="shared" ca="1" si="6"/>
        <v>0</v>
      </c>
    </row>
    <row r="24" spans="1:9" x14ac:dyDescent="0.25">
      <c r="A24" s="131"/>
      <c r="B24" s="1533"/>
      <c r="C24" s="1533"/>
      <c r="D24" s="197"/>
      <c r="E24" s="256"/>
      <c r="F24" s="531"/>
      <c r="G24" s="190"/>
      <c r="H24" s="932"/>
      <c r="I24" s="190"/>
    </row>
    <row r="25" spans="1:9" x14ac:dyDescent="0.25">
      <c r="A25" s="131">
        <v>20</v>
      </c>
      <c r="B25" s="1533" t="str">
        <f>VLOOKUP(A25,Prehľad!$A$1:$BN$27,2,FALSE)</f>
        <v>KE956HU</v>
      </c>
      <c r="C25" s="1533" t="str">
        <f>VLOOKUP(A25,Prehľad!$A$1:$BN$27,3,FALSE)</f>
        <v>FIAT - DOBLO</v>
      </c>
      <c r="D25" s="197">
        <f>VLOOKUP(A25,Prehľad!$A$1:$BN$27,6,FALSE)</f>
        <v>40844</v>
      </c>
      <c r="E25" s="256">
        <f ca="1">(TODAY()-D25)/365.25</f>
        <v>10.302532511978097</v>
      </c>
      <c r="F25" s="531">
        <v>56.02</v>
      </c>
      <c r="G25" s="190">
        <f t="shared" si="0"/>
        <v>224.08</v>
      </c>
      <c r="H25" s="932">
        <f ca="1">IF(E25&lt;10,G25,0)</f>
        <v>0</v>
      </c>
      <c r="I25" s="190">
        <f ca="1">IF(E25&lt;6,G25,0)</f>
        <v>0</v>
      </c>
    </row>
    <row r="26" spans="1:9" x14ac:dyDescent="0.25">
      <c r="A26" s="131"/>
      <c r="B26" s="1980"/>
      <c r="C26" s="1980"/>
      <c r="D26" s="191"/>
      <c r="E26" s="256"/>
      <c r="F26" s="531"/>
      <c r="G26" s="190"/>
      <c r="H26" s="932"/>
      <c r="I26" s="190"/>
    </row>
    <row r="27" spans="1:9" ht="16.5" thickBot="1" x14ac:dyDescent="0.3">
      <c r="A27" s="219"/>
      <c r="B27" s="1125"/>
      <c r="C27" s="1533"/>
      <c r="D27" s="197"/>
      <c r="E27" s="1535" t="s">
        <v>85</v>
      </c>
      <c r="F27" s="935">
        <f>SUM(F4:F26)</f>
        <v>730.48</v>
      </c>
      <c r="G27" s="213">
        <f>SUM(G4:G26)</f>
        <v>2921.92</v>
      </c>
      <c r="H27" s="933">
        <f ca="1">SUM(H4:H26)</f>
        <v>2697.84</v>
      </c>
      <c r="I27" s="204">
        <f ca="1">SUM(I4:I26)</f>
        <v>411.2</v>
      </c>
    </row>
    <row r="28" spans="1:9" s="189" customFormat="1" ht="19.5" thickTop="1" x14ac:dyDescent="0.3">
      <c r="A28" s="1981" t="s">
        <v>84</v>
      </c>
      <c r="B28" s="1982"/>
      <c r="C28" s="1982"/>
      <c r="D28" s="1982"/>
      <c r="E28" s="1982"/>
      <c r="F28" s="1982"/>
      <c r="G28" s="1982"/>
      <c r="H28" s="215">
        <f ca="1">G27-H27</f>
        <v>224.07999999999993</v>
      </c>
      <c r="I28" s="205">
        <f ca="1">G27-I27</f>
        <v>2510.7200000000003</v>
      </c>
    </row>
    <row r="32" spans="1:9" x14ac:dyDescent="0.25">
      <c r="C32" s="105" t="s">
        <v>90</v>
      </c>
    </row>
    <row r="33" spans="3:4" x14ac:dyDescent="0.25">
      <c r="C33" s="221" t="s">
        <v>91</v>
      </c>
      <c r="D33" s="3">
        <f ca="1">TODAY()</f>
        <v>44607</v>
      </c>
    </row>
  </sheetData>
  <mergeCells count="2">
    <mergeCell ref="A28:G28"/>
    <mergeCell ref="A1:I1"/>
  </mergeCells>
  <conditionalFormatting sqref="E3:E26">
    <cfRule type="cellIs" dxfId="441" priority="4" operator="between">
      <formula>6</formula>
      <formula>10</formula>
    </cfRule>
    <cfRule type="cellIs" dxfId="440" priority="5" operator="between">
      <formula>10.01</formula>
      <formula>15</formula>
    </cfRule>
  </conditionalFormatting>
  <conditionalFormatting sqref="E3:E26">
    <cfRule type="cellIs" dxfId="439" priority="6" operator="greaterThan">
      <formula>15.01</formula>
    </cfRule>
  </conditionalFormatting>
  <printOptions horizontalCentered="1"/>
  <pageMargins left="0" right="0" top="0.39370078740157483" bottom="0.39370078740157483" header="0" footer="0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J16"/>
  <sheetViews>
    <sheetView workbookViewId="0">
      <pane ySplit="3" topLeftCell="A4" activePane="bottomLeft" state="frozen"/>
      <selection sqref="A1:L14"/>
      <selection pane="bottomLeft" sqref="A1:L14"/>
    </sheetView>
  </sheetViews>
  <sheetFormatPr defaultRowHeight="15.75" x14ac:dyDescent="0.25"/>
  <cols>
    <col min="1" max="1" width="39" style="52" customWidth="1"/>
    <col min="2" max="3" width="10.625" style="1429" customWidth="1"/>
    <col min="4" max="4" width="12.625" style="1430" customWidth="1"/>
    <col min="5" max="5" width="19.625" style="52" customWidth="1"/>
    <col min="6" max="6" width="16.625" style="52" customWidth="1"/>
    <col min="7" max="7" width="28.125" style="52" customWidth="1"/>
    <col min="8" max="8" width="29.25" style="52" customWidth="1"/>
    <col min="9" max="16384" width="9" style="1418"/>
  </cols>
  <sheetData>
    <row r="1" spans="1:10" s="1431" customFormat="1" ht="18.75" x14ac:dyDescent="0.25">
      <c r="A1" s="2096" t="s">
        <v>1108</v>
      </c>
      <c r="B1" s="2097"/>
      <c r="C1" s="2097"/>
      <c r="D1" s="2097"/>
      <c r="E1" s="2097"/>
      <c r="F1" s="2097"/>
      <c r="G1" s="2097"/>
      <c r="H1" s="2098"/>
      <c r="J1" s="1432"/>
    </row>
    <row r="2" spans="1:10" s="1433" customFormat="1" ht="12.75" x14ac:dyDescent="0.25">
      <c r="A2" s="1451" t="s">
        <v>1099</v>
      </c>
      <c r="B2" s="2099" t="s">
        <v>251</v>
      </c>
      <c r="C2" s="2101" t="s">
        <v>250</v>
      </c>
      <c r="D2" s="2103" t="s">
        <v>1100</v>
      </c>
      <c r="E2" s="2105" t="s">
        <v>1101</v>
      </c>
      <c r="F2" s="2106"/>
      <c r="G2" s="2106"/>
      <c r="H2" s="2109" t="s">
        <v>346</v>
      </c>
      <c r="J2" s="1434"/>
    </row>
    <row r="3" spans="1:10" s="1433" customFormat="1" ht="33" customHeight="1" thickBot="1" x14ac:dyDescent="0.3">
      <c r="A3" s="1452" t="s">
        <v>1102</v>
      </c>
      <c r="B3" s="2100"/>
      <c r="C3" s="2102"/>
      <c r="D3" s="2104"/>
      <c r="E3" s="2107"/>
      <c r="F3" s="2108"/>
      <c r="G3" s="2108"/>
      <c r="H3" s="2110"/>
      <c r="J3" s="1434"/>
    </row>
    <row r="4" spans="1:10" s="1431" customFormat="1" ht="16.5" thickTop="1" x14ac:dyDescent="0.25">
      <c r="A4" s="1435" t="s">
        <v>1107</v>
      </c>
      <c r="B4" s="1437"/>
      <c r="C4" s="1438"/>
      <c r="D4" s="1439"/>
      <c r="E4" s="1436"/>
      <c r="F4" s="1445"/>
      <c r="G4" s="1446"/>
      <c r="H4" s="1447"/>
      <c r="J4" s="1432"/>
    </row>
    <row r="5" spans="1:10" s="1431" customFormat="1" ht="47.25" x14ac:dyDescent="0.25">
      <c r="A5" s="1758" t="s">
        <v>1355</v>
      </c>
      <c r="B5" s="1759">
        <v>219.79</v>
      </c>
      <c r="C5" s="1750">
        <f t="shared" ref="C5:C11" si="0">B5*1.2</f>
        <v>263.74799999999999</v>
      </c>
      <c r="D5" s="1751" t="s">
        <v>1356</v>
      </c>
      <c r="E5" s="1752" t="s">
        <v>1357</v>
      </c>
      <c r="F5" s="1753" t="s">
        <v>1358</v>
      </c>
      <c r="G5" s="1754" t="s">
        <v>1359</v>
      </c>
      <c r="H5" s="1755" t="s">
        <v>1374</v>
      </c>
      <c r="I5" s="1756"/>
      <c r="J5" s="1757"/>
    </row>
    <row r="6" spans="1:10" s="1431" customFormat="1" x14ac:dyDescent="0.25">
      <c r="A6" s="1441" t="s">
        <v>1361</v>
      </c>
      <c r="B6" s="1437">
        <v>224</v>
      </c>
      <c r="C6" s="1438">
        <f t="shared" si="0"/>
        <v>268.8</v>
      </c>
      <c r="D6" s="1439" t="s">
        <v>1356</v>
      </c>
      <c r="E6" s="1436" t="s">
        <v>1362</v>
      </c>
      <c r="F6" s="1445" t="s">
        <v>1363</v>
      </c>
      <c r="G6" s="1446" t="s">
        <v>1364</v>
      </c>
      <c r="H6" s="1447" t="s">
        <v>1360</v>
      </c>
      <c r="J6" s="1432"/>
    </row>
    <row r="7" spans="1:10" s="1756" customFormat="1" ht="47.25" x14ac:dyDescent="0.25">
      <c r="A7" s="1758" t="s">
        <v>1365</v>
      </c>
      <c r="B7" s="1759">
        <v>252.8</v>
      </c>
      <c r="C7" s="1750">
        <f t="shared" si="0"/>
        <v>303.36</v>
      </c>
      <c r="D7" s="1751" t="s">
        <v>1356</v>
      </c>
      <c r="E7" s="1752" t="s">
        <v>1366</v>
      </c>
      <c r="F7" s="1753" t="s">
        <v>1367</v>
      </c>
      <c r="G7" s="1754" t="s">
        <v>1368</v>
      </c>
      <c r="H7" s="1761" t="s">
        <v>1375</v>
      </c>
      <c r="J7" s="1757"/>
    </row>
    <row r="8" spans="1:10" s="1756" customFormat="1" x14ac:dyDescent="0.25">
      <c r="A8" s="1440" t="s">
        <v>385</v>
      </c>
      <c r="B8" s="1443">
        <v>259.13</v>
      </c>
      <c r="C8" s="1438">
        <f t="shared" si="0"/>
        <v>310.95599999999996</v>
      </c>
      <c r="D8" s="1439" t="s">
        <v>1356</v>
      </c>
      <c r="E8" s="1436" t="s">
        <v>1109</v>
      </c>
      <c r="F8" s="1445" t="s">
        <v>1110</v>
      </c>
      <c r="G8" s="1446" t="s">
        <v>1111</v>
      </c>
      <c r="H8" s="1448" t="s">
        <v>1377</v>
      </c>
      <c r="I8" s="1431"/>
      <c r="J8" s="1432"/>
    </row>
    <row r="9" spans="1:10" s="1431" customFormat="1" x14ac:dyDescent="0.25">
      <c r="A9" s="1441" t="s">
        <v>1369</v>
      </c>
      <c r="B9" s="1443">
        <v>411.45</v>
      </c>
      <c r="C9" s="1438">
        <f t="shared" si="0"/>
        <v>493.73999999999995</v>
      </c>
      <c r="D9" s="1439" t="s">
        <v>1356</v>
      </c>
      <c r="E9" s="1436" t="s">
        <v>1370</v>
      </c>
      <c r="F9" s="1445" t="s">
        <v>1371</v>
      </c>
      <c r="G9" s="1446" t="s">
        <v>1372</v>
      </c>
      <c r="H9" s="1448" t="s">
        <v>1377</v>
      </c>
      <c r="J9" s="1432"/>
    </row>
    <row r="10" spans="1:10" s="1431" customFormat="1" x14ac:dyDescent="0.25">
      <c r="A10" s="1440" t="s">
        <v>1104</v>
      </c>
      <c r="B10" s="1443"/>
      <c r="C10" s="1438">
        <f t="shared" si="0"/>
        <v>0</v>
      </c>
      <c r="D10" s="1439"/>
      <c r="E10" s="1442" t="s">
        <v>1105</v>
      </c>
      <c r="F10" s="1449" t="s">
        <v>1106</v>
      </c>
      <c r="G10" s="1450" t="s">
        <v>1103</v>
      </c>
      <c r="H10" s="1448" t="s">
        <v>1373</v>
      </c>
      <c r="J10" s="1432"/>
    </row>
    <row r="11" spans="1:10" s="1431" customFormat="1" x14ac:dyDescent="0.25">
      <c r="A11" s="1440" t="s">
        <v>376</v>
      </c>
      <c r="B11" s="1443"/>
      <c r="C11" s="1438">
        <f t="shared" si="0"/>
        <v>0</v>
      </c>
      <c r="D11" s="1444"/>
      <c r="E11" s="1442" t="s">
        <v>1113</v>
      </c>
      <c r="F11" s="1449" t="s">
        <v>1114</v>
      </c>
      <c r="G11" s="1450" t="s">
        <v>1115</v>
      </c>
      <c r="H11" s="1448" t="s">
        <v>1373</v>
      </c>
      <c r="J11" s="1432"/>
    </row>
    <row r="12" spans="1:10" s="1431" customFormat="1" ht="16.5" thickBot="1" x14ac:dyDescent="0.3">
      <c r="A12" s="1453"/>
      <c r="B12" s="1454"/>
      <c r="C12" s="1455"/>
      <c r="D12" s="1456"/>
      <c r="E12" s="1457"/>
      <c r="F12" s="1458"/>
      <c r="G12" s="1459"/>
      <c r="H12" s="1460"/>
      <c r="J12" s="1432"/>
    </row>
    <row r="13" spans="1:10" ht="16.5" thickTop="1" x14ac:dyDescent="0.25"/>
    <row r="15" spans="1:10" x14ac:dyDescent="0.25">
      <c r="G15" s="796" t="s">
        <v>327</v>
      </c>
      <c r="H15" s="1760" t="s">
        <v>326</v>
      </c>
    </row>
    <row r="16" spans="1:10" ht="31.5" x14ac:dyDescent="0.25">
      <c r="G16" s="1763">
        <f ca="1">TODAY()</f>
        <v>44607</v>
      </c>
      <c r="H16" s="1762" t="s">
        <v>1376</v>
      </c>
    </row>
  </sheetData>
  <sortState ref="A5:J11">
    <sortCondition ref="B5:B11"/>
  </sortState>
  <mergeCells count="6">
    <mergeCell ref="A1:H1"/>
    <mergeCell ref="B2:B3"/>
    <mergeCell ref="C2:C3"/>
    <mergeCell ref="D2:D3"/>
    <mergeCell ref="E2:G3"/>
    <mergeCell ref="H2:H3"/>
  </mergeCells>
  <conditionalFormatting sqref="I1:J4 I6:J12">
    <cfRule type="cellIs" dxfId="405" priority="1" operator="equal">
      <formula>0</formula>
    </cfRule>
  </conditionalFormatting>
  <hyperlinks>
    <hyperlink ref="G10" r:id="rId1"/>
    <hyperlink ref="G8" r:id="rId2"/>
    <hyperlink ref="G9" r:id="rId3"/>
    <hyperlink ref="G5" r:id="rId4"/>
    <hyperlink ref="G6" r:id="rId5"/>
    <hyperlink ref="G7" r:id="rId6"/>
    <hyperlink ref="G11" r:id="rId7"/>
  </hyperlinks>
  <printOptions horizontalCentered="1"/>
  <pageMargins left="0.78740157480314965" right="0.78740157480314965" top="0.78740157480314965" bottom="0.78740157480314965" header="0" footer="0"/>
  <pageSetup paperSize="9" scale="71" orientation="landscape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2:D20"/>
  <sheetViews>
    <sheetView workbookViewId="0">
      <selection sqref="A1:L14"/>
    </sheetView>
  </sheetViews>
  <sheetFormatPr defaultRowHeight="15.75" x14ac:dyDescent="0.25"/>
  <cols>
    <col min="1" max="1" width="54.125" style="1765" customWidth="1"/>
    <col min="2" max="3" width="10.625" style="1766" customWidth="1"/>
    <col min="4" max="4" width="12.625" style="1766" customWidth="1"/>
    <col min="5" max="16384" width="9" style="1765"/>
  </cols>
  <sheetData>
    <row r="2" spans="1:4" ht="31.5" customHeight="1" x14ac:dyDescent="0.25">
      <c r="A2" s="2112" t="s">
        <v>1384</v>
      </c>
      <c r="B2" s="2113"/>
      <c r="C2" s="2113"/>
      <c r="D2" s="2114"/>
    </row>
    <row r="3" spans="1:4" s="1767" customFormat="1" ht="30" customHeight="1" thickBot="1" x14ac:dyDescent="0.3">
      <c r="A3" s="2115" t="s">
        <v>1385</v>
      </c>
      <c r="B3" s="2117" t="s">
        <v>1389</v>
      </c>
      <c r="C3" s="2119" t="s">
        <v>1390</v>
      </c>
      <c r="D3" s="1781" t="s">
        <v>1391</v>
      </c>
    </row>
    <row r="4" spans="1:4" ht="30" customHeight="1" thickTop="1" thickBot="1" x14ac:dyDescent="0.3">
      <c r="A4" s="2116"/>
      <c r="B4" s="2118"/>
      <c r="C4" s="2120"/>
      <c r="D4" s="1772"/>
    </row>
    <row r="5" spans="1:4" ht="33" customHeight="1" thickTop="1" x14ac:dyDescent="0.25">
      <c r="A5" s="1775" t="s">
        <v>1378</v>
      </c>
      <c r="B5" s="1776">
        <v>3</v>
      </c>
      <c r="C5" s="1778">
        <f>B5*3</f>
        <v>9</v>
      </c>
      <c r="D5" s="1782"/>
    </row>
    <row r="6" spans="1:4" ht="33" customHeight="1" x14ac:dyDescent="0.25">
      <c r="A6" s="1769" t="s">
        <v>1392</v>
      </c>
      <c r="B6" s="1768">
        <v>11</v>
      </c>
      <c r="C6" s="1779">
        <f>B6*2</f>
        <v>22</v>
      </c>
      <c r="D6" s="1783"/>
    </row>
    <row r="7" spans="1:4" ht="33" customHeight="1" x14ac:dyDescent="0.25">
      <c r="A7" s="1769" t="s">
        <v>1379</v>
      </c>
      <c r="B7" s="1768">
        <v>11</v>
      </c>
      <c r="C7" s="1779">
        <f>B7*2</f>
        <v>22</v>
      </c>
      <c r="D7" s="1783"/>
    </row>
    <row r="8" spans="1:4" ht="33" customHeight="1" x14ac:dyDescent="0.25">
      <c r="A8" s="1769" t="s">
        <v>1380</v>
      </c>
      <c r="B8" s="1768">
        <v>11</v>
      </c>
      <c r="C8" s="1779">
        <f>B8*2</f>
        <v>22</v>
      </c>
      <c r="D8" s="1783"/>
    </row>
    <row r="9" spans="1:4" ht="12" customHeight="1" x14ac:dyDescent="0.25">
      <c r="A9" s="1764"/>
      <c r="B9" s="1773"/>
      <c r="C9" s="1773"/>
      <c r="D9" s="1774"/>
    </row>
    <row r="10" spans="1:4" ht="33" customHeight="1" x14ac:dyDescent="0.25">
      <c r="A10" s="1769" t="s">
        <v>1393</v>
      </c>
      <c r="B10" s="1768">
        <v>11</v>
      </c>
      <c r="C10" s="1779">
        <f>B10*2</f>
        <v>22</v>
      </c>
      <c r="D10" s="1783"/>
    </row>
    <row r="11" spans="1:4" ht="33" customHeight="1" x14ac:dyDescent="0.25">
      <c r="A11" s="1769" t="s">
        <v>1381</v>
      </c>
      <c r="B11" s="1768">
        <v>11</v>
      </c>
      <c r="C11" s="1779">
        <f>B11*2</f>
        <v>22</v>
      </c>
      <c r="D11" s="1783"/>
    </row>
    <row r="12" spans="1:4" ht="12" customHeight="1" x14ac:dyDescent="0.25">
      <c r="A12" s="1764"/>
      <c r="B12" s="1773"/>
      <c r="C12" s="1773"/>
      <c r="D12" s="1774"/>
    </row>
    <row r="13" spans="1:4" ht="33" customHeight="1" x14ac:dyDescent="0.25">
      <c r="A13" s="1769" t="s">
        <v>1394</v>
      </c>
      <c r="B13" s="1768">
        <v>11</v>
      </c>
      <c r="C13" s="1779">
        <f>B13*2</f>
        <v>22</v>
      </c>
      <c r="D13" s="1783"/>
    </row>
    <row r="14" spans="1:4" ht="33" customHeight="1" x14ac:dyDescent="0.25">
      <c r="A14" s="1769" t="s">
        <v>1383</v>
      </c>
      <c r="B14" s="1768">
        <v>11</v>
      </c>
      <c r="C14" s="1779">
        <f>B14*2</f>
        <v>22</v>
      </c>
      <c r="D14" s="1783"/>
    </row>
    <row r="15" spans="1:4" ht="33" customHeight="1" x14ac:dyDescent="0.25">
      <c r="A15" s="1770" t="s">
        <v>1382</v>
      </c>
      <c r="B15" s="1771">
        <v>11</v>
      </c>
      <c r="C15" s="1780">
        <f>B15*2</f>
        <v>22</v>
      </c>
      <c r="D15" s="1784"/>
    </row>
    <row r="19" spans="1:4" x14ac:dyDescent="0.25">
      <c r="A19" s="1777" t="s">
        <v>1388</v>
      </c>
      <c r="B19" s="2111" t="s">
        <v>1386</v>
      </c>
      <c r="C19" s="2111"/>
      <c r="D19" s="2111"/>
    </row>
    <row r="20" spans="1:4" x14ac:dyDescent="0.25">
      <c r="B20" s="2111" t="s">
        <v>1387</v>
      </c>
      <c r="C20" s="2111"/>
      <c r="D20" s="2111"/>
    </row>
  </sheetData>
  <mergeCells count="6">
    <mergeCell ref="B20:D20"/>
    <mergeCell ref="A2:D2"/>
    <mergeCell ref="A3:A4"/>
    <mergeCell ref="B3:B4"/>
    <mergeCell ref="C3:C4"/>
    <mergeCell ref="B19:D19"/>
  </mergeCells>
  <printOptions horizontalCentered="1"/>
  <pageMargins left="0.39370078740157483" right="0.39370078740157483" top="0.39370078740157483" bottom="0.39370078740157483" header="0" footer="0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B18"/>
  <sheetViews>
    <sheetView workbookViewId="0">
      <selection sqref="A1:L14"/>
    </sheetView>
  </sheetViews>
  <sheetFormatPr defaultRowHeight="15.75" x14ac:dyDescent="0.25"/>
  <cols>
    <col min="2" max="2" width="12.875" style="1541" customWidth="1"/>
  </cols>
  <sheetData>
    <row r="1" spans="1:2" x14ac:dyDescent="0.25">
      <c r="A1" s="1540" t="s">
        <v>594</v>
      </c>
      <c r="B1" s="1678">
        <v>54185</v>
      </c>
    </row>
    <row r="2" spans="1:2" x14ac:dyDescent="0.25">
      <c r="A2" s="1540" t="s">
        <v>185</v>
      </c>
      <c r="B2" s="1678">
        <v>115792</v>
      </c>
    </row>
    <row r="3" spans="1:2" x14ac:dyDescent="0.25">
      <c r="A3" s="1540" t="s">
        <v>36</v>
      </c>
      <c r="B3" s="1678">
        <v>300392</v>
      </c>
    </row>
    <row r="4" spans="1:2" x14ac:dyDescent="0.25">
      <c r="A4" s="1540" t="s">
        <v>40</v>
      </c>
      <c r="B4" s="1678">
        <v>136464</v>
      </c>
    </row>
    <row r="5" spans="1:2" x14ac:dyDescent="0.25">
      <c r="A5" s="1540" t="s">
        <v>1139</v>
      </c>
      <c r="B5" s="1678">
        <v>9875</v>
      </c>
    </row>
    <row r="6" spans="1:2" x14ac:dyDescent="0.25">
      <c r="A6" s="1540" t="s">
        <v>28</v>
      </c>
      <c r="B6" s="1678">
        <v>162805</v>
      </c>
    </row>
    <row r="7" spans="1:2" x14ac:dyDescent="0.25">
      <c r="A7" s="1540" t="s">
        <v>38</v>
      </c>
      <c r="B7" s="1678">
        <v>190728</v>
      </c>
    </row>
    <row r="8" spans="1:2" x14ac:dyDescent="0.25">
      <c r="A8" s="1540" t="s">
        <v>20</v>
      </c>
      <c r="B8" s="1678">
        <v>266739</v>
      </c>
    </row>
    <row r="9" spans="1:2" x14ac:dyDescent="0.25">
      <c r="A9" s="1540" t="s">
        <v>215</v>
      </c>
      <c r="B9" s="1678">
        <v>46759</v>
      </c>
    </row>
    <row r="10" spans="1:2" x14ac:dyDescent="0.25">
      <c r="A10" s="1540" t="s">
        <v>11</v>
      </c>
      <c r="B10" s="1678">
        <v>108982</v>
      </c>
    </row>
    <row r="11" spans="1:2" x14ac:dyDescent="0.25">
      <c r="A11" s="1540" t="s">
        <v>18</v>
      </c>
      <c r="B11" s="1678">
        <v>164700</v>
      </c>
    </row>
    <row r="12" spans="1:2" x14ac:dyDescent="0.25">
      <c r="A12" s="1540" t="s">
        <v>30</v>
      </c>
      <c r="B12" s="1678">
        <v>198913</v>
      </c>
    </row>
    <row r="13" spans="1:2" x14ac:dyDescent="0.25">
      <c r="A13" s="1540" t="s">
        <v>164</v>
      </c>
      <c r="B13" s="1678">
        <v>120387</v>
      </c>
    </row>
    <row r="14" spans="1:2" x14ac:dyDescent="0.25">
      <c r="A14" s="1540" t="s">
        <v>25</v>
      </c>
      <c r="B14" s="1678">
        <v>140902</v>
      </c>
    </row>
    <row r="15" spans="1:2" x14ac:dyDescent="0.25">
      <c r="A15" s="1540"/>
      <c r="B15" s="1678"/>
    </row>
    <row r="16" spans="1:2" x14ac:dyDescent="0.25">
      <c r="A16" s="1540"/>
      <c r="B16" s="1678"/>
    </row>
    <row r="17" spans="1:2" x14ac:dyDescent="0.25">
      <c r="A17" s="1540" t="s">
        <v>713</v>
      </c>
      <c r="B17" s="1678">
        <v>621460</v>
      </c>
    </row>
    <row r="18" spans="1:2" x14ac:dyDescent="0.25">
      <c r="A18" s="1540" t="s">
        <v>23</v>
      </c>
      <c r="B18" s="1678">
        <v>320493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3">
    <tabColor rgb="FF7030A0"/>
    <pageSetUpPr fitToPage="1"/>
  </sheetPr>
  <dimension ref="A1:BN91"/>
  <sheetViews>
    <sheetView workbookViewId="0">
      <pane xSplit="5" ySplit="4" topLeftCell="M5" activePane="bottomRight" state="frozen"/>
      <selection pane="topRight" activeCell="F1" sqref="F1"/>
      <selection pane="bottomLeft" activeCell="A5" sqref="A5"/>
      <selection pane="bottomRight" activeCell="Q2" sqref="Q2"/>
    </sheetView>
  </sheetViews>
  <sheetFormatPr defaultColWidth="9" defaultRowHeight="15.75" x14ac:dyDescent="0.25"/>
  <cols>
    <col min="1" max="1" width="3.625" style="220" customWidth="1"/>
    <col min="2" max="2" width="8.625" style="105" customWidth="1"/>
    <col min="3" max="3" width="24.375" style="105" customWidth="1"/>
    <col min="4" max="5" width="5.625" style="244" customWidth="1"/>
    <col min="6" max="7" width="8.625" style="3" customWidth="1"/>
    <col min="8" max="9" width="8.375" style="4" customWidth="1"/>
    <col min="10" max="13" width="8.625" style="5" customWidth="1"/>
    <col min="14" max="22" width="8.625" style="3" customWidth="1"/>
    <col min="23" max="24" width="7.125" style="523" customWidth="1"/>
    <col min="25" max="25" width="8.625" style="5" customWidth="1"/>
    <col min="26" max="26" width="6" style="5" customWidth="1"/>
    <col min="27" max="27" width="7.75" style="5" customWidth="1"/>
    <col min="28" max="28" width="8.625" style="3" customWidth="1"/>
    <col min="29" max="29" width="8.625" style="61" customWidth="1"/>
    <col min="30" max="42" width="8.625" style="3" customWidth="1"/>
    <col min="43" max="43" width="11.5" style="3" customWidth="1"/>
    <col min="44" max="45" width="10.625" style="3" customWidth="1"/>
    <col min="46" max="51" width="9.625" style="3" customWidth="1"/>
    <col min="52" max="52" width="10.625" style="3" customWidth="1"/>
    <col min="53" max="54" width="9.625" style="3" customWidth="1"/>
    <col min="55" max="57" width="10.625" style="3" customWidth="1"/>
    <col min="58" max="58" width="12.625" style="1513" customWidth="1"/>
    <col min="59" max="59" width="20.5" style="6" customWidth="1"/>
    <col min="60" max="60" width="8.875" style="6" customWidth="1"/>
    <col min="61" max="61" width="13.125" style="57" customWidth="1"/>
    <col min="62" max="62" width="7.5" style="4" customWidth="1"/>
    <col min="63" max="63" width="6.625" style="61" customWidth="1"/>
    <col min="64" max="64" width="45.375" style="6" customWidth="1"/>
    <col min="65" max="16384" width="9" style="1"/>
  </cols>
  <sheetData>
    <row r="1" spans="1:66" s="49" customFormat="1" x14ac:dyDescent="0.25">
      <c r="A1" s="224" t="s">
        <v>43</v>
      </c>
      <c r="B1" s="93"/>
      <c r="C1" s="93"/>
      <c r="D1" s="1529">
        <v>4</v>
      </c>
      <c r="E1" s="1529">
        <f>D1+1</f>
        <v>5</v>
      </c>
      <c r="F1" s="1529">
        <f t="shared" ref="F1:AP1" si="0">E1+1</f>
        <v>6</v>
      </c>
      <c r="G1" s="1529">
        <f t="shared" si="0"/>
        <v>7</v>
      </c>
      <c r="H1" s="1529">
        <f t="shared" si="0"/>
        <v>8</v>
      </c>
      <c r="I1" s="1529">
        <f t="shared" si="0"/>
        <v>9</v>
      </c>
      <c r="J1" s="1529">
        <f t="shared" si="0"/>
        <v>10</v>
      </c>
      <c r="K1" s="1529">
        <f t="shared" si="0"/>
        <v>11</v>
      </c>
      <c r="L1" s="1529">
        <f t="shared" si="0"/>
        <v>12</v>
      </c>
      <c r="M1" s="1529">
        <f t="shared" si="0"/>
        <v>13</v>
      </c>
      <c r="N1" s="1529">
        <f t="shared" si="0"/>
        <v>14</v>
      </c>
      <c r="O1" s="1529">
        <f t="shared" si="0"/>
        <v>15</v>
      </c>
      <c r="P1" s="1529">
        <f t="shared" si="0"/>
        <v>16</v>
      </c>
      <c r="Q1" s="1529">
        <f t="shared" si="0"/>
        <v>17</v>
      </c>
      <c r="R1" s="1529">
        <f t="shared" si="0"/>
        <v>18</v>
      </c>
      <c r="S1" s="1529">
        <f t="shared" si="0"/>
        <v>19</v>
      </c>
      <c r="T1" s="1529">
        <f t="shared" si="0"/>
        <v>20</v>
      </c>
      <c r="U1" s="1529">
        <f t="shared" si="0"/>
        <v>21</v>
      </c>
      <c r="V1" s="1529">
        <f t="shared" si="0"/>
        <v>22</v>
      </c>
      <c r="W1" s="1529">
        <f t="shared" si="0"/>
        <v>23</v>
      </c>
      <c r="X1" s="1529">
        <f t="shared" si="0"/>
        <v>24</v>
      </c>
      <c r="Y1" s="1529">
        <f t="shared" si="0"/>
        <v>25</v>
      </c>
      <c r="Z1" s="1529">
        <f t="shared" si="0"/>
        <v>26</v>
      </c>
      <c r="AA1" s="1529">
        <f t="shared" si="0"/>
        <v>27</v>
      </c>
      <c r="AB1" s="1529">
        <f t="shared" si="0"/>
        <v>28</v>
      </c>
      <c r="AC1" s="1529">
        <f t="shared" si="0"/>
        <v>29</v>
      </c>
      <c r="AD1" s="1529">
        <f t="shared" si="0"/>
        <v>30</v>
      </c>
      <c r="AE1" s="1529">
        <f t="shared" si="0"/>
        <v>31</v>
      </c>
      <c r="AF1" s="1529">
        <f t="shared" si="0"/>
        <v>32</v>
      </c>
      <c r="AG1" s="1529">
        <f t="shared" si="0"/>
        <v>33</v>
      </c>
      <c r="AH1" s="1529">
        <f t="shared" si="0"/>
        <v>34</v>
      </c>
      <c r="AI1" s="1529">
        <f t="shared" si="0"/>
        <v>35</v>
      </c>
      <c r="AJ1" s="1529">
        <f t="shared" si="0"/>
        <v>36</v>
      </c>
      <c r="AK1" s="1529">
        <f t="shared" si="0"/>
        <v>37</v>
      </c>
      <c r="AL1" s="1529">
        <f t="shared" si="0"/>
        <v>38</v>
      </c>
      <c r="AM1" s="1529">
        <f t="shared" si="0"/>
        <v>39</v>
      </c>
      <c r="AN1" s="1529">
        <f t="shared" si="0"/>
        <v>40</v>
      </c>
      <c r="AO1" s="1529">
        <f t="shared" si="0"/>
        <v>41</v>
      </c>
      <c r="AP1" s="1529">
        <f t="shared" si="0"/>
        <v>42</v>
      </c>
      <c r="AQ1" s="48" t="s">
        <v>932</v>
      </c>
      <c r="AR1" s="48"/>
      <c r="AS1" s="48"/>
      <c r="AT1" s="48"/>
      <c r="AU1" s="1529">
        <f>AP1+5</f>
        <v>47</v>
      </c>
      <c r="AV1" s="1531">
        <v>43831</v>
      </c>
      <c r="AW1" s="1234" t="s">
        <v>933</v>
      </c>
      <c r="AX1" s="1530">
        <f ca="1">TODAY()</f>
        <v>44607</v>
      </c>
      <c r="AY1" s="1529">
        <f>AU1+4</f>
        <v>51</v>
      </c>
      <c r="AZ1" s="1529">
        <f t="shared" ref="AZ1:BN1" si="1">AY1+1</f>
        <v>52</v>
      </c>
      <c r="BA1" s="1529">
        <f t="shared" si="1"/>
        <v>53</v>
      </c>
      <c r="BB1" s="1529">
        <f t="shared" si="1"/>
        <v>54</v>
      </c>
      <c r="BC1" s="1529">
        <f t="shared" si="1"/>
        <v>55</v>
      </c>
      <c r="BD1" s="1529">
        <f t="shared" si="1"/>
        <v>56</v>
      </c>
      <c r="BE1" s="1529">
        <f t="shared" si="1"/>
        <v>57</v>
      </c>
      <c r="BF1" s="1529">
        <f t="shared" si="1"/>
        <v>58</v>
      </c>
      <c r="BG1" s="1529">
        <f t="shared" si="1"/>
        <v>59</v>
      </c>
      <c r="BH1" s="1529">
        <f t="shared" si="1"/>
        <v>60</v>
      </c>
      <c r="BI1" s="1529">
        <f t="shared" si="1"/>
        <v>61</v>
      </c>
      <c r="BJ1" s="1529">
        <f t="shared" si="1"/>
        <v>62</v>
      </c>
      <c r="BK1" s="1529">
        <f t="shared" si="1"/>
        <v>63</v>
      </c>
      <c r="BL1" s="1529">
        <f t="shared" si="1"/>
        <v>64</v>
      </c>
      <c r="BM1" s="1532">
        <f t="shared" si="1"/>
        <v>65</v>
      </c>
      <c r="BN1" s="1532">
        <f t="shared" si="1"/>
        <v>66</v>
      </c>
    </row>
    <row r="2" spans="1:66" s="2" customFormat="1" ht="60" customHeight="1" x14ac:dyDescent="0.25">
      <c r="A2" s="225" t="s">
        <v>42</v>
      </c>
      <c r="B2" s="94" t="s">
        <v>2</v>
      </c>
      <c r="C2" s="95" t="s">
        <v>3</v>
      </c>
      <c r="D2" s="2164" t="s">
        <v>126</v>
      </c>
      <c r="E2" s="2165"/>
      <c r="F2" s="27" t="s">
        <v>4</v>
      </c>
      <c r="G2" s="1237" t="s">
        <v>925</v>
      </c>
      <c r="H2" s="1248" t="s">
        <v>5</v>
      </c>
      <c r="I2" s="44" t="s">
        <v>926</v>
      </c>
      <c r="J2" s="525" t="s">
        <v>924</v>
      </c>
      <c r="K2" s="39" t="s">
        <v>102</v>
      </c>
      <c r="L2" s="15" t="s">
        <v>7</v>
      </c>
      <c r="M2" s="18" t="s">
        <v>8</v>
      </c>
      <c r="N2" s="27" t="s">
        <v>9</v>
      </c>
      <c r="O2" s="83" t="s">
        <v>10</v>
      </c>
      <c r="P2" s="83" t="s">
        <v>1150</v>
      </c>
      <c r="Q2" s="230" t="s">
        <v>1543</v>
      </c>
      <c r="R2" s="230" t="s">
        <v>562</v>
      </c>
      <c r="S2" s="28" t="s">
        <v>1542</v>
      </c>
      <c r="T2" s="27" t="s">
        <v>316</v>
      </c>
      <c r="U2" s="230" t="s">
        <v>317</v>
      </c>
      <c r="V2" s="28" t="s">
        <v>324</v>
      </c>
      <c r="W2" s="2166" t="s">
        <v>292</v>
      </c>
      <c r="X2" s="2167"/>
      <c r="Y2" s="2167"/>
      <c r="Z2" s="2167"/>
      <c r="AA2" s="2167"/>
      <c r="AB2" s="2168"/>
      <c r="AC2" s="106" t="s">
        <v>54</v>
      </c>
      <c r="AD2" s="374" t="s">
        <v>189</v>
      </c>
      <c r="AE2" s="375" t="s">
        <v>188</v>
      </c>
      <c r="AF2" s="373" t="s">
        <v>304</v>
      </c>
      <c r="AG2" s="83" t="s">
        <v>57</v>
      </c>
      <c r="AH2" s="83" t="s">
        <v>904</v>
      </c>
      <c r="AI2" s="230" t="s">
        <v>903</v>
      </c>
      <c r="AJ2" s="230" t="s">
        <v>902</v>
      </c>
      <c r="AK2" s="230" t="s">
        <v>900</v>
      </c>
      <c r="AL2" s="230" t="s">
        <v>917</v>
      </c>
      <c r="AM2" s="230" t="s">
        <v>918</v>
      </c>
      <c r="AN2" s="230" t="s">
        <v>905</v>
      </c>
      <c r="AO2" s="230" t="s">
        <v>901</v>
      </c>
      <c r="AP2" s="232" t="s">
        <v>96</v>
      </c>
      <c r="AQ2" s="1268" t="s">
        <v>934</v>
      </c>
      <c r="AR2" s="83" t="s">
        <v>935</v>
      </c>
      <c r="AS2" s="83" t="s">
        <v>936</v>
      </c>
      <c r="AT2" s="83" t="s">
        <v>937</v>
      </c>
      <c r="AU2" s="83" t="s">
        <v>938</v>
      </c>
      <c r="AV2" s="83" t="s">
        <v>939</v>
      </c>
      <c r="AW2" s="83" t="s">
        <v>940</v>
      </c>
      <c r="AX2" s="83" t="s">
        <v>941</v>
      </c>
      <c r="AY2" s="83" t="s">
        <v>942</v>
      </c>
      <c r="AZ2" s="83" t="s">
        <v>943</v>
      </c>
      <c r="BA2" s="83" t="s">
        <v>395</v>
      </c>
      <c r="BB2" s="230"/>
      <c r="BC2" s="1384" t="s">
        <v>329</v>
      </c>
      <c r="BD2" s="1268" t="s">
        <v>944</v>
      </c>
      <c r="BE2" s="28" t="s">
        <v>1134</v>
      </c>
      <c r="BF2" s="1383" t="s">
        <v>1019</v>
      </c>
      <c r="BG2" s="1235" t="s">
        <v>69</v>
      </c>
      <c r="BH2" s="166" t="s">
        <v>73</v>
      </c>
      <c r="BI2" s="167" t="s">
        <v>71</v>
      </c>
      <c r="BJ2" s="175" t="s">
        <v>72</v>
      </c>
      <c r="BK2" s="168" t="s">
        <v>81</v>
      </c>
      <c r="BL2" s="1421" t="s">
        <v>1085</v>
      </c>
    </row>
    <row r="3" spans="1:66" ht="56.25" x14ac:dyDescent="0.25">
      <c r="A3" s="217"/>
      <c r="B3" s="96"/>
      <c r="C3" s="97" t="s">
        <v>14</v>
      </c>
      <c r="D3" s="1703" t="s">
        <v>127</v>
      </c>
      <c r="E3" s="1704" t="s">
        <v>128</v>
      </c>
      <c r="F3" s="45"/>
      <c r="G3" s="609"/>
      <c r="H3" s="207">
        <f ca="1">AVERAGE(H5:H27)</f>
        <v>10.617385352498289</v>
      </c>
      <c r="I3" s="301"/>
      <c r="J3" s="1695">
        <f>AVERAGE(J5:J27)</f>
        <v>184974.3125</v>
      </c>
      <c r="K3" s="1236">
        <f>AVERAGE(K5:K27)</f>
        <v>146388.5625</v>
      </c>
      <c r="L3" s="1236">
        <f ca="1">AVERAGE(L5:L27)</f>
        <v>18145.921174095583</v>
      </c>
      <c r="M3" s="19">
        <f ca="1">AVERAGE(M5:M27)</f>
        <v>1512.1600978412987</v>
      </c>
      <c r="N3" s="29"/>
      <c r="O3" s="506"/>
      <c r="P3" s="506"/>
      <c r="Q3" s="545"/>
      <c r="R3" s="545"/>
      <c r="S3" s="30"/>
      <c r="T3" s="29"/>
      <c r="U3" s="545"/>
      <c r="V3" s="30"/>
      <c r="W3" s="525" t="s">
        <v>293</v>
      </c>
      <c r="X3" s="766" t="s">
        <v>382</v>
      </c>
      <c r="Y3" s="526" t="s">
        <v>1255</v>
      </c>
      <c r="Z3" s="527" t="s">
        <v>296</v>
      </c>
      <c r="AA3" s="765" t="s">
        <v>383</v>
      </c>
      <c r="AB3" s="28" t="s">
        <v>1254</v>
      </c>
      <c r="AC3" s="107">
        <f t="shared" ref="AC3:AO3" si="2">AVERAGE(AC5:AC7,AC9:AC18,AC20:AC27)</f>
        <v>8.9510699572573156</v>
      </c>
      <c r="AD3" s="366" t="e">
        <f t="shared" ca="1" si="2"/>
        <v>#NAME?</v>
      </c>
      <c r="AE3" s="367" t="e">
        <f t="shared" ca="1" si="2"/>
        <v>#NAME?</v>
      </c>
      <c r="AF3" s="362">
        <f t="shared" ca="1" si="2"/>
        <v>0.13209131258030915</v>
      </c>
      <c r="AG3" s="351">
        <f t="shared" si="2"/>
        <v>0.1170195560658463</v>
      </c>
      <c r="AH3" s="351">
        <f t="shared" si="2"/>
        <v>8.2378060904313641E-2</v>
      </c>
      <c r="AI3" s="352">
        <f t="shared" si="2"/>
        <v>1.0681633296315962E-2</v>
      </c>
      <c r="AJ3" s="352" t="e">
        <f t="shared" si="2"/>
        <v>#NAME?</v>
      </c>
      <c r="AK3" s="352">
        <f t="shared" si="2"/>
        <v>1.2835635172459286E-2</v>
      </c>
      <c r="AL3" s="352">
        <f t="shared" si="2"/>
        <v>3.406394652480901E-3</v>
      </c>
      <c r="AM3" s="352">
        <f t="shared" si="2"/>
        <v>3.2280481517182606E-3</v>
      </c>
      <c r="AN3" s="352">
        <f t="shared" si="2"/>
        <v>0.20729860482330059</v>
      </c>
      <c r="AO3" s="352">
        <f t="shared" si="2"/>
        <v>4.056362771302964E-2</v>
      </c>
      <c r="AP3" s="353">
        <f ca="1">$M$32</f>
        <v>0.74673501316597402</v>
      </c>
      <c r="AQ3" s="1269">
        <f t="shared" ref="AQ3:BA3" ca="1" si="3">SUM(AQ5:AQ27)</f>
        <v>25436.225210645767</v>
      </c>
      <c r="AR3" s="351">
        <f t="shared" ca="1" si="3"/>
        <v>22256.199999999997</v>
      </c>
      <c r="AS3" s="351">
        <f t="shared" ca="1" si="3"/>
        <v>27930.940000000002</v>
      </c>
      <c r="AT3" s="351">
        <f t="shared" ca="1" si="3"/>
        <v>1255.6600000000001</v>
      </c>
      <c r="AU3" s="351">
        <f t="shared" ca="1" si="3"/>
        <v>457.59799999999996</v>
      </c>
      <c r="AV3" s="1272">
        <f t="shared" ca="1" si="3"/>
        <v>59</v>
      </c>
      <c r="AW3" s="351">
        <f t="shared" ca="1" si="3"/>
        <v>3392.0700000000015</v>
      </c>
      <c r="AX3" s="351">
        <f t="shared" ca="1" si="3"/>
        <v>1200</v>
      </c>
      <c r="AY3" s="351">
        <f t="shared" ca="1" si="3"/>
        <v>93.599999999999966</v>
      </c>
      <c r="AZ3" s="351">
        <f t="shared" ca="1" si="3"/>
        <v>18253.799999999996</v>
      </c>
      <c r="BA3" s="351">
        <f t="shared" ca="1" si="3"/>
        <v>13798.849999999999</v>
      </c>
      <c r="BB3" s="352"/>
      <c r="BC3" s="1385">
        <f ca="1">SUM(AQ3:AU3,AW3:BB3)</f>
        <v>114074.94321064578</v>
      </c>
      <c r="BD3" s="1270">
        <f ca="1">AVERAGE(BD5:BD27)</f>
        <v>0.66188500620965596</v>
      </c>
      <c r="BE3" s="1501" t="e">
        <f ca="1">BD3-AE3</f>
        <v>#NAME?</v>
      </c>
      <c r="BF3" s="1507" t="e">
        <f>SUM(BF5:BF27)</f>
        <v>#NAME?</v>
      </c>
      <c r="BG3" s="1276"/>
      <c r="BH3" s="172"/>
      <c r="BI3" s="173"/>
      <c r="BJ3" s="176"/>
      <c r="BK3" s="182"/>
      <c r="BL3" s="1422"/>
    </row>
    <row r="4" spans="1:66" x14ac:dyDescent="0.25">
      <c r="A4" s="217"/>
      <c r="B4" s="96"/>
      <c r="C4" s="97"/>
      <c r="D4" s="1703"/>
      <c r="E4" s="1704"/>
      <c r="F4" s="45"/>
      <c r="G4" s="609"/>
      <c r="H4" s="207"/>
      <c r="I4" s="1252"/>
      <c r="J4" s="1695"/>
      <c r="K4" s="40"/>
      <c r="L4" s="1236"/>
      <c r="M4" s="1696">
        <f>30000/12</f>
        <v>2500</v>
      </c>
      <c r="N4" s="29"/>
      <c r="O4" s="506"/>
      <c r="P4" s="506"/>
      <c r="Q4" s="545"/>
      <c r="R4" s="545"/>
      <c r="S4" s="30"/>
      <c r="T4" s="29"/>
      <c r="U4" s="545"/>
      <c r="V4" s="30"/>
      <c r="W4" s="525"/>
      <c r="X4" s="766"/>
      <c r="Y4" s="526"/>
      <c r="Z4" s="527"/>
      <c r="AA4" s="1218"/>
      <c r="AB4" s="28"/>
      <c r="AC4" s="107"/>
      <c r="AD4" s="366"/>
      <c r="AE4" s="367"/>
      <c r="AF4" s="1231" t="e">
        <f ca="1">AF3/SUM($AF$3:$AO$3)</f>
        <v>#NAME?</v>
      </c>
      <c r="AG4" s="1232" t="e">
        <f t="shared" ref="AG4:AN4" ca="1" si="4">AG3/SUM($AF$3:$AO$3)</f>
        <v>#NAME?</v>
      </c>
      <c r="AH4" s="1232" t="e">
        <f t="shared" ca="1" si="4"/>
        <v>#NAME?</v>
      </c>
      <c r="AI4" s="1233" t="e">
        <f t="shared" ca="1" si="4"/>
        <v>#NAME?</v>
      </c>
      <c r="AJ4" s="1233" t="e">
        <f t="shared" ca="1" si="4"/>
        <v>#NAME?</v>
      </c>
      <c r="AK4" s="1233" t="e">
        <f t="shared" ca="1" si="4"/>
        <v>#NAME?</v>
      </c>
      <c r="AL4" s="1233" t="e">
        <f t="shared" ca="1" si="4"/>
        <v>#NAME?</v>
      </c>
      <c r="AM4" s="1233" t="e">
        <f t="shared" ca="1" si="4"/>
        <v>#NAME?</v>
      </c>
      <c r="AN4" s="1233" t="e">
        <f t="shared" ca="1" si="4"/>
        <v>#NAME?</v>
      </c>
      <c r="AO4" s="1233" t="e">
        <f ca="1">AO3/SUM($AF$3:$AO$3)</f>
        <v>#NAME?</v>
      </c>
      <c r="AP4" s="1305" t="e">
        <f ca="1">AP3/SUM(AF3:AP3)</f>
        <v>#NAME?</v>
      </c>
      <c r="AQ4" s="1298">
        <f ca="1">AQ3/$BC$3</f>
        <v>0.22297819744408157</v>
      </c>
      <c r="AR4" s="1299">
        <f ca="1">AR3/$BC$3</f>
        <v>0.19510156545861851</v>
      </c>
      <c r="AS4" s="1299">
        <f ca="1">AS3/$BC$3</f>
        <v>0.24484728384588328</v>
      </c>
      <c r="AT4" s="1299">
        <f ca="1">AT3/$BC$3</f>
        <v>1.1007325225499813E-2</v>
      </c>
      <c r="AU4" s="1299">
        <f ca="1">AU3/$BC$3</f>
        <v>4.0113804760351238E-3</v>
      </c>
      <c r="AV4" s="1299"/>
      <c r="AW4" s="1299">
        <f ca="1">AW3/$BC$3</f>
        <v>2.9735452015403188E-2</v>
      </c>
      <c r="AX4" s="1299">
        <f ca="1">AX3/$BC$3</f>
        <v>1.0519400371597229E-2</v>
      </c>
      <c r="AY4" s="1299">
        <f ca="1">AY3/$BC$3</f>
        <v>8.205132289845835E-4</v>
      </c>
      <c r="AZ4" s="1299">
        <f ca="1">AZ3/$BC$3</f>
        <v>0.1600158587525512</v>
      </c>
      <c r="BA4" s="1299">
        <f ca="1">BA3/$BC$3</f>
        <v>0.12096302318134533</v>
      </c>
      <c r="BB4" s="1300"/>
      <c r="BC4" s="1386">
        <f ca="1">SUM(AQ4:AU4,AW4:BB4)</f>
        <v>0.99999999999999989</v>
      </c>
      <c r="BD4" s="1298"/>
      <c r="BE4" s="1502"/>
      <c r="BF4" s="1507"/>
      <c r="BG4" s="1276"/>
      <c r="BH4" s="172"/>
      <c r="BI4" s="173"/>
      <c r="BJ4" s="176"/>
      <c r="BK4" s="182"/>
      <c r="BL4" s="1422"/>
    </row>
    <row r="5" spans="1:66" x14ac:dyDescent="0.25">
      <c r="A5" s="1289">
        <v>1</v>
      </c>
      <c r="B5" s="112" t="str">
        <f>KE164JL!A1</f>
        <v>KE164JL</v>
      </c>
      <c r="C5" s="100" t="str">
        <f>KE164JL!B1</f>
        <v>VW - GOLF combi</v>
      </c>
      <c r="D5" s="1705"/>
      <c r="E5" s="1706"/>
      <c r="F5" s="35">
        <f>KE164JL!B2</f>
        <v>41992</v>
      </c>
      <c r="G5" s="1245">
        <f>KE164JL!C2</f>
        <v>41992</v>
      </c>
      <c r="H5" s="209">
        <f ca="1">(TODAY()-F5)/365.25</f>
        <v>7.1594798083504445</v>
      </c>
      <c r="I5" s="1253">
        <f ca="1">(TODAY()-G5)/365.25</f>
        <v>7.1594798083504445</v>
      </c>
      <c r="J5" s="1697">
        <f>KE164JL!F4</f>
        <v>136464</v>
      </c>
      <c r="K5" s="41">
        <f>J5</f>
        <v>136464</v>
      </c>
      <c r="L5" s="1283">
        <f ca="1">K5/I5</f>
        <v>19060.602676864244</v>
      </c>
      <c r="M5" s="22">
        <f ca="1">L5/12</f>
        <v>1588.3835564053536</v>
      </c>
      <c r="N5" s="35">
        <v>44898</v>
      </c>
      <c r="O5" s="192">
        <v>44898</v>
      </c>
      <c r="P5" s="192" t="s">
        <v>13</v>
      </c>
      <c r="Q5" s="546" t="s">
        <v>13</v>
      </c>
      <c r="R5" s="546" t="s">
        <v>13</v>
      </c>
      <c r="S5" s="36" t="s">
        <v>13</v>
      </c>
      <c r="T5" s="35" t="s">
        <v>13</v>
      </c>
      <c r="U5" s="546" t="s">
        <v>13</v>
      </c>
      <c r="V5" s="36" t="s">
        <v>13</v>
      </c>
      <c r="W5" s="520">
        <v>30000</v>
      </c>
      <c r="X5" s="769">
        <v>136469</v>
      </c>
      <c r="Y5" s="186">
        <f>W5+X5</f>
        <v>166469</v>
      </c>
      <c r="Z5" s="1694">
        <v>1</v>
      </c>
      <c r="AA5" s="1966">
        <v>44550</v>
      </c>
      <c r="AB5" s="322">
        <f>($AA$28*Z5)+AA5</f>
        <v>44915.25</v>
      </c>
      <c r="AC5" s="109">
        <f>KE164JL!B7</f>
        <v>5.3088211498487681</v>
      </c>
      <c r="AD5" s="369">
        <f ca="1">AE5+AP5</f>
        <v>0.20755185810470866</v>
      </c>
      <c r="AE5" s="370">
        <f ca="1">KE164JL!F5</f>
        <v>0.20755185810470866</v>
      </c>
      <c r="AF5" s="364">
        <f ca="1">KE164JL!I3</f>
        <v>7.5801277770109726E-2</v>
      </c>
      <c r="AG5" s="141">
        <f>KE164JL!C6</f>
        <v>6.4418590756898722E-2</v>
      </c>
      <c r="AH5" s="141">
        <f>KE164JL!F6</f>
        <v>2.5792979696180132E-2</v>
      </c>
      <c r="AI5" s="231">
        <f>KE164JL!I6</f>
        <v>6.2342067744948623E-3</v>
      </c>
      <c r="AJ5" s="231">
        <f>KE164JL!K6</f>
        <v>0</v>
      </c>
      <c r="AK5" s="231">
        <f>KE164JL!M6</f>
        <v>8.002556413155686E-3</v>
      </c>
      <c r="AL5" s="231">
        <f>KE164JL!O6</f>
        <v>2.4580895727840321E-3</v>
      </c>
      <c r="AM5" s="231"/>
      <c r="AN5" s="231"/>
      <c r="AO5" s="231">
        <f>KE164JL!AE3</f>
        <v>2.4844157121085498E-2</v>
      </c>
      <c r="AP5" s="233">
        <v>0</v>
      </c>
      <c r="AQ5" s="1270">
        <f ca="1">KE164JL!B3/KE164JL!G2</f>
        <v>1444.8180379746836</v>
      </c>
      <c r="AR5" s="141">
        <f ca="1">KE164JL!C102</f>
        <v>78.640000000000015</v>
      </c>
      <c r="AS5" s="141">
        <f ca="1">KE164JL!F102</f>
        <v>448.69</v>
      </c>
      <c r="AT5" s="141">
        <f ca="1">KE164JL!I102</f>
        <v>0</v>
      </c>
      <c r="AU5" s="141">
        <f ca="1">KE164JL!K100</f>
        <v>0</v>
      </c>
      <c r="AV5" s="1274">
        <f ca="1">KE164JL!J101</f>
        <v>0</v>
      </c>
      <c r="AW5" s="141">
        <f ca="1">KE164JL!M102</f>
        <v>218.40000000000009</v>
      </c>
      <c r="AX5" s="141">
        <f ca="1">KE164JL!O102</f>
        <v>100</v>
      </c>
      <c r="AY5" s="141"/>
      <c r="AZ5" s="141"/>
      <c r="BA5" s="141">
        <f ca="1">KE164JL!AE106</f>
        <v>847.44999999999993</v>
      </c>
      <c r="BB5" s="231"/>
      <c r="BC5" s="1387">
        <f ca="1">SUM(AQ5:AU5,AW5:BB5)</f>
        <v>3137.9980379746839</v>
      </c>
      <c r="BD5" s="1270">
        <f ca="1">KE164JL!F99</f>
        <v>1.9761155314176966</v>
      </c>
      <c r="BE5" s="1504">
        <f t="shared" ref="BE5:BE26" ca="1" si="5">BD5-AE5</f>
        <v>1.7685636733129879</v>
      </c>
      <c r="BF5" s="1509">
        <f>KE164JL!H5</f>
        <v>30653.854000000003</v>
      </c>
      <c r="BG5" s="1278" t="s">
        <v>82</v>
      </c>
      <c r="BH5" s="154" t="s">
        <v>74</v>
      </c>
      <c r="BI5" s="155">
        <v>1968</v>
      </c>
      <c r="BJ5" s="178">
        <v>110</v>
      </c>
      <c r="BK5" s="184">
        <v>50</v>
      </c>
      <c r="BL5" s="1424" t="s">
        <v>1117</v>
      </c>
    </row>
    <row r="6" spans="1:66" x14ac:dyDescent="0.25">
      <c r="A6" s="1289">
        <f>A5+1</f>
        <v>2</v>
      </c>
      <c r="B6" s="112" t="str">
        <f>KE502KB!A1</f>
        <v>KE502KB</v>
      </c>
      <c r="C6" s="100" t="str">
        <f>KE502KB!B1</f>
        <v>VW - PASSAT combi</v>
      </c>
      <c r="D6" s="1705"/>
      <c r="E6" s="1706"/>
      <c r="F6" s="35">
        <f>KE502KB!B2</f>
        <v>42366</v>
      </c>
      <c r="G6" s="1245">
        <f>KE502KB!C2</f>
        <v>42366</v>
      </c>
      <c r="H6" s="209">
        <f ca="1">(TODAY()-F6)/365.25</f>
        <v>6.1355236139630387</v>
      </c>
      <c r="I6" s="1253">
        <f ca="1">(TODAY()-G6)/365.25</f>
        <v>6.1355236139630387</v>
      </c>
      <c r="J6" s="1697">
        <f>KE502KB!F4</f>
        <v>190728</v>
      </c>
      <c r="K6" s="41">
        <f>J6</f>
        <v>190728</v>
      </c>
      <c r="L6" s="1283">
        <f ca="1">K6/I6</f>
        <v>31085.855421686749</v>
      </c>
      <c r="M6" s="22">
        <f ca="1">L6/12</f>
        <v>2590.4879518072289</v>
      </c>
      <c r="N6" s="35">
        <v>44542</v>
      </c>
      <c r="O6" s="192">
        <v>44542</v>
      </c>
      <c r="P6" s="192" t="s">
        <v>13</v>
      </c>
      <c r="Q6" s="546" t="s">
        <v>13</v>
      </c>
      <c r="R6" s="546" t="s">
        <v>13</v>
      </c>
      <c r="S6" s="36" t="s">
        <v>13</v>
      </c>
      <c r="T6" s="35" t="s">
        <v>13</v>
      </c>
      <c r="U6" s="546" t="s">
        <v>13</v>
      </c>
      <c r="V6" s="36" t="s">
        <v>13</v>
      </c>
      <c r="W6" s="1717">
        <v>30000</v>
      </c>
      <c r="X6" s="1718">
        <v>150977</v>
      </c>
      <c r="Y6" s="1719">
        <f>W6+X6</f>
        <v>180977</v>
      </c>
      <c r="Z6" s="1720">
        <v>1</v>
      </c>
      <c r="AA6" s="1721">
        <v>43791</v>
      </c>
      <c r="AB6" s="1722">
        <f>($AA$28*Z6)+AA6</f>
        <v>44156.25</v>
      </c>
      <c r="AC6" s="109">
        <f>KE502KB!B7</f>
        <v>6.4512454068074572</v>
      </c>
      <c r="AD6" s="369">
        <f ca="1">AE6+AP6</f>
        <v>0.18972898040819192</v>
      </c>
      <c r="AE6" s="370">
        <f ca="1">KE502KB!F5</f>
        <v>0.18972898040819192</v>
      </c>
      <c r="AF6" s="364">
        <f ca="1">KE502KB!I3</f>
        <v>6.9717465630689396E-2</v>
      </c>
      <c r="AG6" s="141">
        <f>KE502KB!C6</f>
        <v>7.9289755750232033E-2</v>
      </c>
      <c r="AH6" s="141">
        <f>KE502KB!F6</f>
        <v>1.8932122653754897E-2</v>
      </c>
      <c r="AI6" s="231">
        <f>KE502KB!I6</f>
        <v>1.5151807869014772E-3</v>
      </c>
      <c r="AJ6" s="231">
        <f>KE502KB!K6</f>
        <v>3.9242439793041409E-5</v>
      </c>
      <c r="AK6" s="231">
        <f>KE502KB!M6</f>
        <v>3.9310057535453984E-3</v>
      </c>
      <c r="AL6" s="231">
        <f>KE502KB!O6</f>
        <v>1.2074596859397357E-3</v>
      </c>
      <c r="AM6" s="231"/>
      <c r="AN6" s="231"/>
      <c r="AO6" s="231">
        <f>KE502KB!AE3</f>
        <v>1.5096747707335921E-2</v>
      </c>
      <c r="AP6" s="233">
        <v>0</v>
      </c>
      <c r="AQ6" s="1270">
        <f ca="1">KE502KB!B3/KE502KB!G2</f>
        <v>2167.2270569620255</v>
      </c>
      <c r="AR6" s="141">
        <f ca="1">KE502KB!C102</f>
        <v>2212.42</v>
      </c>
      <c r="AS6" s="141">
        <f ca="1">KE502KB!F102</f>
        <v>962.54</v>
      </c>
      <c r="AT6" s="141">
        <f ca="1">KE502KB!I102</f>
        <v>0</v>
      </c>
      <c r="AU6" s="141">
        <f ca="1">KE502KB!K102</f>
        <v>0</v>
      </c>
      <c r="AV6" s="1274">
        <f ca="1">KE502KB!J101</f>
        <v>0</v>
      </c>
      <c r="AW6" s="141">
        <f ca="1">KE502KB!M102</f>
        <v>218.40000000000009</v>
      </c>
      <c r="AX6" s="141">
        <f ca="1">KE502KB!O102</f>
        <v>100</v>
      </c>
      <c r="AY6" s="141"/>
      <c r="AZ6" s="141"/>
      <c r="BA6" s="141">
        <f ca="1">KE502KB!AE106</f>
        <v>951.49000000000012</v>
      </c>
      <c r="BB6" s="231"/>
      <c r="BC6" s="1387">
        <f ca="1">SUM(AQ6:AU6,AW6:BB6)</f>
        <v>6612.0770569620254</v>
      </c>
      <c r="BD6" s="1270">
        <f ca="1">KE502KB!F99</f>
        <v>0.22804931473837295</v>
      </c>
      <c r="BE6" s="1504">
        <f t="shared" ca="1" si="5"/>
        <v>3.8320334330181033E-2</v>
      </c>
      <c r="BF6" s="1509">
        <f>KE502KB!H5</f>
        <v>49217.15</v>
      </c>
      <c r="BG6" s="1278" t="s">
        <v>83</v>
      </c>
      <c r="BH6" s="154" t="s">
        <v>74</v>
      </c>
      <c r="BI6" s="155">
        <v>1968</v>
      </c>
      <c r="BJ6" s="178">
        <v>110</v>
      </c>
      <c r="BK6" s="184">
        <v>66</v>
      </c>
      <c r="BL6" s="1424" t="s">
        <v>1118</v>
      </c>
    </row>
    <row r="7" spans="1:66" x14ac:dyDescent="0.25">
      <c r="A7" s="131"/>
      <c r="B7" s="101"/>
      <c r="C7" s="102"/>
      <c r="D7" s="1707"/>
      <c r="E7" s="1708"/>
      <c r="F7" s="33"/>
      <c r="G7" s="1128"/>
      <c r="H7" s="210"/>
      <c r="I7" s="135"/>
      <c r="J7" s="1698"/>
      <c r="K7" s="41"/>
      <c r="L7" s="1283"/>
      <c r="M7" s="21"/>
      <c r="N7" s="33" t="s">
        <v>13</v>
      </c>
      <c r="O7" s="191" t="s">
        <v>13</v>
      </c>
      <c r="P7" s="191" t="s">
        <v>13</v>
      </c>
      <c r="Q7" s="547" t="s">
        <v>13</v>
      </c>
      <c r="R7" s="547" t="s">
        <v>13</v>
      </c>
      <c r="S7" s="34" t="s">
        <v>13</v>
      </c>
      <c r="T7" s="33" t="s">
        <v>13</v>
      </c>
      <c r="U7" s="547" t="s">
        <v>13</v>
      </c>
      <c r="V7" s="34" t="s">
        <v>13</v>
      </c>
      <c r="W7" s="519" t="s">
        <v>13</v>
      </c>
      <c r="X7" s="768"/>
      <c r="Y7" s="185" t="s">
        <v>13</v>
      </c>
      <c r="Z7" s="772"/>
      <c r="AA7" s="773"/>
      <c r="AB7" s="34" t="s">
        <v>13</v>
      </c>
      <c r="AC7" s="110"/>
      <c r="AD7" s="369"/>
      <c r="AE7" s="370"/>
      <c r="AF7" s="364"/>
      <c r="AG7" s="141"/>
      <c r="AH7" s="141"/>
      <c r="AI7" s="231"/>
      <c r="AJ7" s="231"/>
      <c r="AK7" s="231"/>
      <c r="AL7" s="231"/>
      <c r="AM7" s="231"/>
      <c r="AN7" s="231"/>
      <c r="AO7" s="231"/>
      <c r="AP7" s="233"/>
      <c r="AQ7" s="1270"/>
      <c r="AR7" s="141"/>
      <c r="AS7" s="141"/>
      <c r="AT7" s="141"/>
      <c r="AU7" s="1325"/>
      <c r="AV7" s="1274"/>
      <c r="AW7" s="141"/>
      <c r="AX7" s="141"/>
      <c r="AY7" s="141"/>
      <c r="AZ7" s="141"/>
      <c r="BA7" s="141"/>
      <c r="BB7" s="231"/>
      <c r="BC7" s="1387"/>
      <c r="BD7" s="1270"/>
      <c r="BE7" s="1504"/>
      <c r="BF7" s="1509"/>
      <c r="BG7" s="1278"/>
      <c r="BH7" s="154"/>
      <c r="BI7" s="155"/>
      <c r="BJ7" s="178"/>
      <c r="BK7" s="184"/>
      <c r="BL7" s="1424"/>
    </row>
    <row r="8" spans="1:66" x14ac:dyDescent="0.25">
      <c r="A8" s="1289">
        <f>A6+1</f>
        <v>3</v>
      </c>
      <c r="B8" s="112" t="str">
        <f>KE298YC!A1</f>
        <v>KE298YC</v>
      </c>
      <c r="C8" s="100" t="str">
        <f>KE298YC!B1</f>
        <v>STARÝ prívesný vozík</v>
      </c>
      <c r="D8" s="1705"/>
      <c r="E8" s="1706"/>
      <c r="F8" s="35">
        <f>KE298YC!B2</f>
        <v>37057</v>
      </c>
      <c r="G8" s="1245">
        <f>KE298YC!C2</f>
        <v>37057</v>
      </c>
      <c r="H8" s="209">
        <f t="shared" ref="H8:H21" ca="1" si="6">(TODAY()-F8)/365.25</f>
        <v>20.670773442847366</v>
      </c>
      <c r="I8" s="1253">
        <f t="shared" ref="I8:I18" ca="1" si="7">(TODAY()-G8)/365.25</f>
        <v>20.670773442847366</v>
      </c>
      <c r="J8" s="1697"/>
      <c r="K8" s="42"/>
      <c r="L8" s="1283"/>
      <c r="M8" s="21"/>
      <c r="N8" s="35" t="s">
        <v>13</v>
      </c>
      <c r="O8" s="192" t="s">
        <v>13</v>
      </c>
      <c r="P8" s="192" t="s">
        <v>13</v>
      </c>
      <c r="Q8" s="546" t="s">
        <v>13</v>
      </c>
      <c r="R8" s="546" t="s">
        <v>13</v>
      </c>
      <c r="S8" s="36" t="s">
        <v>13</v>
      </c>
      <c r="T8" s="35" t="s">
        <v>13</v>
      </c>
      <c r="U8" s="546" t="s">
        <v>13</v>
      </c>
      <c r="V8" s="36" t="s">
        <v>13</v>
      </c>
      <c r="W8" s="1407"/>
      <c r="X8" s="1408"/>
      <c r="Y8" s="1404"/>
      <c r="Z8" s="1405"/>
      <c r="AA8" s="1406"/>
      <c r="AB8" s="1403" t="s">
        <v>1036</v>
      </c>
      <c r="AC8" s="1409">
        <v>2.5</v>
      </c>
      <c r="AD8" s="1402">
        <f ca="1">KE298YC!F5</f>
        <v>0.14419470198675496</v>
      </c>
      <c r="AE8" s="1410">
        <f ca="1">CEILING(AD8,AC8)</f>
        <v>2.5</v>
      </c>
      <c r="AF8" s="1411">
        <f ca="1">KE298YC!I3</f>
        <v>6.6225165562913899E-2</v>
      </c>
      <c r="AG8" s="1412"/>
      <c r="AH8" s="1412">
        <f ca="1">KE298YC!F6</f>
        <v>7.3589403973509937E-2</v>
      </c>
      <c r="AI8" s="1413">
        <f ca="1">KE298YC!I6</f>
        <v>0</v>
      </c>
      <c r="AJ8" s="1413">
        <f ca="1">KE298YC!K6</f>
        <v>2.6490066225165557E-4</v>
      </c>
      <c r="AK8" s="1413"/>
      <c r="AL8" s="1413"/>
      <c r="AM8" s="1413"/>
      <c r="AN8" s="1413"/>
      <c r="AO8" s="1413">
        <f ca="1">KE298YC!AE3</f>
        <v>4.1152317880794693E-3</v>
      </c>
      <c r="AP8" s="1414">
        <v>0</v>
      </c>
      <c r="AQ8" s="1270">
        <f ca="1">KE298YC!B3/KE298YC!G2</f>
        <v>24.188741721854303</v>
      </c>
      <c r="AR8" s="141"/>
      <c r="AS8" s="141">
        <f ca="1">KE298YC!F102</f>
        <v>57.32</v>
      </c>
      <c r="AT8" s="141">
        <f ca="1">KE298YC!I102</f>
        <v>0</v>
      </c>
      <c r="AU8" s="141">
        <f ca="1">KE298YC!K102</f>
        <v>0</v>
      </c>
      <c r="AV8" s="1274">
        <f ca="1">KE298YC!J101</f>
        <v>0</v>
      </c>
      <c r="AW8" s="141"/>
      <c r="AX8" s="141">
        <f ca="1">KE298YC!O102</f>
        <v>0</v>
      </c>
      <c r="AY8" s="141"/>
      <c r="AZ8" s="141"/>
      <c r="BA8" s="141">
        <f ca="1">KE298YC!AE106</f>
        <v>6.88</v>
      </c>
      <c r="BB8" s="231"/>
      <c r="BC8" s="1387">
        <f t="shared" ref="BC8:BC13" ca="1" si="8">SUM(AQ8:AU8,AW8:BB8)</f>
        <v>88.388741721854302</v>
      </c>
      <c r="BD8" s="1270">
        <f ca="1">KE298YC!F99</f>
        <v>0.14895712432580049</v>
      </c>
      <c r="BE8" s="1504">
        <f ca="1">BD8-AD8</f>
        <v>4.76242233904553E-3</v>
      </c>
      <c r="BF8" s="1509">
        <f>KE298YC!H5</f>
        <v>1088.6699999999998</v>
      </c>
      <c r="BG8" s="1278"/>
      <c r="BH8" s="154"/>
      <c r="BI8" s="155"/>
      <c r="BJ8" s="178"/>
      <c r="BK8" s="184"/>
      <c r="BL8" s="1424"/>
    </row>
    <row r="9" spans="1:66" x14ac:dyDescent="0.25">
      <c r="A9" s="1289">
        <f>A8+1</f>
        <v>4</v>
      </c>
      <c r="B9" s="112" t="str">
        <f>KE021DO!A1</f>
        <v>KE021DO</v>
      </c>
      <c r="C9" s="100" t="str">
        <f>KE021DO!B1</f>
        <v>VW - CARAVELLE</v>
      </c>
      <c r="D9" s="1705"/>
      <c r="E9" s="1706"/>
      <c r="F9" s="35">
        <f>KE021DO!B2</f>
        <v>37256</v>
      </c>
      <c r="G9" s="1245">
        <f>KE021DO!C2</f>
        <v>37256</v>
      </c>
      <c r="H9" s="209">
        <f t="shared" ca="1" si="6"/>
        <v>20.125941136208077</v>
      </c>
      <c r="I9" s="1253">
        <f t="shared" ca="1" si="7"/>
        <v>20.125941136208077</v>
      </c>
      <c r="J9" s="1697">
        <f>KE021DO!F4</f>
        <v>300392</v>
      </c>
      <c r="K9" s="41">
        <f t="shared" ref="K9:K15" si="9">J9</f>
        <v>300392</v>
      </c>
      <c r="L9" s="1283">
        <f t="shared" ref="L9:L18" ca="1" si="10">K9/I9</f>
        <v>14925.612569718405</v>
      </c>
      <c r="M9" s="22">
        <f t="shared" ref="M9:M18" ca="1" si="11">L9/12</f>
        <v>1243.8010474765338</v>
      </c>
      <c r="N9" s="35">
        <v>45273</v>
      </c>
      <c r="O9" s="192">
        <v>45273</v>
      </c>
      <c r="P9" s="192" t="s">
        <v>13</v>
      </c>
      <c r="Q9" s="546" t="s">
        <v>13</v>
      </c>
      <c r="R9" s="546" t="s">
        <v>13</v>
      </c>
      <c r="S9" s="36" t="s">
        <v>13</v>
      </c>
      <c r="T9" s="35" t="s">
        <v>13</v>
      </c>
      <c r="U9" s="546" t="s">
        <v>13</v>
      </c>
      <c r="V9" s="36" t="s">
        <v>13</v>
      </c>
      <c r="W9" s="1681">
        <v>15000</v>
      </c>
      <c r="X9" s="1682">
        <v>292748</v>
      </c>
      <c r="Y9" s="1683">
        <f t="shared" ref="Y9:Y18" si="12">W9+X9</f>
        <v>307748</v>
      </c>
      <c r="Z9" s="1684">
        <v>1</v>
      </c>
      <c r="AA9" s="1685">
        <v>44250</v>
      </c>
      <c r="AB9" s="1686">
        <f t="shared" ref="AB9:AB16" si="13">($AA$28*Z9)+AA9</f>
        <v>44615.25</v>
      </c>
      <c r="AC9" s="109">
        <f>KE021DO!B7</f>
        <v>14.928273938867159</v>
      </c>
      <c r="AD9" s="369">
        <f t="shared" ref="AD9:AD17" ca="1" si="14">AE9+AP9</f>
        <v>1.1421526225662855</v>
      </c>
      <c r="AE9" s="370">
        <f ca="1">KE021DO!F5</f>
        <v>0.39541760940031134</v>
      </c>
      <c r="AF9" s="364">
        <f ca="1">KE021DO!I3</f>
        <v>0</v>
      </c>
      <c r="AG9" s="141">
        <f>KE021DO!C6</f>
        <v>0.20181696363899748</v>
      </c>
      <c r="AH9" s="141">
        <f>KE021DO!F6</f>
        <v>0.16870093179146117</v>
      </c>
      <c r="AI9" s="231">
        <f>KE021DO!I6</f>
        <v>2.5030270061592993E-3</v>
      </c>
      <c r="AJ9" s="231">
        <f>KE021DO!K6</f>
        <v>7.0156351448575987E-4</v>
      </c>
      <c r="AK9" s="231">
        <f>KE021DO!M6</f>
        <v>8.5282608314176823E-3</v>
      </c>
      <c r="AL9" s="231">
        <f>KE021DO!O6</f>
        <v>1.7547861793040518E-3</v>
      </c>
      <c r="AM9" s="231"/>
      <c r="AN9" s="231"/>
      <c r="AO9" s="231">
        <f>KE021DO!AE3</f>
        <v>1.1412076438485968E-2</v>
      </c>
      <c r="AP9" s="233">
        <f ca="1">$M$32</f>
        <v>0.74673501316597402</v>
      </c>
      <c r="AQ9" s="1270">
        <f ca="1">KE021DO!B3/KE021DO!G2</f>
        <v>0</v>
      </c>
      <c r="AR9" s="141">
        <f ca="1">KE021DO!C102</f>
        <v>3742.59</v>
      </c>
      <c r="AS9" s="141">
        <f ca="1">KE021DO!F102</f>
        <v>4538.6499999999996</v>
      </c>
      <c r="AT9" s="141">
        <f ca="1">KE021DO!I102</f>
        <v>9</v>
      </c>
      <c r="AU9" s="141">
        <f ca="1">KE021DO!K102</f>
        <v>0</v>
      </c>
      <c r="AV9" s="1274">
        <f ca="1">KE021DO!J101</f>
        <v>0</v>
      </c>
      <c r="AW9" s="141">
        <f ca="1">KE021DO!M102</f>
        <v>218.40000000000009</v>
      </c>
      <c r="AX9" s="141">
        <f ca="1">KE021DO!O102</f>
        <v>0</v>
      </c>
      <c r="AY9" s="141"/>
      <c r="AZ9" s="141"/>
      <c r="BA9" s="141">
        <f ca="1">KE021DO!AE106</f>
        <v>260.08</v>
      </c>
      <c r="BB9" s="231"/>
      <c r="BC9" s="1387">
        <f t="shared" ca="1" si="8"/>
        <v>8768.7199999999993</v>
      </c>
      <c r="BD9" s="1270">
        <f ca="1">KE021DO!F99</f>
        <v>0.54211561051004653</v>
      </c>
      <c r="BE9" s="1504">
        <f t="shared" ca="1" si="5"/>
        <v>0.14669800110973519</v>
      </c>
      <c r="BF9" s="1509">
        <f>KE021DO!H5</f>
        <v>22177.859999999993</v>
      </c>
      <c r="BG9" s="1278" t="s">
        <v>538</v>
      </c>
      <c r="BH9" s="154" t="s">
        <v>110</v>
      </c>
      <c r="BI9" s="155">
        <v>2461</v>
      </c>
      <c r="BJ9" s="178">
        <v>85</v>
      </c>
      <c r="BK9" s="184">
        <v>80</v>
      </c>
      <c r="BL9" s="1424" t="s">
        <v>35</v>
      </c>
    </row>
    <row r="10" spans="1:66" s="7" customFormat="1" x14ac:dyDescent="0.25">
      <c r="A10" s="1289">
        <f>A9+1</f>
        <v>5</v>
      </c>
      <c r="B10" s="9" t="str">
        <f>KE490FJ!A1</f>
        <v>KE490FJ</v>
      </c>
      <c r="C10" s="102" t="str">
        <f>KE490FJ!B1</f>
        <v>CITROEN - BERLINGO</v>
      </c>
      <c r="D10" s="1707"/>
      <c r="E10" s="1708"/>
      <c r="F10" s="33">
        <f>KE490FJ!B2</f>
        <v>39309</v>
      </c>
      <c r="G10" s="1128">
        <f>KE490FJ!C2</f>
        <v>39309</v>
      </c>
      <c r="H10" s="210">
        <f t="shared" ca="1" si="6"/>
        <v>14.505133470225873</v>
      </c>
      <c r="I10" s="1253">
        <f t="shared" ca="1" si="7"/>
        <v>14.505133470225873</v>
      </c>
      <c r="J10" s="1698">
        <f>KE490FJ!F4</f>
        <v>162805</v>
      </c>
      <c r="K10" s="41">
        <f t="shared" si="9"/>
        <v>162805</v>
      </c>
      <c r="L10" s="1283">
        <f ca="1">K10/I10</f>
        <v>11223.957389580974</v>
      </c>
      <c r="M10" s="21">
        <f ca="1">L10/12</f>
        <v>935.32978246508117</v>
      </c>
      <c r="N10" s="33">
        <v>44424</v>
      </c>
      <c r="O10" s="191">
        <v>44424</v>
      </c>
      <c r="P10" s="191" t="s">
        <v>13</v>
      </c>
      <c r="Q10" s="547" t="s">
        <v>13</v>
      </c>
      <c r="R10" s="547" t="s">
        <v>13</v>
      </c>
      <c r="S10" s="34" t="s">
        <v>13</v>
      </c>
      <c r="T10" s="33" t="s">
        <v>13</v>
      </c>
      <c r="U10" s="547" t="s">
        <v>13</v>
      </c>
      <c r="V10" s="34" t="s">
        <v>13</v>
      </c>
      <c r="W10" s="519">
        <v>15000</v>
      </c>
      <c r="X10" s="768">
        <v>158994</v>
      </c>
      <c r="Y10" s="185">
        <f t="shared" si="12"/>
        <v>173994</v>
      </c>
      <c r="Z10" s="772">
        <v>1</v>
      </c>
      <c r="AA10" s="773">
        <v>44082</v>
      </c>
      <c r="AB10" s="34">
        <f t="shared" si="13"/>
        <v>44447.25</v>
      </c>
      <c r="AC10" s="110">
        <f>KE490FJ!B7</f>
        <v>10.889400921658984</v>
      </c>
      <c r="AD10" s="369">
        <f t="shared" ca="1" si="14"/>
        <v>1.246149055920688</v>
      </c>
      <c r="AE10" s="370">
        <f ca="1">KE490FJ!F5</f>
        <v>0.49941404275471407</v>
      </c>
      <c r="AF10" s="364">
        <f ca="1">KE490FJ!I3</f>
        <v>0.12284634992782778</v>
      </c>
      <c r="AG10" s="141">
        <f>KE490FJ!C6</f>
        <v>0.14569284434203789</v>
      </c>
      <c r="AH10" s="141">
        <f>KE490FJ!F6</f>
        <v>0.18191939393939394</v>
      </c>
      <c r="AI10" s="231">
        <f>KE490FJ!I6</f>
        <v>5.8727272727272734E-3</v>
      </c>
      <c r="AJ10" s="231">
        <f>KE490FJ!K6</f>
        <v>4.5454545454545455E-4</v>
      </c>
      <c r="AK10" s="231">
        <f>KE490FJ!M6</f>
        <v>1.9827878787878762E-2</v>
      </c>
      <c r="AL10" s="231">
        <f>KE490FJ!O6</f>
        <v>0</v>
      </c>
      <c r="AM10" s="231"/>
      <c r="AN10" s="231"/>
      <c r="AO10" s="231">
        <f>KE490FJ!AE3</f>
        <v>2.2800303030303028E-2</v>
      </c>
      <c r="AP10" s="233">
        <f ca="1">$M$32</f>
        <v>0.74673501316597402</v>
      </c>
      <c r="AQ10" s="1270">
        <f ca="1">KE490FJ!B3/KE490FJ!G2</f>
        <v>1378.8221970554926</v>
      </c>
      <c r="AR10" s="141">
        <f ca="1">KE490FJ!C102</f>
        <v>794.73</v>
      </c>
      <c r="AS10" s="141">
        <f ca="1">KE490FJ!F102</f>
        <v>1973.04</v>
      </c>
      <c r="AT10" s="141">
        <f ca="1">KE490FJ!I102</f>
        <v>79.16</v>
      </c>
      <c r="AU10" s="141">
        <f ca="1">KE490FJ!K102</f>
        <v>0</v>
      </c>
      <c r="AV10" s="1274">
        <f ca="1">KE490FJ!J101</f>
        <v>0</v>
      </c>
      <c r="AW10" s="141">
        <f ca="1">KE490FJ!M102</f>
        <v>218.40000000000009</v>
      </c>
      <c r="AX10" s="141">
        <f ca="1">KE490FJ!O102</f>
        <v>0</v>
      </c>
      <c r="AY10" s="141"/>
      <c r="AZ10" s="141"/>
      <c r="BA10" s="141">
        <f ca="1">KE490FJ!AE106</f>
        <v>149.76</v>
      </c>
      <c r="BB10" s="231"/>
      <c r="BC10" s="1387">
        <f t="shared" ca="1" si="8"/>
        <v>4593.9121970554934</v>
      </c>
      <c r="BD10" s="1270">
        <f ca="1">KE490FJ!F99</f>
        <v>0.88688865030805597</v>
      </c>
      <c r="BE10" s="1504">
        <f t="shared" ca="1" si="5"/>
        <v>0.3874746075533419</v>
      </c>
      <c r="BF10" s="1509">
        <f>KE490FJ!H5</f>
        <v>32171.48</v>
      </c>
      <c r="BG10" s="1279"/>
      <c r="BH10" s="157"/>
      <c r="BI10" s="158"/>
      <c r="BJ10" s="179"/>
      <c r="BK10" s="185"/>
      <c r="BL10" s="1425" t="s">
        <v>1086</v>
      </c>
    </row>
    <row r="11" spans="1:66" s="7" customFormat="1" x14ac:dyDescent="0.25">
      <c r="A11" s="1289">
        <f t="shared" ref="A11:A24" si="15">A10+1</f>
        <v>6</v>
      </c>
      <c r="B11" s="9" t="str">
        <f>KE298FP!A1</f>
        <v>KE298FP</v>
      </c>
      <c r="C11" s="102" t="str">
        <f>KE298FP!B1</f>
        <v>ŠKODA - OCTAVIA</v>
      </c>
      <c r="D11" s="1707"/>
      <c r="E11" s="1708"/>
      <c r="F11" s="33">
        <f>KE298FP!B2</f>
        <v>39451</v>
      </c>
      <c r="G11" s="1128">
        <f>KE298FP!C2</f>
        <v>39451</v>
      </c>
      <c r="H11" s="210">
        <f t="shared" ca="1" si="6"/>
        <v>14.116358658453114</v>
      </c>
      <c r="I11" s="1253">
        <f t="shared" ca="1" si="7"/>
        <v>14.116358658453114</v>
      </c>
      <c r="J11" s="1698">
        <f>KE298FP!F4</f>
        <v>320493</v>
      </c>
      <c r="K11" s="41">
        <f t="shared" si="9"/>
        <v>320493</v>
      </c>
      <c r="L11" s="1283">
        <f t="shared" ca="1" si="10"/>
        <v>22703.659474398759</v>
      </c>
      <c r="M11" s="21">
        <f t="shared" ca="1" si="11"/>
        <v>1891.9716228665632</v>
      </c>
      <c r="N11" s="33">
        <v>44539</v>
      </c>
      <c r="O11" s="191">
        <v>44539</v>
      </c>
      <c r="P11" s="191" t="s">
        <v>13</v>
      </c>
      <c r="Q11" s="547" t="s">
        <v>13</v>
      </c>
      <c r="R11" s="547" t="s">
        <v>13</v>
      </c>
      <c r="S11" s="34" t="s">
        <v>13</v>
      </c>
      <c r="T11" s="33" t="s">
        <v>13</v>
      </c>
      <c r="U11" s="547" t="s">
        <v>13</v>
      </c>
      <c r="V11" s="34" t="s">
        <v>13</v>
      </c>
      <c r="W11" s="519">
        <v>15000</v>
      </c>
      <c r="X11" s="768">
        <v>311382</v>
      </c>
      <c r="Y11" s="185">
        <f t="shared" si="12"/>
        <v>326382</v>
      </c>
      <c r="Z11" s="772">
        <v>1</v>
      </c>
      <c r="AA11" s="773">
        <v>43773</v>
      </c>
      <c r="AB11" s="34">
        <f t="shared" si="13"/>
        <v>44138.25</v>
      </c>
      <c r="AC11" s="110">
        <f>KE298FP!B7</f>
        <v>6.5521329791389959</v>
      </c>
      <c r="AD11" s="369">
        <f t="shared" ca="1" si="14"/>
        <v>0.94991864017123917</v>
      </c>
      <c r="AE11" s="370">
        <f ca="1">KE298FP!F5</f>
        <v>0.2031836270052651</v>
      </c>
      <c r="AF11" s="364">
        <f ca="1">KE298FP!I3</f>
        <v>6.2403859054643927E-2</v>
      </c>
      <c r="AG11" s="141">
        <f>KE298FP!C6</f>
        <v>8.0436850535198084E-2</v>
      </c>
      <c r="AH11" s="141">
        <f>KE298FP!F6</f>
        <v>4.109744901945464E-2</v>
      </c>
      <c r="AI11" s="231">
        <f>KE298FP!I6</f>
        <v>2.8597937338854596E-3</v>
      </c>
      <c r="AJ11" s="231">
        <f>KE298FP!K6</f>
        <v>1.270333619814048E-3</v>
      </c>
      <c r="AK11" s="231">
        <f>KE298FP!M6</f>
        <v>5.1597781076646561E-3</v>
      </c>
      <c r="AL11" s="231">
        <f>KE298FP!O6</f>
        <v>1.464958199859364E-3</v>
      </c>
      <c r="AM11" s="231"/>
      <c r="AN11" s="231"/>
      <c r="AO11" s="231">
        <f>KE298FP!AE3</f>
        <v>8.4906047347449009E-3</v>
      </c>
      <c r="AP11" s="233">
        <f ca="1">$M$32</f>
        <v>0.74673501316597402</v>
      </c>
      <c r="AQ11" s="1270">
        <f ca="1">KE298FP!B3/KE298FP!G2</f>
        <v>1416.7959658650116</v>
      </c>
      <c r="AR11" s="141">
        <f ca="1">KE298FP!C102</f>
        <v>314.52999999999992</v>
      </c>
      <c r="AS11" s="141">
        <f ca="1">KE298FP!F102</f>
        <v>113.15</v>
      </c>
      <c r="AT11" s="141">
        <f ca="1">KE298FP!I102</f>
        <v>73.14</v>
      </c>
      <c r="AU11" s="141">
        <f ca="1">KE298FP!K102</f>
        <v>0</v>
      </c>
      <c r="AV11" s="1274">
        <f ca="1">KE298FP!J101</f>
        <v>0</v>
      </c>
      <c r="AW11" s="141">
        <f ca="1">KE298FP!M102</f>
        <v>92.40000000000002</v>
      </c>
      <c r="AX11" s="141">
        <f ca="1">KE298FP!O102</f>
        <v>50</v>
      </c>
      <c r="AY11" s="141"/>
      <c r="AZ11" s="141"/>
      <c r="BA11" s="141">
        <f ca="1">KE298FP!AE106</f>
        <v>74.69</v>
      </c>
      <c r="BB11" s="231"/>
      <c r="BC11" s="1387">
        <f t="shared" ca="1" si="8"/>
        <v>2134.7059658650119</v>
      </c>
      <c r="BD11" s="1270">
        <f ca="1">KE298FP!F99</f>
        <v>0.22631025174870784</v>
      </c>
      <c r="BE11" s="1504">
        <f t="shared" ca="1" si="5"/>
        <v>2.3126624743442736E-2</v>
      </c>
      <c r="BF11" s="1509">
        <f>KE298FP!H5</f>
        <v>34414.722000000002</v>
      </c>
      <c r="BG11" s="1279"/>
      <c r="BH11" s="157"/>
      <c r="BI11" s="158"/>
      <c r="BJ11" s="179"/>
      <c r="BK11" s="185"/>
      <c r="BL11" s="1425" t="s">
        <v>1184</v>
      </c>
    </row>
    <row r="12" spans="1:66" x14ac:dyDescent="0.25">
      <c r="A12" s="1289">
        <f t="shared" si="15"/>
        <v>7</v>
      </c>
      <c r="B12" s="174" t="str">
        <f>KE692FR!A1</f>
        <v>KE692FR</v>
      </c>
      <c r="C12" s="98" t="str">
        <f>KE692FR!B1</f>
        <v>FORD - TRANSIT</v>
      </c>
      <c r="D12" s="1709"/>
      <c r="E12" s="1710"/>
      <c r="F12" s="31">
        <f>KE692FR!B2</f>
        <v>39484</v>
      </c>
      <c r="G12" s="1244">
        <f>KE692FR!C2</f>
        <v>39484</v>
      </c>
      <c r="H12" s="208">
        <f ca="1">(TODAY()-F12)/365.25</f>
        <v>14.026009582477755</v>
      </c>
      <c r="I12" s="1253">
        <f ca="1">(TODAY()-G12)/365.25</f>
        <v>14.026009582477755</v>
      </c>
      <c r="J12" s="1699">
        <f>KE692FR!F4</f>
        <v>108982</v>
      </c>
      <c r="K12" s="41">
        <f>J12</f>
        <v>108982</v>
      </c>
      <c r="L12" s="17">
        <f ca="1">J12/H12</f>
        <v>7769.9932656646497</v>
      </c>
      <c r="M12" s="20">
        <f ca="1">L12/12</f>
        <v>647.49943880538751</v>
      </c>
      <c r="N12" s="31">
        <v>44622</v>
      </c>
      <c r="O12" s="197">
        <v>44624</v>
      </c>
      <c r="P12" s="197" t="s">
        <v>13</v>
      </c>
      <c r="Q12" s="504" t="s">
        <v>13</v>
      </c>
      <c r="R12" s="504" t="s">
        <v>13</v>
      </c>
      <c r="S12" s="32" t="s">
        <v>13</v>
      </c>
      <c r="T12" s="31" t="s">
        <v>13</v>
      </c>
      <c r="U12" s="504" t="s">
        <v>13</v>
      </c>
      <c r="V12" s="32" t="s">
        <v>13</v>
      </c>
      <c r="W12" s="1679">
        <v>15000</v>
      </c>
      <c r="X12" s="1680">
        <v>105509</v>
      </c>
      <c r="Y12" s="1687">
        <f>W12+X12</f>
        <v>120509</v>
      </c>
      <c r="Z12" s="1688">
        <v>1</v>
      </c>
      <c r="AA12" s="1689">
        <v>44270</v>
      </c>
      <c r="AB12" s="1690">
        <f t="shared" si="13"/>
        <v>44635.25</v>
      </c>
      <c r="AC12" s="108">
        <f>KE692FR!B7</f>
        <v>9.4439090732465516</v>
      </c>
      <c r="AD12" s="369">
        <f ca="1">AE12+AP12</f>
        <v>0.42145544770643106</v>
      </c>
      <c r="AE12" s="368">
        <f ca="1">KE692FR!F5</f>
        <v>0.42145544770643106</v>
      </c>
      <c r="AF12" s="363">
        <f ca="1">KE692FR!I3</f>
        <v>0.18351654401644305</v>
      </c>
      <c r="AG12" s="354">
        <f>KE692FR!C6</f>
        <v>0.11087235282688948</v>
      </c>
      <c r="AH12" s="354">
        <f>KE692FR!F6</f>
        <v>5.9803495820214964E-2</v>
      </c>
      <c r="AI12" s="355">
        <f>KE692FR!I6</f>
        <v>5.7713603300401694E-3</v>
      </c>
      <c r="AJ12" s="355">
        <f>KE692FR!K6</f>
        <v>0</v>
      </c>
      <c r="AK12" s="355">
        <f>KE692FR!M6</f>
        <v>2.3563131038975109E-2</v>
      </c>
      <c r="AL12" s="355">
        <f>KE692FR!O6</f>
        <v>0</v>
      </c>
      <c r="AM12" s="355"/>
      <c r="AN12" s="355"/>
      <c r="AO12" s="355">
        <f>KE692FR!AE3</f>
        <v>3.792856367386821E-2</v>
      </c>
      <c r="AP12" s="1230">
        <v>0</v>
      </c>
      <c r="AQ12" s="1270">
        <f ca="1">KE692FR!B3/KE692FR!G2</f>
        <v>1425.922311145813</v>
      </c>
      <c r="AR12" s="354">
        <f ca="1">KE692FR!C102</f>
        <v>526.19000000000005</v>
      </c>
      <c r="AS12" s="354">
        <f ca="1">KE692FR!F102</f>
        <v>1604.67</v>
      </c>
      <c r="AT12" s="354">
        <f ca="1">KE692FR!I102</f>
        <v>71.539999999999992</v>
      </c>
      <c r="AU12" s="354">
        <f ca="1">KE692FR!K102</f>
        <v>0</v>
      </c>
      <c r="AV12" s="1273">
        <f ca="1">KE692FR!J101</f>
        <v>0</v>
      </c>
      <c r="AW12" s="354">
        <f ca="1">KE692FR!M102</f>
        <v>218.40000000000009</v>
      </c>
      <c r="AX12" s="354">
        <f ca="1">KE692FR!O102</f>
        <v>0</v>
      </c>
      <c r="AY12" s="354"/>
      <c r="AZ12" s="354"/>
      <c r="BA12" s="354">
        <f ca="1">KE692FR!AE106</f>
        <v>190.95999999999998</v>
      </c>
      <c r="BB12" s="355"/>
      <c r="BC12" s="1387">
        <f t="shared" ca="1" si="8"/>
        <v>4037.6823111458129</v>
      </c>
      <c r="BD12" s="1270">
        <f ca="1">KE692FR!F99</f>
        <v>0.69896158052719903</v>
      </c>
      <c r="BE12" s="1503">
        <f ca="1">BD12-AE12</f>
        <v>0.27750613282076797</v>
      </c>
      <c r="BF12" s="1508">
        <f>KE692FR!H5</f>
        <v>26364.53</v>
      </c>
      <c r="BG12" s="1277"/>
      <c r="BH12" s="170"/>
      <c r="BI12" s="171"/>
      <c r="BJ12" s="177"/>
      <c r="BK12" s="183"/>
      <c r="BL12" s="1423" t="s">
        <v>1268</v>
      </c>
    </row>
    <row r="13" spans="1:66" x14ac:dyDescent="0.25">
      <c r="A13" s="1289">
        <f t="shared" si="15"/>
        <v>8</v>
      </c>
      <c r="B13" s="9" t="str">
        <f>KE552HZ!A1</f>
        <v>KE552HZ</v>
      </c>
      <c r="C13" s="102" t="str">
        <f>KE552HZ!B1</f>
        <v>ŠKODA - OCTAVIA</v>
      </c>
      <c r="D13" s="1707"/>
      <c r="E13" s="1708"/>
      <c r="F13" s="33">
        <f>KE552HZ!B2</f>
        <v>40959</v>
      </c>
      <c r="G13" s="1128">
        <f>KE552HZ!C2</f>
        <v>40959</v>
      </c>
      <c r="H13" s="210">
        <f t="shared" ca="1" si="6"/>
        <v>9.9876796714579061</v>
      </c>
      <c r="I13" s="1253">
        <f t="shared" ca="1" si="7"/>
        <v>9.9876796714579061</v>
      </c>
      <c r="J13" s="1698">
        <f>KE552HZ!F4</f>
        <v>266739</v>
      </c>
      <c r="K13" s="41">
        <f t="shared" si="9"/>
        <v>266739</v>
      </c>
      <c r="L13" s="1283">
        <f t="shared" ca="1" si="10"/>
        <v>26706.803659539473</v>
      </c>
      <c r="M13" s="21">
        <f t="shared" ca="1" si="11"/>
        <v>2225.5669716282896</v>
      </c>
      <c r="N13" s="33">
        <v>44532</v>
      </c>
      <c r="O13" s="191">
        <v>44532</v>
      </c>
      <c r="P13" s="191">
        <v>44592</v>
      </c>
      <c r="Q13" s="547" t="s">
        <v>13</v>
      </c>
      <c r="R13" s="547" t="s">
        <v>13</v>
      </c>
      <c r="S13" s="34" t="s">
        <v>13</v>
      </c>
      <c r="T13" s="33" t="s">
        <v>13</v>
      </c>
      <c r="U13" s="547" t="s">
        <v>13</v>
      </c>
      <c r="V13" s="34" t="s">
        <v>13</v>
      </c>
      <c r="W13" s="519">
        <v>30000</v>
      </c>
      <c r="X13" s="768">
        <v>264254</v>
      </c>
      <c r="Y13" s="185">
        <f t="shared" si="12"/>
        <v>294254</v>
      </c>
      <c r="Z13" s="772">
        <v>1</v>
      </c>
      <c r="AA13" s="773">
        <v>44123</v>
      </c>
      <c r="AB13" s="34">
        <f t="shared" si="13"/>
        <v>44488.25</v>
      </c>
      <c r="AC13" s="110">
        <f>KE552HZ!B7</f>
        <v>6.4357585815355058</v>
      </c>
      <c r="AD13" s="369">
        <f t="shared" ca="1" si="14"/>
        <v>0.99318054772002129</v>
      </c>
      <c r="AE13" s="370">
        <f ca="1">KE552HZ!F5</f>
        <v>0.24644553455404727</v>
      </c>
      <c r="AF13" s="364">
        <f ca="1">KE552HZ!I3</f>
        <v>5.4099249629171009E-2</v>
      </c>
      <c r="AG13" s="141">
        <f>KE552HZ!C6</f>
        <v>7.5629749323084985E-2</v>
      </c>
      <c r="AH13" s="141">
        <f>KE552HZ!F6</f>
        <v>8.3996121622490288E-2</v>
      </c>
      <c r="AI13" s="231">
        <f>KE552HZ!I6</f>
        <v>9.9423600248558998E-4</v>
      </c>
      <c r="AJ13" s="231">
        <f>KE552HZ!K6</f>
        <v>3.9649446099123613E-4</v>
      </c>
      <c r="AK13" s="231">
        <f>KE552HZ!M6</f>
        <v>7.0102209175255427E-3</v>
      </c>
      <c r="AL13" s="231">
        <f>KE552HZ!O6</f>
        <v>2.1427500053568752E-3</v>
      </c>
      <c r="AM13" s="231"/>
      <c r="AN13" s="231"/>
      <c r="AO13" s="231">
        <f>KE552HZ!AE3</f>
        <v>2.2176712592941784E-2</v>
      </c>
      <c r="AP13" s="233">
        <f t="shared" ref="AP13:AP18" ca="1" si="16">$M$32</f>
        <v>0.74673501316597402</v>
      </c>
      <c r="AQ13" s="1270">
        <f ca="1">KE552HZ!B3/KE552HZ!G2</f>
        <v>1444.8180379746836</v>
      </c>
      <c r="AR13" s="141">
        <f ca="1">KE552HZ!C102</f>
        <v>615.65</v>
      </c>
      <c r="AS13" s="141">
        <f ca="1">KE552HZ!F102</f>
        <v>3366.2</v>
      </c>
      <c r="AT13" s="141">
        <f ca="1">KE552HZ!I102</f>
        <v>70.97999999999999</v>
      </c>
      <c r="AU13" s="141">
        <f ca="1">KE552HZ!K102</f>
        <v>6.5039999999999996</v>
      </c>
      <c r="AV13" s="1274">
        <f ca="1">KE552HZ!J101</f>
        <v>1</v>
      </c>
      <c r="AW13" s="141">
        <f ca="1">KE552HZ!M102</f>
        <v>218.40000000000009</v>
      </c>
      <c r="AX13" s="141">
        <f ca="1">KE552HZ!O102</f>
        <v>100</v>
      </c>
      <c r="AY13" s="141"/>
      <c r="AZ13" s="141"/>
      <c r="BA13" s="141">
        <f ca="1">KE552HZ!AE106</f>
        <v>771.11999999999989</v>
      </c>
      <c r="BB13" s="231"/>
      <c r="BC13" s="1387">
        <f t="shared" ca="1" si="8"/>
        <v>6593.672037974683</v>
      </c>
      <c r="BD13" s="1270">
        <f ca="1">KE552HZ!F99</f>
        <v>0.67888434852493595</v>
      </c>
      <c r="BE13" s="1504">
        <f t="shared" ca="1" si="5"/>
        <v>0.43243881397088868</v>
      </c>
      <c r="BF13" s="1509">
        <f>KE552HZ!H5</f>
        <v>37821.168000000005</v>
      </c>
      <c r="BG13" s="1278"/>
      <c r="BH13" s="154"/>
      <c r="BI13" s="155"/>
      <c r="BJ13" s="178"/>
      <c r="BK13" s="184"/>
      <c r="BL13" s="1424" t="s">
        <v>1316</v>
      </c>
    </row>
    <row r="14" spans="1:66" x14ac:dyDescent="0.25">
      <c r="A14" s="1289">
        <f t="shared" si="15"/>
        <v>9</v>
      </c>
      <c r="B14" s="9" t="str">
        <f>KE791IT!A1</f>
        <v>KE791IT</v>
      </c>
      <c r="C14" s="102" t="str">
        <f>KE791IT!B1</f>
        <v>ŠKODA - OCTAVIA combi 4x4</v>
      </c>
      <c r="D14" s="1707"/>
      <c r="E14" s="1708"/>
      <c r="F14" s="35">
        <f>KE791IT!B2</f>
        <v>41533</v>
      </c>
      <c r="G14" s="1245">
        <f>KE791IT!C2</f>
        <v>41533</v>
      </c>
      <c r="H14" s="210">
        <f ca="1">(TODAY()-F14)/365.25</f>
        <v>8.4161533196440796</v>
      </c>
      <c r="I14" s="1253">
        <f t="shared" ca="1" si="7"/>
        <v>8.4161533196440796</v>
      </c>
      <c r="J14" s="1698">
        <f>KE791IT!F4</f>
        <v>198913</v>
      </c>
      <c r="K14" s="41">
        <f t="shared" si="9"/>
        <v>198913</v>
      </c>
      <c r="L14" s="1283">
        <f ca="1">K14/I14</f>
        <v>23634.669242029926</v>
      </c>
      <c r="M14" s="21">
        <f t="shared" ca="1" si="11"/>
        <v>1969.5557701691605</v>
      </c>
      <c r="N14" s="35">
        <v>45191</v>
      </c>
      <c r="O14" s="192">
        <v>45191</v>
      </c>
      <c r="P14" s="192">
        <v>44690</v>
      </c>
      <c r="Q14" s="546" t="s">
        <v>13</v>
      </c>
      <c r="R14" s="546" t="s">
        <v>13</v>
      </c>
      <c r="S14" s="36" t="s">
        <v>13</v>
      </c>
      <c r="T14" s="35" t="s">
        <v>13</v>
      </c>
      <c r="U14" s="546" t="s">
        <v>13</v>
      </c>
      <c r="V14" s="36" t="s">
        <v>13</v>
      </c>
      <c r="W14" s="518">
        <v>30000</v>
      </c>
      <c r="X14" s="767">
        <v>197089</v>
      </c>
      <c r="Y14" s="185">
        <f t="shared" si="12"/>
        <v>227089</v>
      </c>
      <c r="Z14" s="772">
        <v>1</v>
      </c>
      <c r="AA14" s="773">
        <v>44000</v>
      </c>
      <c r="AB14" s="34">
        <f t="shared" si="13"/>
        <v>44365.25</v>
      </c>
      <c r="AC14" s="109">
        <f>KE791IT!B7</f>
        <v>6.7560932949705723</v>
      </c>
      <c r="AD14" s="369">
        <f t="shared" ca="1" si="14"/>
        <v>0.96461070878156585</v>
      </c>
      <c r="AE14" s="370">
        <f ca="1">KE791IT!F5</f>
        <v>0.21787569561559184</v>
      </c>
      <c r="AF14" s="364">
        <f ca="1">KE791IT!I3</f>
        <v>6.1131299244304188E-2</v>
      </c>
      <c r="AG14" s="141">
        <f>KE791IT!C6</f>
        <v>8.9759066700481852E-2</v>
      </c>
      <c r="AH14" s="141">
        <f>KE791IT!F6</f>
        <v>3.1736696619671934E-2</v>
      </c>
      <c r="AI14" s="231">
        <f>KE791IT!I6</f>
        <v>1.8619966551996047E-3</v>
      </c>
      <c r="AJ14" s="231">
        <f>KE791IT!K6</f>
        <v>1.65895167369999E-3</v>
      </c>
      <c r="AK14" s="231">
        <f>KE791IT!M6</f>
        <v>5.6698699340571659E-3</v>
      </c>
      <c r="AL14" s="231">
        <f>KE791IT!O6</f>
        <v>1.7330571995528713E-3</v>
      </c>
      <c r="AM14" s="231"/>
      <c r="AN14" s="231"/>
      <c r="AO14" s="231">
        <f>KE791IT!AE3</f>
        <v>2.4324757588624218E-2</v>
      </c>
      <c r="AP14" s="233">
        <f t="shared" ca="1" si="16"/>
        <v>0.74673501316597402</v>
      </c>
      <c r="AQ14" s="1270">
        <f ca="1">KE791IT!B3/KE791IT!G2</f>
        <v>1444.8180379746836</v>
      </c>
      <c r="AR14" s="141">
        <f ca="1">KE791IT!C102</f>
        <v>443.28</v>
      </c>
      <c r="AS14" s="141">
        <f ca="1">KE791IT!F102</f>
        <v>1642.21</v>
      </c>
      <c r="AT14" s="141">
        <f ca="1">KE791IT!I102</f>
        <v>74.84</v>
      </c>
      <c r="AU14" s="141">
        <f ca="1">KE791IT!K102</f>
        <v>32.519999999999996</v>
      </c>
      <c r="AV14" s="1274">
        <f ca="1">KE791IT!J101</f>
        <v>5</v>
      </c>
      <c r="AW14" s="141">
        <f ca="1">KE791IT!M102</f>
        <v>218.40000000000009</v>
      </c>
      <c r="AX14" s="141">
        <f ca="1">KE791IT!O102</f>
        <v>100</v>
      </c>
      <c r="AY14" s="141"/>
      <c r="AZ14" s="141"/>
      <c r="BA14" s="141">
        <f ca="1">KE791IT!AE106</f>
        <v>1172.44</v>
      </c>
      <c r="BB14" s="231"/>
      <c r="BC14" s="1387">
        <f t="shared" ref="BC14:BC26" ca="1" si="17">SUM(AQ14:AU14,AW14:BB14)</f>
        <v>5128.5080379746832</v>
      </c>
      <c r="BD14" s="1270">
        <f ca="1">KE791IT!F99</f>
        <v>0.8107629638759688</v>
      </c>
      <c r="BE14" s="1504">
        <f t="shared" ca="1" si="5"/>
        <v>0.59288726826037697</v>
      </c>
      <c r="BF14" s="1509">
        <f>KE791IT!H5</f>
        <v>37993.987999999998</v>
      </c>
      <c r="BG14" s="1278" t="s">
        <v>380</v>
      </c>
      <c r="BH14" s="154" t="s">
        <v>74</v>
      </c>
      <c r="BI14" s="155"/>
      <c r="BJ14" s="178"/>
      <c r="BK14" s="184"/>
      <c r="BL14" s="1424" t="s">
        <v>1317</v>
      </c>
    </row>
    <row r="15" spans="1:66" s="7" customFormat="1" x14ac:dyDescent="0.25">
      <c r="A15" s="1289">
        <f t="shared" si="15"/>
        <v>10</v>
      </c>
      <c r="B15" s="9" t="str">
        <f>KE747JX!A1</f>
        <v>KE747JX</v>
      </c>
      <c r="C15" s="102" t="str">
        <f>KE747JX!B1</f>
        <v>ŠKODA - SUPERB</v>
      </c>
      <c r="D15" s="1707"/>
      <c r="E15" s="1708"/>
      <c r="F15" s="35">
        <f>KE747JX!B2</f>
        <v>42356</v>
      </c>
      <c r="G15" s="1245">
        <f>KE747JX!C2</f>
        <v>42356</v>
      </c>
      <c r="H15" s="210">
        <f t="shared" ca="1" si="6"/>
        <v>6.1629021218343603</v>
      </c>
      <c r="I15" s="1253">
        <f t="shared" ca="1" si="7"/>
        <v>6.1629021218343603</v>
      </c>
      <c r="J15" s="1698">
        <f>KE747JX!F4</f>
        <v>164700</v>
      </c>
      <c r="K15" s="41">
        <f t="shared" si="9"/>
        <v>164700</v>
      </c>
      <c r="L15" s="1283">
        <f t="shared" ca="1" si="10"/>
        <v>26724.422478898265</v>
      </c>
      <c r="M15" s="21">
        <f t="shared" ca="1" si="11"/>
        <v>2227.0352065748552</v>
      </c>
      <c r="N15" s="35">
        <v>45273</v>
      </c>
      <c r="O15" s="192">
        <v>45273</v>
      </c>
      <c r="P15" s="192">
        <v>44690</v>
      </c>
      <c r="Q15" s="546" t="s">
        <v>13</v>
      </c>
      <c r="R15" s="546" t="s">
        <v>13</v>
      </c>
      <c r="S15" s="36" t="s">
        <v>13</v>
      </c>
      <c r="T15" s="35" t="s">
        <v>13</v>
      </c>
      <c r="U15" s="546" t="s">
        <v>13</v>
      </c>
      <c r="V15" s="36" t="s">
        <v>13</v>
      </c>
      <c r="W15" s="518">
        <v>30000</v>
      </c>
      <c r="X15" s="767">
        <v>164470</v>
      </c>
      <c r="Y15" s="185">
        <f t="shared" si="12"/>
        <v>194470</v>
      </c>
      <c r="Z15" s="772">
        <v>1</v>
      </c>
      <c r="AA15" s="773">
        <v>44489</v>
      </c>
      <c r="AB15" s="34">
        <f t="shared" si="13"/>
        <v>44854.25</v>
      </c>
      <c r="AC15" s="109">
        <f>KE747JX!B7</f>
        <v>6.4805937905968545</v>
      </c>
      <c r="AD15" s="369">
        <f t="shared" ca="1" si="14"/>
        <v>0.96708678692566563</v>
      </c>
      <c r="AE15" s="370">
        <f ca="1">KE747JX!F5</f>
        <v>0.22035177375969162</v>
      </c>
      <c r="AF15" s="364">
        <f ca="1">KE747JX!I3</f>
        <v>8.1095374789605962E-2</v>
      </c>
      <c r="AG15" s="141">
        <f>KE747JX!C6</f>
        <v>8.6021836547023015E-2</v>
      </c>
      <c r="AH15" s="141">
        <f>KE747JX!F6</f>
        <v>2.550334946036472E-2</v>
      </c>
      <c r="AI15" s="231">
        <f>KE747JX!I6</f>
        <v>1.0772666113194585E-3</v>
      </c>
      <c r="AJ15" s="231">
        <f>KE747JX!K6</f>
        <v>9.3309667630471526E-4</v>
      </c>
      <c r="AK15" s="231">
        <f>KE747JX!M6</f>
        <v>4.6829463800062924E-3</v>
      </c>
      <c r="AL15" s="231">
        <f>KE747JX!O6</f>
        <v>1.4313933182559903E-3</v>
      </c>
      <c r="AM15" s="231"/>
      <c r="AN15" s="231"/>
      <c r="AO15" s="231">
        <f>KE747JX!AE3</f>
        <v>1.9606509976811421E-2</v>
      </c>
      <c r="AP15" s="233">
        <f t="shared" ca="1" si="16"/>
        <v>0.74673501316597402</v>
      </c>
      <c r="AQ15" s="1270">
        <f ca="1">KE747JX!B3/KE747JX!G2</f>
        <v>2167.2270569620255</v>
      </c>
      <c r="AR15" s="141">
        <f ca="1">KE747JX!C102</f>
        <v>668.09999999999991</v>
      </c>
      <c r="AS15" s="141">
        <f ca="1">KE747JX!F102</f>
        <v>1216.45</v>
      </c>
      <c r="AT15" s="141">
        <f ca="1">KE747JX!I102</f>
        <v>73.680000000000007</v>
      </c>
      <c r="AU15" s="141">
        <f ca="1">KE747JX!K102</f>
        <v>54.035999999999994</v>
      </c>
      <c r="AV15" s="1274">
        <f ca="1">KE747JX!J101</f>
        <v>7</v>
      </c>
      <c r="AW15" s="141">
        <f ca="1">KE747JX!M102</f>
        <v>218.40000000000009</v>
      </c>
      <c r="AX15" s="141">
        <f ca="1">KE747JX!O102</f>
        <v>100</v>
      </c>
      <c r="AY15" s="141"/>
      <c r="AZ15" s="141"/>
      <c r="BA15" s="141">
        <f ca="1">KE747JX!AE106</f>
        <v>1114.75</v>
      </c>
      <c r="BB15" s="231"/>
      <c r="BC15" s="1387">
        <f t="shared" ca="1" si="17"/>
        <v>5612.6430569620261</v>
      </c>
      <c r="BD15" s="1270">
        <f ca="1">KE747JX!F99</f>
        <v>0.50973633025116361</v>
      </c>
      <c r="BE15" s="1504">
        <f t="shared" ca="1" si="5"/>
        <v>0.28938455649147199</v>
      </c>
      <c r="BF15" s="1509">
        <f>KE747JX!H5</f>
        <v>49224.685999999994</v>
      </c>
      <c r="BG15" s="1279" t="s">
        <v>379</v>
      </c>
      <c r="BH15" s="157" t="s">
        <v>74</v>
      </c>
      <c r="BI15" s="158"/>
      <c r="BJ15" s="179"/>
      <c r="BK15" s="185"/>
      <c r="BL15" s="1425" t="s">
        <v>1089</v>
      </c>
    </row>
    <row r="16" spans="1:66" s="7" customFormat="1" x14ac:dyDescent="0.25">
      <c r="A16" s="1289">
        <f t="shared" si="15"/>
        <v>11</v>
      </c>
      <c r="B16" s="9" t="str">
        <f>KE909KZ!A1</f>
        <v>KE909KZ</v>
      </c>
      <c r="C16" s="102" t="str">
        <f>KE909KZ!B1</f>
        <v>ŠKODA - SUPERB 4x4</v>
      </c>
      <c r="D16" s="1707"/>
      <c r="E16" s="1708"/>
      <c r="F16" s="35">
        <f>KE909KZ!B2</f>
        <v>42913</v>
      </c>
      <c r="G16" s="1245">
        <f>KE909KZ!C2</f>
        <v>42913</v>
      </c>
      <c r="H16" s="210">
        <f t="shared" ca="1" si="6"/>
        <v>4.6379192334017798</v>
      </c>
      <c r="I16" s="1253">
        <f t="shared" ca="1" si="7"/>
        <v>4.6379192334017798</v>
      </c>
      <c r="J16" s="1698">
        <f>KE909KZ!F4</f>
        <v>120387</v>
      </c>
      <c r="K16" s="41">
        <f>KE909KZ!I4</f>
        <v>120382</v>
      </c>
      <c r="L16" s="1283">
        <f t="shared" ca="1" si="10"/>
        <v>25956.036304604484</v>
      </c>
      <c r="M16" s="21">
        <f t="shared" ca="1" si="11"/>
        <v>2163.0030253837072</v>
      </c>
      <c r="N16" s="35">
        <v>45115</v>
      </c>
      <c r="O16" s="192">
        <v>45115</v>
      </c>
      <c r="P16" s="192">
        <v>44592</v>
      </c>
      <c r="Q16" s="546" t="s">
        <v>13</v>
      </c>
      <c r="R16" s="546" t="s">
        <v>13</v>
      </c>
      <c r="S16" s="36" t="s">
        <v>13</v>
      </c>
      <c r="T16" s="35" t="s">
        <v>13</v>
      </c>
      <c r="U16" s="546" t="s">
        <v>13</v>
      </c>
      <c r="V16" s="36" t="s">
        <v>13</v>
      </c>
      <c r="W16" s="520">
        <v>30000</v>
      </c>
      <c r="X16" s="769">
        <v>120352</v>
      </c>
      <c r="Y16" s="186">
        <f t="shared" si="12"/>
        <v>150352</v>
      </c>
      <c r="Z16" s="1694">
        <v>1</v>
      </c>
      <c r="AA16" s="1966">
        <v>44544</v>
      </c>
      <c r="AB16" s="322">
        <f t="shared" si="13"/>
        <v>44909.25</v>
      </c>
      <c r="AC16" s="109">
        <f>KE909KZ!B7</f>
        <v>6.8422129340599254</v>
      </c>
      <c r="AD16" s="369">
        <f t="shared" ca="1" si="14"/>
        <v>0.99855927541538314</v>
      </c>
      <c r="AE16" s="370">
        <f ca="1">KE909KZ!F5</f>
        <v>0.25182426224940918</v>
      </c>
      <c r="AF16" s="364">
        <f ca="1">KE909KZ!I3</f>
        <v>0.10002829337158568</v>
      </c>
      <c r="AG16" s="141">
        <f>KE909KZ!C6</f>
        <v>9.2113292065675506E-2</v>
      </c>
      <c r="AH16" s="141">
        <f>KE909KZ!F6</f>
        <v>1.2475536209732354E-2</v>
      </c>
      <c r="AI16" s="231">
        <f>KE909KZ!I6</f>
        <v>4.3173398016314729E-3</v>
      </c>
      <c r="AJ16" s="231">
        <f>KE909KZ!K6</f>
        <v>3.4078184446179687E-3</v>
      </c>
      <c r="AK16" s="231">
        <f>KE909KZ!M6</f>
        <v>5.4353640909770495E-3</v>
      </c>
      <c r="AL16" s="231">
        <f>KE909KZ!O6</f>
        <v>1.6613779468691334E-3</v>
      </c>
      <c r="AM16" s="231"/>
      <c r="AN16" s="231"/>
      <c r="AO16" s="231">
        <f>KE909KZ!AE3</f>
        <v>3.2385240318320012E-2</v>
      </c>
      <c r="AP16" s="233">
        <f t="shared" ca="1" si="16"/>
        <v>0.74673501316597402</v>
      </c>
      <c r="AQ16" s="1270">
        <f ca="1">KE909KZ!B3/KE909KZ!G2</f>
        <v>2596.3380142405063</v>
      </c>
      <c r="AR16" s="141">
        <f ca="1">KE909KZ!C102</f>
        <v>1772.02</v>
      </c>
      <c r="AS16" s="141">
        <f ca="1">KE909KZ!F102</f>
        <v>1093.3800000000001</v>
      </c>
      <c r="AT16" s="141">
        <f ca="1">KE909KZ!I102</f>
        <v>125.44</v>
      </c>
      <c r="AU16" s="141">
        <f ca="1">KE909KZ!K102</f>
        <v>156.44999999999999</v>
      </c>
      <c r="AV16" s="1274">
        <f ca="1">KE909KZ!J101</f>
        <v>20</v>
      </c>
      <c r="AW16" s="141">
        <f ca="1">KE909KZ!M102</f>
        <v>218.40000000000009</v>
      </c>
      <c r="AX16" s="141">
        <f ca="1">KE909KZ!O102</f>
        <v>100</v>
      </c>
      <c r="AY16" s="141"/>
      <c r="AZ16" s="141"/>
      <c r="BA16" s="141">
        <f ca="1">KE909KZ!AE106</f>
        <v>1445.6299999999997</v>
      </c>
      <c r="BB16" s="231"/>
      <c r="BC16" s="1387">
        <f t="shared" ca="1" si="17"/>
        <v>7507.6580142405055</v>
      </c>
      <c r="BD16" s="1270">
        <f ca="1">KE909KZ!F99</f>
        <v>0.30641229135452469</v>
      </c>
      <c r="BE16" s="1504">
        <f t="shared" ca="1" si="5"/>
        <v>5.458802910511551E-2</v>
      </c>
      <c r="BF16" s="1509">
        <f>KE909KZ!H5</f>
        <v>53570.92</v>
      </c>
      <c r="BG16" s="1279" t="s">
        <v>165</v>
      </c>
      <c r="BH16" s="157" t="s">
        <v>74</v>
      </c>
      <c r="BI16" s="158">
        <v>1968</v>
      </c>
      <c r="BJ16" s="179">
        <v>110</v>
      </c>
      <c r="BK16" s="185">
        <v>66</v>
      </c>
      <c r="BL16" s="1425" t="s">
        <v>1315</v>
      </c>
    </row>
    <row r="17" spans="1:64" s="1044" customFormat="1" x14ac:dyDescent="0.25">
      <c r="A17" s="1287">
        <f t="shared" si="15"/>
        <v>12</v>
      </c>
      <c r="B17" s="1038" t="str">
        <f>BL253RN!A1</f>
        <v>BL253RN</v>
      </c>
      <c r="C17" s="1057" t="str">
        <f>BL253RN!B1</f>
        <v>ŠKODA - OCTÁVIA combi</v>
      </c>
      <c r="D17" s="1711"/>
      <c r="E17" s="1712"/>
      <c r="F17" s="1058">
        <f>BL253RN!B2</f>
        <v>43089</v>
      </c>
      <c r="G17" s="1246">
        <f>BL253RN!C2</f>
        <v>43089</v>
      </c>
      <c r="H17" s="1249">
        <f t="shared" ca="1" si="6"/>
        <v>4.1560574948665296</v>
      </c>
      <c r="I17" s="1254">
        <f t="shared" ca="1" si="7"/>
        <v>4.1560574948665296</v>
      </c>
      <c r="J17" s="1700">
        <f>BL253RN!F4</f>
        <v>115805</v>
      </c>
      <c r="K17" s="1059">
        <f>BL253RN!I4</f>
        <v>115800</v>
      </c>
      <c r="L17" s="1060">
        <f t="shared" ca="1" si="10"/>
        <v>27862.94466403162</v>
      </c>
      <c r="M17" s="1061">
        <f ca="1">L17/12</f>
        <v>2321.9120553359685</v>
      </c>
      <c r="N17" s="1058">
        <v>44550</v>
      </c>
      <c r="O17" s="1032">
        <v>44550</v>
      </c>
      <c r="P17" s="1032">
        <v>44592</v>
      </c>
      <c r="Q17" s="1062" t="s">
        <v>13</v>
      </c>
      <c r="R17" s="1062" t="s">
        <v>13</v>
      </c>
      <c r="S17" s="1063" t="s">
        <v>13</v>
      </c>
      <c r="T17" s="1058" t="s">
        <v>13</v>
      </c>
      <c r="U17" s="1062" t="s">
        <v>13</v>
      </c>
      <c r="V17" s="1063" t="s">
        <v>13</v>
      </c>
      <c r="W17" s="1727">
        <v>30000</v>
      </c>
      <c r="X17" s="1728">
        <v>89248</v>
      </c>
      <c r="Y17" s="1729">
        <f t="shared" si="12"/>
        <v>119248</v>
      </c>
      <c r="Z17" s="1730">
        <v>1</v>
      </c>
      <c r="AA17" s="1731">
        <v>44312</v>
      </c>
      <c r="AB17" s="1747">
        <v>44549</v>
      </c>
      <c r="AC17" s="1068">
        <f>BL253RN!B7</f>
        <v>6.6804727110050699</v>
      </c>
      <c r="AD17" s="1069">
        <f t="shared" ca="1" si="14"/>
        <v>1.0169079663097831</v>
      </c>
      <c r="AE17" s="1070">
        <f ca="1">BL253RN!F5</f>
        <v>0.27017295314380901</v>
      </c>
      <c r="AF17" s="1242"/>
      <c r="AG17" s="1071">
        <f>BL253RN!C6</f>
        <v>8.7334662988368603E-2</v>
      </c>
      <c r="AH17" s="1071">
        <f>BL253RN!F6</f>
        <v>-9.5630397236614857E-4</v>
      </c>
      <c r="AI17" s="1072">
        <f>BL253RN!I6</f>
        <v>4.092055267702936E-3</v>
      </c>
      <c r="AJ17" s="1072">
        <f>BL253RN!K6</f>
        <v>1.9766321243523308E-3</v>
      </c>
      <c r="AK17" s="1072">
        <f>BL253RN!M6</f>
        <v>5.4683937823834126E-3</v>
      </c>
      <c r="AL17" s="1072">
        <f>BL253RN!O6</f>
        <v>1.7271157167530224E-3</v>
      </c>
      <c r="AM17" s="1072"/>
      <c r="AN17" s="1072">
        <f>BL253RN!S6</f>
        <v>0.16914870466321244</v>
      </c>
      <c r="AO17" s="1072">
        <f>BL253RN!AE3</f>
        <v>1.3816925734024179E-3</v>
      </c>
      <c r="AP17" s="1073">
        <f t="shared" ca="1" si="16"/>
        <v>0.74673501316597402</v>
      </c>
      <c r="AQ17" s="1271">
        <f ca="1">BL253RN!B3/BL253RN!G2</f>
        <v>0</v>
      </c>
      <c r="AR17" s="1071">
        <f ca="1">BL253RN!C102</f>
        <v>4034.5899999999997</v>
      </c>
      <c r="AS17" s="1071">
        <f ca="1">BL253RN!F102</f>
        <v>-223.3</v>
      </c>
      <c r="AT17" s="1071">
        <f ca="1">BL253RN!I102</f>
        <v>111.06</v>
      </c>
      <c r="AU17" s="1071">
        <f ca="1">BL253RN!K102</f>
        <v>58.535999999999987</v>
      </c>
      <c r="AV17" s="1275">
        <f ca="1">BL253RN!J101</f>
        <v>9</v>
      </c>
      <c r="AW17" s="1071">
        <f ca="1">BL253RN!M102</f>
        <v>197.32000000000008</v>
      </c>
      <c r="AX17" s="1071">
        <f ca="1">BL253RN!O102</f>
        <v>100</v>
      </c>
      <c r="AY17" s="1071"/>
      <c r="AZ17" s="1071">
        <f ca="1">BL253RN!S102</f>
        <v>8944.9199999999983</v>
      </c>
      <c r="BA17" s="1071">
        <f ca="1">BL253RN!AE106</f>
        <v>80</v>
      </c>
      <c r="BB17" s="1072"/>
      <c r="BC17" s="1388">
        <f t="shared" ca="1" si="17"/>
        <v>13303.125999999997</v>
      </c>
      <c r="BD17" s="1270">
        <f ca="1">BL253RN!F99</f>
        <v>0.28004222802290329</v>
      </c>
      <c r="BE17" s="1504">
        <f t="shared" ca="1" si="5"/>
        <v>9.8692748790942808E-3</v>
      </c>
      <c r="BF17" s="1510">
        <f>BL253RN!H5</f>
        <v>30543.334000000003</v>
      </c>
      <c r="BG17" s="1280" t="s">
        <v>187</v>
      </c>
      <c r="BH17" s="1040" t="s">
        <v>110</v>
      </c>
      <c r="BI17" s="1041">
        <v>1395</v>
      </c>
      <c r="BJ17" s="1074">
        <v>110</v>
      </c>
      <c r="BK17" s="1043">
        <v>50</v>
      </c>
      <c r="BL17" s="1426" t="s">
        <v>1087</v>
      </c>
    </row>
    <row r="18" spans="1:64" s="7" customFormat="1" x14ac:dyDescent="0.25">
      <c r="A18" s="1289">
        <f t="shared" si="15"/>
        <v>13</v>
      </c>
      <c r="B18" s="435" t="str">
        <f>KE574LL!A1</f>
        <v>KE574LL</v>
      </c>
      <c r="C18" s="102" t="str">
        <f>KE574LL!B1</f>
        <v>MIDIBUS - ISUZU Novo</v>
      </c>
      <c r="D18" s="1707" t="s">
        <v>217</v>
      </c>
      <c r="E18" s="1708" t="s">
        <v>217</v>
      </c>
      <c r="F18" s="35">
        <f>KE574LL!B2</f>
        <v>43160</v>
      </c>
      <c r="G18" s="1245">
        <f>KE574LL!C2</f>
        <v>43160</v>
      </c>
      <c r="H18" s="210">
        <f t="shared" ca="1" si="6"/>
        <v>3.9616700889801506</v>
      </c>
      <c r="I18" s="1253">
        <f t="shared" ca="1" si="7"/>
        <v>3.9616700889801506</v>
      </c>
      <c r="J18" s="1698">
        <f>KE574LL!F4</f>
        <v>46759</v>
      </c>
      <c r="K18" s="41">
        <f>KE574LL!I4</f>
        <v>44609</v>
      </c>
      <c r="L18" s="1283">
        <f t="shared" ca="1" si="10"/>
        <v>11260.150138217001</v>
      </c>
      <c r="M18" s="21">
        <f t="shared" ca="1" si="11"/>
        <v>938.3458448514167</v>
      </c>
      <c r="N18" s="35">
        <v>44610</v>
      </c>
      <c r="O18" s="192">
        <v>44610</v>
      </c>
      <c r="P18" s="192" t="s">
        <v>13</v>
      </c>
      <c r="Q18" s="546">
        <v>44611</v>
      </c>
      <c r="R18" s="546">
        <v>44672</v>
      </c>
      <c r="S18" s="36">
        <v>45333</v>
      </c>
      <c r="T18" s="35">
        <v>45032</v>
      </c>
      <c r="U18" s="546">
        <v>46861</v>
      </c>
      <c r="V18" s="36">
        <v>46861</v>
      </c>
      <c r="W18" s="518">
        <v>20000</v>
      </c>
      <c r="X18" s="767">
        <f>42594-329.5</f>
        <v>42264.5</v>
      </c>
      <c r="Y18" s="185">
        <f t="shared" si="12"/>
        <v>62264.5</v>
      </c>
      <c r="Z18" s="772">
        <v>1</v>
      </c>
      <c r="AA18" s="773">
        <v>44328</v>
      </c>
      <c r="AB18" s="34">
        <f>($AA$28*Z18)+AA18</f>
        <v>44693.25</v>
      </c>
      <c r="AC18" s="109">
        <f>KE574LL!B7</f>
        <v>20.894241671290384</v>
      </c>
      <c r="AD18" s="369">
        <f ca="1">KE574LL!F5+AP18</f>
        <v>2.0984096699926731</v>
      </c>
      <c r="AE18" s="370">
        <f ca="1">KE574LL!F5</f>
        <v>1.3516746568266991</v>
      </c>
      <c r="AF18" s="364">
        <f ca="1">KE574LL!I3</f>
        <v>0.53170134609834951</v>
      </c>
      <c r="AG18" s="141">
        <f>KE574LL!C6</f>
        <v>0.28791426434757439</v>
      </c>
      <c r="AH18" s="141">
        <f>KE574LL!F6</f>
        <v>0.22138850904525989</v>
      </c>
      <c r="AI18" s="231">
        <f>KE574LL!I6</f>
        <v>6.2306036898383751E-2</v>
      </c>
      <c r="AJ18" s="231">
        <f>KE574LL!K6</f>
        <v>6.4458293169539788E-3</v>
      </c>
      <c r="AK18" s="231">
        <f>KE574LL!M6</f>
        <v>1.4667892129390911E-2</v>
      </c>
      <c r="AL18" s="231">
        <f>KE574LL!O6</f>
        <v>1.9176175211280233E-2</v>
      </c>
      <c r="AM18" s="231">
        <f>KE574LL!Q6</f>
        <v>3.2280481517182606E-3</v>
      </c>
      <c r="AN18" s="231"/>
      <c r="AO18" s="231">
        <f>KE574LL!AE3</f>
        <v>0.20484655562778809</v>
      </c>
      <c r="AP18" s="233">
        <f t="shared" ca="1" si="16"/>
        <v>0.74673501316597402</v>
      </c>
      <c r="AQ18" s="1370">
        <f ca="1">KE574LL!B3/KE574LL!G2</f>
        <v>5987.036985759496</v>
      </c>
      <c r="AR18" s="141">
        <f ca="1">KE574LL!C102</f>
        <v>2195.1499999999996</v>
      </c>
      <c r="AS18" s="141">
        <f ca="1">KE574LL!F102</f>
        <v>7915.65</v>
      </c>
      <c r="AT18" s="141">
        <f ca="1">KE574LL!I102</f>
        <v>421.5</v>
      </c>
      <c r="AU18" s="141">
        <f ca="1">KE574LL!K102</f>
        <v>70.012</v>
      </c>
      <c r="AV18" s="1274">
        <f ca="1">KE574LL!J101</f>
        <v>5</v>
      </c>
      <c r="AW18" s="141">
        <f ca="1">KE574LL!M102</f>
        <v>218.40000000000009</v>
      </c>
      <c r="AX18" s="141">
        <f ca="1">KE574LL!O102</f>
        <v>100</v>
      </c>
      <c r="AY18" s="141">
        <f ca="1">KE574LL!Q102</f>
        <v>93.599999999999966</v>
      </c>
      <c r="AZ18" s="1341" t="s">
        <v>1012</v>
      </c>
      <c r="BA18" s="141">
        <f ca="1">KE574LL!AE106</f>
        <v>4218.3</v>
      </c>
      <c r="BB18" s="231"/>
      <c r="BC18" s="1387">
        <f t="shared" ca="1" si="17"/>
        <v>21219.648985759493</v>
      </c>
      <c r="BD18" s="1270">
        <f ca="1">KE574LL!F99</f>
        <v>1.9986323938641428</v>
      </c>
      <c r="BE18" s="1504">
        <f t="shared" ca="1" si="5"/>
        <v>0.64695773703744375</v>
      </c>
      <c r="BF18" s="1509">
        <f>KE574LL!H5</f>
        <v>173881.53200000006</v>
      </c>
      <c r="BG18" s="1279" t="s">
        <v>288</v>
      </c>
      <c r="BH18" s="157" t="s">
        <v>74</v>
      </c>
      <c r="BI18" s="158">
        <v>5193</v>
      </c>
      <c r="BJ18" s="179">
        <v>140</v>
      </c>
      <c r="BK18" s="185">
        <v>160</v>
      </c>
      <c r="BL18" s="1425" t="s">
        <v>1089</v>
      </c>
    </row>
    <row r="19" spans="1:64" x14ac:dyDescent="0.25">
      <c r="A19" s="1289">
        <f t="shared" si="15"/>
        <v>14</v>
      </c>
      <c r="B19" s="112" t="str">
        <f>KE344YO!A1</f>
        <v>KE344YO</v>
      </c>
      <c r="C19" s="100" t="str">
        <f>KE344YO!B1</f>
        <v>NOVÝ prívesný vozík</v>
      </c>
      <c r="D19" s="1705"/>
      <c r="E19" s="1706"/>
      <c r="F19" s="35">
        <f>KE344YO!B2</f>
        <v>43348</v>
      </c>
      <c r="G19" s="1245">
        <f>KE344YO!C2</f>
        <v>43348</v>
      </c>
      <c r="H19" s="209">
        <f ca="1">(TODAY()-F19)/365.25</f>
        <v>3.4469541409993156</v>
      </c>
      <c r="I19" s="1253">
        <f ca="1">(TODAY()-G19)/365.25</f>
        <v>3.4469541409993156</v>
      </c>
      <c r="J19" s="1697"/>
      <c r="K19" s="42"/>
      <c r="L19" s="1283"/>
      <c r="M19" s="21"/>
      <c r="N19" s="35" t="s">
        <v>13</v>
      </c>
      <c r="O19" s="192" t="s">
        <v>13</v>
      </c>
      <c r="P19" s="192" t="s">
        <v>13</v>
      </c>
      <c r="Q19" s="546" t="s">
        <v>13</v>
      </c>
      <c r="R19" s="546" t="s">
        <v>13</v>
      </c>
      <c r="S19" s="36" t="s">
        <v>13</v>
      </c>
      <c r="T19" s="35" t="s">
        <v>13</v>
      </c>
      <c r="U19" s="546" t="s">
        <v>13</v>
      </c>
      <c r="V19" s="36" t="s">
        <v>13</v>
      </c>
      <c r="W19" s="1407"/>
      <c r="X19" s="1408"/>
      <c r="Y19" s="1404"/>
      <c r="Z19" s="1405"/>
      <c r="AA19" s="1406"/>
      <c r="AB19" s="1403" t="s">
        <v>1036</v>
      </c>
      <c r="AC19" s="1409">
        <v>5</v>
      </c>
      <c r="AD19" s="1402">
        <f ca="1">KE344YO!F5</f>
        <v>0.29578124999999994</v>
      </c>
      <c r="AE19" s="1410">
        <f ca="1">CEILING(AD19,AC19)</f>
        <v>5</v>
      </c>
      <c r="AF19" s="1411">
        <f ca="1">KE344YO!I3</f>
        <v>0.26008702531645567</v>
      </c>
      <c r="AG19" s="1412"/>
      <c r="AH19" s="1412">
        <f ca="1">KE344YO!F6</f>
        <v>0</v>
      </c>
      <c r="AI19" s="1413">
        <f ca="1">KE344YO!I6</f>
        <v>2.0767405063291139E-2</v>
      </c>
      <c r="AJ19" s="1413">
        <f ca="1">KE344YO!K6</f>
        <v>9.8892405063291146E-4</v>
      </c>
      <c r="AK19" s="1413"/>
      <c r="AL19" s="1413"/>
      <c r="AM19" s="1413"/>
      <c r="AN19" s="1413"/>
      <c r="AO19" s="1413">
        <f ca="1">KE344YO!AE3</f>
        <v>4.0486550632911388E-3</v>
      </c>
      <c r="AP19" s="1414">
        <v>0</v>
      </c>
      <c r="AQ19" s="1270">
        <f ca="1">KE344YO!B3/KE344YO!G2</f>
        <v>94.996785996835442</v>
      </c>
      <c r="AR19" s="141"/>
      <c r="AS19" s="141">
        <f ca="1">KE344YO!F102</f>
        <v>0</v>
      </c>
      <c r="AT19" s="141">
        <f ca="1">KE344YO!I102</f>
        <v>0</v>
      </c>
      <c r="AU19" s="141">
        <f ca="1">KE344YO!K102</f>
        <v>0</v>
      </c>
      <c r="AV19" s="1274">
        <f ca="1">KE344YO!J101</f>
        <v>0</v>
      </c>
      <c r="AW19" s="141"/>
      <c r="AX19" s="141">
        <f ca="1">KE344YO!O102</f>
        <v>50</v>
      </c>
      <c r="AY19" s="141"/>
      <c r="AZ19" s="141"/>
      <c r="BA19" s="141">
        <f ca="1">KE344YO!AE106</f>
        <v>8.6</v>
      </c>
      <c r="BB19" s="231"/>
      <c r="BC19" s="1387">
        <f ca="1">SUM(AQ19:AU19,AW19:BB19)</f>
        <v>153.59678599683545</v>
      </c>
      <c r="BD19" s="1270">
        <f ca="1">KE344YO!F99</f>
        <v>0.33560248923398145</v>
      </c>
      <c r="BE19" s="1504">
        <f ca="1">BD19-AD19</f>
        <v>3.9821239233981509E-2</v>
      </c>
      <c r="BF19" s="1509">
        <f>KE344YO!H5</f>
        <v>1495.47</v>
      </c>
      <c r="BG19" s="1278"/>
      <c r="BH19" s="154"/>
      <c r="BI19" s="155"/>
      <c r="BJ19" s="178"/>
      <c r="BK19" s="184"/>
      <c r="BL19" s="1424"/>
    </row>
    <row r="20" spans="1:64" s="1044" customFormat="1" x14ac:dyDescent="0.25">
      <c r="A20" s="1287">
        <f t="shared" si="15"/>
        <v>15</v>
      </c>
      <c r="B20" s="1038" t="str">
        <f>BL028VG!A1</f>
        <v>BL028VG</v>
      </c>
      <c r="C20" s="1057" t="str">
        <f>BL028VG!B1</f>
        <v>ŠKODA - OCTÁVIA combi</v>
      </c>
      <c r="D20" s="1711"/>
      <c r="E20" s="1712"/>
      <c r="F20" s="1058">
        <f>BL028VG!B2</f>
        <v>43558</v>
      </c>
      <c r="G20" s="1246">
        <f>BL028VG!C2</f>
        <v>43558</v>
      </c>
      <c r="H20" s="1249">
        <f t="shared" ca="1" si="6"/>
        <v>2.8720054757015743</v>
      </c>
      <c r="I20" s="1254">
        <f ca="1">(TODAY()-G20)/365.25</f>
        <v>2.8720054757015743</v>
      </c>
      <c r="J20" s="1700">
        <f>BL028VG!F4</f>
        <v>54185</v>
      </c>
      <c r="K20" s="1059">
        <f>BL028VG!I4</f>
        <v>54180</v>
      </c>
      <c r="L20" s="1060">
        <f ca="1">K20/I20</f>
        <v>18864.866539561488</v>
      </c>
      <c r="M20" s="1061">
        <f ca="1">L20/12</f>
        <v>1572.072211630124</v>
      </c>
      <c r="N20" s="1058">
        <v>45019</v>
      </c>
      <c r="O20" s="1032">
        <v>45019</v>
      </c>
      <c r="P20" s="1032">
        <v>44592</v>
      </c>
      <c r="Q20" s="1062" t="s">
        <v>13</v>
      </c>
      <c r="R20" s="1062" t="s">
        <v>13</v>
      </c>
      <c r="S20" s="1063" t="s">
        <v>13</v>
      </c>
      <c r="T20" s="1058" t="s">
        <v>13</v>
      </c>
      <c r="U20" s="1062" t="s">
        <v>13</v>
      </c>
      <c r="V20" s="1063" t="s">
        <v>13</v>
      </c>
      <c r="W20" s="1064">
        <v>30000</v>
      </c>
      <c r="X20" s="1065">
        <v>46518</v>
      </c>
      <c r="Y20" s="1043">
        <f>W20+X20</f>
        <v>76518</v>
      </c>
      <c r="Z20" s="1066">
        <v>1</v>
      </c>
      <c r="AA20" s="1067">
        <v>44307</v>
      </c>
      <c r="AB20" s="36">
        <f>($AA$28*Z20)+AA20</f>
        <v>44672.25</v>
      </c>
      <c r="AC20" s="1068">
        <f>BL028VG!B7</f>
        <v>6.3787370167055029</v>
      </c>
      <c r="AD20" s="1069">
        <f ca="1">BL028VG!F5+AP20</f>
        <v>1.0967533191448902</v>
      </c>
      <c r="AE20" s="1070">
        <f ca="1">BL028VG!F5</f>
        <v>0.35001830597891626</v>
      </c>
      <c r="AF20" s="1242"/>
      <c r="AG20" s="1071">
        <f>BL028VG!C6</f>
        <v>8.1452746731961595E-2</v>
      </c>
      <c r="AH20" s="1071">
        <f>BL028VG!F6</f>
        <v>4.4998154300479884E-3</v>
      </c>
      <c r="AI20" s="1072">
        <f>BL028VG!I6</f>
        <v>1.3816906607604282E-3</v>
      </c>
      <c r="AJ20" s="1072">
        <f>BL028VG!K6</f>
        <v>9.2307124400147638E-4</v>
      </c>
      <c r="AK20" s="1072">
        <f>BL028VG!M6</f>
        <v>1.1329088224437048E-2</v>
      </c>
      <c r="AL20" s="1072">
        <f>BL028VG!O6</f>
        <v>2.7685492801771874E-3</v>
      </c>
      <c r="AM20" s="1072"/>
      <c r="AN20" s="1072">
        <f>BL028VG!S6</f>
        <v>0.24544850498338877</v>
      </c>
      <c r="AO20" s="1072">
        <f>BL028VG!AE3</f>
        <v>2.2148394241417496E-3</v>
      </c>
      <c r="AP20" s="1073">
        <f ca="1">$M$32</f>
        <v>0.74673501316597402</v>
      </c>
      <c r="AQ20" s="1271">
        <f ca="1">BL028VG!B3/BL028VG!G2</f>
        <v>0</v>
      </c>
      <c r="AR20" s="1071">
        <f ca="1">BL028VG!C102</f>
        <v>2338.3399999999997</v>
      </c>
      <c r="AS20" s="1071">
        <f ca="1">BL028VG!F102</f>
        <v>243.8</v>
      </c>
      <c r="AT20" s="1071">
        <f ca="1">BL028VG!I102</f>
        <v>62.260000000000005</v>
      </c>
      <c r="AU20" s="1071">
        <f ca="1">BL028VG!K102</f>
        <v>26.012</v>
      </c>
      <c r="AV20" s="1275">
        <f ca="1">BL028VG!J101</f>
        <v>4</v>
      </c>
      <c r="AW20" s="1071">
        <f ca="1">BL028VG!M102</f>
        <v>218.40000000000009</v>
      </c>
      <c r="AX20" s="1071">
        <f ca="1">BL028VG!O102</f>
        <v>100</v>
      </c>
      <c r="AY20" s="1071"/>
      <c r="AZ20" s="1071">
        <f ca="1">BL028VG!S102</f>
        <v>9308.8799999999974</v>
      </c>
      <c r="BA20" s="1071">
        <f ca="1">BL028VG!AE106</f>
        <v>80</v>
      </c>
      <c r="BB20" s="1072"/>
      <c r="BC20" s="1388">
        <f t="shared" ca="1" si="17"/>
        <v>12377.691999999997</v>
      </c>
      <c r="BD20" s="1270">
        <f ca="1">BL028VG!F99</f>
        <v>0.43067821851078625</v>
      </c>
      <c r="BE20" s="1504">
        <f t="shared" ca="1" si="5"/>
        <v>8.0659912531869993E-2</v>
      </c>
      <c r="BF20" s="1510">
        <f>BL028VG!H5</f>
        <v>18675.812000000002</v>
      </c>
      <c r="BG20" s="1280" t="s">
        <v>596</v>
      </c>
      <c r="BH20" s="1040" t="s">
        <v>110</v>
      </c>
      <c r="BI20" s="1041">
        <v>1498</v>
      </c>
      <c r="BJ20" s="1074">
        <v>110</v>
      </c>
      <c r="BK20" s="1043">
        <v>50</v>
      </c>
      <c r="BL20" s="1426" t="s">
        <v>1318</v>
      </c>
    </row>
    <row r="21" spans="1:64" s="7" customFormat="1" x14ac:dyDescent="0.25">
      <c r="A21" s="1288">
        <f t="shared" si="15"/>
        <v>16</v>
      </c>
      <c r="B21" s="112" t="str">
        <f>KE502GM!A1</f>
        <v>KE502GM</v>
      </c>
      <c r="C21" s="100" t="str">
        <f>KE502GM!B1</f>
        <v>VW - PASSAT</v>
      </c>
      <c r="D21" s="1705"/>
      <c r="E21" s="1706"/>
      <c r="F21" s="35">
        <f>KE502GM!B2</f>
        <v>39944</v>
      </c>
      <c r="G21" s="1245">
        <f>KE502GM!C2</f>
        <v>43819</v>
      </c>
      <c r="H21" s="1249">
        <f t="shared" ca="1" si="6"/>
        <v>12.766598220396988</v>
      </c>
      <c r="I21" s="1253">
        <f ca="1">(TODAY()-G21)/365.25</f>
        <v>2.1574264202600957</v>
      </c>
      <c r="J21" s="1697">
        <f>KE502GM!F4</f>
        <v>621460</v>
      </c>
      <c r="K21" s="42">
        <f>KE502GM!I4</f>
        <v>6261</v>
      </c>
      <c r="L21" s="1283">
        <f ca="1">K21/I21</f>
        <v>2902.068845177665</v>
      </c>
      <c r="M21" s="22">
        <f ca="1">L21/12</f>
        <v>241.83907043147209</v>
      </c>
      <c r="N21" s="35">
        <v>45051</v>
      </c>
      <c r="O21" s="192">
        <v>45059</v>
      </c>
      <c r="P21" s="192" t="s">
        <v>13</v>
      </c>
      <c r="Q21" s="546" t="s">
        <v>13</v>
      </c>
      <c r="R21" s="546" t="s">
        <v>13</v>
      </c>
      <c r="S21" s="36" t="s">
        <v>13</v>
      </c>
      <c r="T21" s="35" t="s">
        <v>13</v>
      </c>
      <c r="U21" s="546" t="s">
        <v>13</v>
      </c>
      <c r="V21" s="36" t="s">
        <v>13</v>
      </c>
      <c r="W21" s="518">
        <v>30000</v>
      </c>
      <c r="X21" s="767">
        <v>616506</v>
      </c>
      <c r="Y21" s="185">
        <f>W21+X21</f>
        <v>646506</v>
      </c>
      <c r="Z21" s="772">
        <v>1</v>
      </c>
      <c r="AA21" s="773">
        <v>43899</v>
      </c>
      <c r="AB21" s="36">
        <f>($AA$28*Z21)+AA21</f>
        <v>44264.25</v>
      </c>
      <c r="AC21" s="109">
        <f>KE502GM!B7</f>
        <v>11.186072512378214</v>
      </c>
      <c r="AD21" s="369">
        <f ca="1">AE21+AP21</f>
        <v>1.3165577251928067</v>
      </c>
      <c r="AE21" s="370">
        <f ca="1">KE502GM!F5</f>
        <v>0.56982271202683266</v>
      </c>
      <c r="AF21" s="364">
        <f ca="1">KE502GM!I3</f>
        <v>0</v>
      </c>
      <c r="AG21" s="141">
        <f>KE502GM!C6</f>
        <v>0.1560613320555822</v>
      </c>
      <c r="AH21" s="141">
        <f>KE502GM!F6</f>
        <v>0.29172176968535374</v>
      </c>
      <c r="AI21" s="231">
        <f>KE502GM!I6</f>
        <v>4.4944896981312883E-2</v>
      </c>
      <c r="AJ21" s="231">
        <f>KE502GM!K6</f>
        <v>5.9926529308417182E-3</v>
      </c>
      <c r="AK21" s="231">
        <f>KE502GM!M6</f>
        <v>3.5840919980833746E-2</v>
      </c>
      <c r="AL21" s="231">
        <f>KE502GM!O6</f>
        <v>7.9859447372624178E-3</v>
      </c>
      <c r="AM21" s="231"/>
      <c r="AN21" s="231"/>
      <c r="AO21" s="231">
        <f>KE502GM!AC3</f>
        <v>2.727519565564606E-2</v>
      </c>
      <c r="AP21" s="233">
        <f ca="1">$M$32</f>
        <v>0.74673501316597402</v>
      </c>
      <c r="AQ21" s="1270">
        <f ca="1">KE502GM!B3/KE502GM!G2</f>
        <v>0</v>
      </c>
      <c r="AR21" s="141">
        <f ca="1">KE502GM!C52</f>
        <v>977.10000000000014</v>
      </c>
      <c r="AS21" s="141">
        <f ca="1">KE502GM!F52</f>
        <v>1826.4699999999998</v>
      </c>
      <c r="AT21" s="141">
        <f ca="1">KE502GM!I52</f>
        <v>15.4</v>
      </c>
      <c r="AU21" s="141">
        <f ca="1">KE502GM!K52</f>
        <v>37.519999999999996</v>
      </c>
      <c r="AV21" s="1274">
        <f ca="1">KE502GM!J51</f>
        <v>6</v>
      </c>
      <c r="AW21" s="141">
        <f ca="1">KE502GM!M52</f>
        <v>151.20000000000005</v>
      </c>
      <c r="AX21" s="141">
        <f ca="1">KE502GM!O52</f>
        <v>50</v>
      </c>
      <c r="AY21" s="141"/>
      <c r="AZ21" s="141"/>
      <c r="BA21" s="141">
        <f ca="1">KE502GM!AC56</f>
        <v>145.57999999999998</v>
      </c>
      <c r="BB21" s="231"/>
      <c r="BC21" s="1387">
        <f ca="1">SUM(AQ21:AU21,AW21:BB21)</f>
        <v>3203.2699999999995</v>
      </c>
      <c r="BD21" s="1270">
        <f ca="1">KE502GM!F49</f>
        <v>0.5116227439706118</v>
      </c>
      <c r="BE21" s="1504">
        <f t="shared" ca="1" si="5"/>
        <v>-5.8199968056220852E-2</v>
      </c>
      <c r="BF21" s="1509">
        <f>KE502GM!H5</f>
        <v>3567.66</v>
      </c>
      <c r="BG21" s="1279" t="s">
        <v>717</v>
      </c>
      <c r="BH21" s="157" t="s">
        <v>110</v>
      </c>
      <c r="BI21" s="158">
        <v>3168</v>
      </c>
      <c r="BJ21" s="179">
        <v>184</v>
      </c>
      <c r="BK21" s="185">
        <v>68</v>
      </c>
      <c r="BL21" s="1425" t="s">
        <v>1089</v>
      </c>
    </row>
    <row r="22" spans="1:64" s="7" customFormat="1" x14ac:dyDescent="0.25">
      <c r="A22" s="1288">
        <f t="shared" si="15"/>
        <v>17</v>
      </c>
      <c r="B22" s="112" t="str">
        <f>KE270MZ!A1</f>
        <v>KE270MZ</v>
      </c>
      <c r="C22" s="100" t="str">
        <f>KE270MZ!B1</f>
        <v>PEUGEOT - BOXER mikrobus</v>
      </c>
      <c r="D22" s="1705"/>
      <c r="E22" s="1706"/>
      <c r="F22" s="35">
        <f>KE270MZ!B2</f>
        <v>44004</v>
      </c>
      <c r="G22" s="1245">
        <f>KE270MZ!C2</f>
        <v>44004</v>
      </c>
      <c r="H22" s="1249">
        <f ca="1">(TODAY()-F22)/365.25</f>
        <v>1.6509240246406571</v>
      </c>
      <c r="I22" s="1253">
        <f ca="1">(TODAY()-G22)/365.25</f>
        <v>1.6509240246406571</v>
      </c>
      <c r="J22" s="1697">
        <f>KE270MZ!F4</f>
        <v>9875</v>
      </c>
      <c r="K22" s="42">
        <f>KE270MZ!I4</f>
        <v>9867</v>
      </c>
      <c r="L22" s="1283">
        <f ca="1">K22/I22</f>
        <v>5976.6529850746265</v>
      </c>
      <c r="M22" s="22">
        <f ca="1">L22/12</f>
        <v>498.05441542288554</v>
      </c>
      <c r="N22" s="35">
        <v>44740</v>
      </c>
      <c r="O22" s="192">
        <v>44740</v>
      </c>
      <c r="P22" s="192">
        <v>44737</v>
      </c>
      <c r="Q22" s="546" t="s">
        <v>13</v>
      </c>
      <c r="R22" s="546" t="s">
        <v>13</v>
      </c>
      <c r="S22" s="36" t="s">
        <v>13</v>
      </c>
      <c r="T22" s="35">
        <v>47657</v>
      </c>
      <c r="U22" s="1539" t="s">
        <v>1154</v>
      </c>
      <c r="V22" s="36"/>
      <c r="W22" s="520">
        <v>50000</v>
      </c>
      <c r="X22" s="767">
        <v>5</v>
      </c>
      <c r="Y22" s="185">
        <f>W22+X22</f>
        <v>50005</v>
      </c>
      <c r="Z22" s="1694">
        <v>2</v>
      </c>
      <c r="AA22" s="773">
        <v>44004</v>
      </c>
      <c r="AB22" s="36">
        <f>($AA$28*Z22)+AA22</f>
        <v>44734.5</v>
      </c>
      <c r="AC22" s="109">
        <f>KE270MZ!B7</f>
        <v>10.346293119878025</v>
      </c>
      <c r="AD22" s="369" t="e">
        <f ca="1">AE22+AP22</f>
        <v>#NAME?</v>
      </c>
      <c r="AE22" s="370" t="e">
        <f ca="1">KE270MZ!F5</f>
        <v>#NAME?</v>
      </c>
      <c r="AF22" s="364">
        <f ca="1">KE270MZ!I3</f>
        <v>0.40129449526807803</v>
      </c>
      <c r="AG22" s="141">
        <f>KE270MZ!C6</f>
        <v>0.13184295788069372</v>
      </c>
      <c r="AH22" s="141">
        <f>KE270MZ!F6</f>
        <v>3.2757677105503188E-2</v>
      </c>
      <c r="AI22" s="231">
        <f>KE270MZ!I6</f>
        <v>6.8572007702442485E-3</v>
      </c>
      <c r="AJ22" s="231" t="e">
        <f>KE270MZ!K6</f>
        <v>#NAME?</v>
      </c>
      <c r="AK22" s="231">
        <f>KE270MZ!M6</f>
        <v>3.3480287828113901E-2</v>
      </c>
      <c r="AL22" s="231">
        <f>KE270MZ!O6</f>
        <v>5.067396371744198E-3</v>
      </c>
      <c r="AM22" s="231"/>
      <c r="AN22" s="231"/>
      <c r="AO22" s="231">
        <f>KE270MZ!AE3</f>
        <v>0.16314381270903008</v>
      </c>
      <c r="AP22" s="233">
        <f ca="1">$M$32</f>
        <v>0.74673501316597402</v>
      </c>
      <c r="AQ22" s="1270">
        <f ca="1">KE270MZ!B3/KE270MZ!G2</f>
        <v>2398.3979430379745</v>
      </c>
      <c r="AR22" s="141">
        <f ca="1">KE270MZ!C88</f>
        <v>691.78</v>
      </c>
      <c r="AS22" s="141">
        <f ca="1">KE270MZ!F88</f>
        <v>323.21999999999997</v>
      </c>
      <c r="AT22" s="141">
        <f ca="1">KE270MZ!I88</f>
        <v>67.66</v>
      </c>
      <c r="AU22" s="141">
        <f ca="1">KE270MZ!K88</f>
        <v>16.007999999999999</v>
      </c>
      <c r="AV22" s="1274">
        <f ca="1">KE270MZ!J87</f>
        <v>2</v>
      </c>
      <c r="AW22" s="141">
        <f ca="1">KE270MZ!M88</f>
        <v>330.34999999999985</v>
      </c>
      <c r="AX22" s="141">
        <f ca="1">KE270MZ!O88</f>
        <v>50</v>
      </c>
      <c r="AY22" s="141"/>
      <c r="AZ22" s="141"/>
      <c r="BA22" s="141">
        <f ca="1">KE270MZ!AE92</f>
        <v>1609.7399999999998</v>
      </c>
      <c r="BB22" s="231"/>
      <c r="BC22" s="1387">
        <f ca="1">SUM(AQ22:AU22,AW22:BB22)</f>
        <v>5487.1559430379739</v>
      </c>
      <c r="BD22" s="1270">
        <f ca="1">KE270MZ!F85</f>
        <v>0.9899657359770544</v>
      </c>
      <c r="BE22" s="1504" t="e">
        <f t="shared" ca="1" si="5"/>
        <v>#NAME?</v>
      </c>
      <c r="BF22" s="1509" t="e">
        <f>KE270MZ!H5</f>
        <v>#NAME?</v>
      </c>
      <c r="BG22" s="1279" t="s">
        <v>1138</v>
      </c>
      <c r="BH22" s="157" t="s">
        <v>74</v>
      </c>
      <c r="BI22" s="158">
        <v>2179</v>
      </c>
      <c r="BJ22" s="179">
        <v>121</v>
      </c>
      <c r="BK22" s="185">
        <v>90</v>
      </c>
      <c r="BL22" s="1425" t="s">
        <v>1088</v>
      </c>
    </row>
    <row r="23" spans="1:64" s="7" customFormat="1" x14ac:dyDescent="0.25">
      <c r="A23" s="1288">
        <f t="shared" si="15"/>
        <v>18</v>
      </c>
      <c r="B23" s="112" t="s">
        <v>1480</v>
      </c>
      <c r="C23" s="100" t="s">
        <v>32</v>
      </c>
      <c r="D23" s="1705"/>
      <c r="E23" s="1706"/>
      <c r="F23" s="35">
        <v>33970</v>
      </c>
      <c r="G23" s="1245">
        <v>44538</v>
      </c>
      <c r="H23" s="1249">
        <f ca="1">(TODAY()-F23)/365.25</f>
        <v>29.12251882272416</v>
      </c>
      <c r="I23" s="1253">
        <f ca="1">(TODAY()-G23)/365.25</f>
        <v>0.18891170431211499</v>
      </c>
      <c r="J23" s="1697"/>
      <c r="K23" s="42"/>
      <c r="L23" s="1283"/>
      <c r="M23" s="22"/>
      <c r="N23" s="35"/>
      <c r="O23" s="192"/>
      <c r="P23" s="192"/>
      <c r="Q23" s="546"/>
      <c r="R23" s="546"/>
      <c r="S23" s="36"/>
      <c r="T23" s="35"/>
      <c r="U23" s="1539"/>
      <c r="V23" s="36"/>
      <c r="W23" s="520"/>
      <c r="X23" s="767"/>
      <c r="Y23" s="185"/>
      <c r="Z23" s="1694"/>
      <c r="AA23" s="773"/>
      <c r="AB23" s="36"/>
      <c r="AC23" s="109"/>
      <c r="AD23" s="369"/>
      <c r="AE23" s="370"/>
      <c r="AF23" s="364"/>
      <c r="AG23" s="141"/>
      <c r="AH23" s="141"/>
      <c r="AI23" s="231"/>
      <c r="AJ23" s="231"/>
      <c r="AK23" s="231"/>
      <c r="AL23" s="231"/>
      <c r="AM23" s="231"/>
      <c r="AN23" s="231"/>
      <c r="AO23" s="231"/>
      <c r="AP23" s="233"/>
      <c r="AQ23" s="1270"/>
      <c r="AR23" s="141"/>
      <c r="AS23" s="141"/>
      <c r="AT23" s="141"/>
      <c r="AU23" s="141"/>
      <c r="AV23" s="1274"/>
      <c r="AW23" s="141"/>
      <c r="AX23" s="141"/>
      <c r="AY23" s="141"/>
      <c r="AZ23" s="141"/>
      <c r="BA23" s="141"/>
      <c r="BB23" s="231"/>
      <c r="BC23" s="1387"/>
      <c r="BD23" s="1270"/>
      <c r="BE23" s="1504"/>
      <c r="BF23" s="1509"/>
      <c r="BG23" s="1279" t="s">
        <v>1481</v>
      </c>
      <c r="BH23" s="157" t="s">
        <v>74</v>
      </c>
      <c r="BI23" s="158">
        <v>2370</v>
      </c>
      <c r="BJ23" s="179">
        <v>57</v>
      </c>
      <c r="BK23" s="185">
        <v>80</v>
      </c>
      <c r="BL23" s="1425"/>
    </row>
    <row r="24" spans="1:64" s="7" customFormat="1" x14ac:dyDescent="0.25">
      <c r="A24" s="1288">
        <f t="shared" si="15"/>
        <v>19</v>
      </c>
      <c r="B24" s="112" t="s">
        <v>1482</v>
      </c>
      <c r="C24" s="100" t="s">
        <v>1483</v>
      </c>
      <c r="D24" s="1705"/>
      <c r="E24" s="1706"/>
      <c r="F24" s="35">
        <v>37987</v>
      </c>
      <c r="G24" s="1245">
        <v>44538</v>
      </c>
      <c r="H24" s="1249">
        <f ca="1">(TODAY()-F24)/365.25</f>
        <v>18.12457221081451</v>
      </c>
      <c r="I24" s="1253">
        <f ca="1">(TODAY()-G24)/365.25</f>
        <v>0.18891170431211499</v>
      </c>
      <c r="J24" s="1697"/>
      <c r="K24" s="42"/>
      <c r="L24" s="1283"/>
      <c r="M24" s="22"/>
      <c r="N24" s="35"/>
      <c r="O24" s="192"/>
      <c r="P24" s="192"/>
      <c r="Q24" s="546"/>
      <c r="R24" s="546"/>
      <c r="S24" s="36"/>
      <c r="T24" s="35"/>
      <c r="U24" s="1539"/>
      <c r="V24" s="36"/>
      <c r="W24" s="520"/>
      <c r="X24" s="767"/>
      <c r="Y24" s="185"/>
      <c r="Z24" s="1694"/>
      <c r="AA24" s="773"/>
      <c r="AB24" s="36"/>
      <c r="AC24" s="109"/>
      <c r="AD24" s="369"/>
      <c r="AE24" s="370"/>
      <c r="AF24" s="364"/>
      <c r="AG24" s="141"/>
      <c r="AH24" s="141"/>
      <c r="AI24" s="231"/>
      <c r="AJ24" s="231"/>
      <c r="AK24" s="231"/>
      <c r="AL24" s="231"/>
      <c r="AM24" s="231"/>
      <c r="AN24" s="231"/>
      <c r="AO24" s="231"/>
      <c r="AP24" s="233"/>
      <c r="AQ24" s="1270"/>
      <c r="AR24" s="141"/>
      <c r="AS24" s="141"/>
      <c r="AT24" s="141"/>
      <c r="AU24" s="141"/>
      <c r="AV24" s="1274"/>
      <c r="AW24" s="141"/>
      <c r="AX24" s="141"/>
      <c r="AY24" s="141"/>
      <c r="AZ24" s="141"/>
      <c r="BA24" s="141"/>
      <c r="BB24" s="231"/>
      <c r="BC24" s="1387"/>
      <c r="BD24" s="1270"/>
      <c r="BE24" s="1504"/>
      <c r="BF24" s="1509"/>
      <c r="BG24" s="1279" t="s">
        <v>1484</v>
      </c>
      <c r="BH24" s="157" t="s">
        <v>110</v>
      </c>
      <c r="BI24" s="158">
        <v>1390</v>
      </c>
      <c r="BJ24" s="179">
        <v>55</v>
      </c>
      <c r="BK24" s="185">
        <v>45</v>
      </c>
      <c r="BL24" s="1425"/>
    </row>
    <row r="25" spans="1:64" s="143" customFormat="1" x14ac:dyDescent="0.25">
      <c r="A25" s="131"/>
      <c r="B25" s="132"/>
      <c r="C25" s="133"/>
      <c r="D25" s="1713"/>
      <c r="E25" s="1714"/>
      <c r="F25" s="134"/>
      <c r="G25" s="1247"/>
      <c r="H25" s="1250"/>
      <c r="I25" s="135"/>
      <c r="J25" s="1701"/>
      <c r="K25" s="136"/>
      <c r="L25" s="137"/>
      <c r="M25" s="138"/>
      <c r="N25" s="134" t="s">
        <v>13</v>
      </c>
      <c r="O25" s="193" t="s">
        <v>13</v>
      </c>
      <c r="P25" s="193" t="s">
        <v>13</v>
      </c>
      <c r="Q25" s="548" t="s">
        <v>13</v>
      </c>
      <c r="R25" s="548" t="s">
        <v>13</v>
      </c>
      <c r="S25" s="139" t="s">
        <v>13</v>
      </c>
      <c r="T25" s="134" t="s">
        <v>13</v>
      </c>
      <c r="U25" s="548" t="s">
        <v>13</v>
      </c>
      <c r="V25" s="139" t="s">
        <v>13</v>
      </c>
      <c r="W25" s="520" t="s">
        <v>13</v>
      </c>
      <c r="X25" s="769"/>
      <c r="Y25" s="185" t="s">
        <v>13</v>
      </c>
      <c r="Z25" s="772"/>
      <c r="AA25" s="773"/>
      <c r="AB25" s="139" t="s">
        <v>13</v>
      </c>
      <c r="AC25" s="140"/>
      <c r="AD25" s="369"/>
      <c r="AE25" s="370"/>
      <c r="AF25" s="364"/>
      <c r="AG25" s="141"/>
      <c r="AH25" s="141"/>
      <c r="AI25" s="231"/>
      <c r="AJ25" s="231"/>
      <c r="AK25" s="231"/>
      <c r="AL25" s="231"/>
      <c r="AM25" s="231"/>
      <c r="AN25" s="231"/>
      <c r="AO25" s="231"/>
      <c r="AP25" s="233"/>
      <c r="AQ25" s="1270"/>
      <c r="AR25" s="141"/>
      <c r="AS25" s="141"/>
      <c r="AT25" s="141"/>
      <c r="AU25" s="141"/>
      <c r="AV25" s="1274"/>
      <c r="AW25" s="141"/>
      <c r="AX25" s="141"/>
      <c r="AY25" s="141"/>
      <c r="AZ25" s="141"/>
      <c r="BA25" s="141"/>
      <c r="BB25" s="231"/>
      <c r="BC25" s="1387"/>
      <c r="BD25" s="1270"/>
      <c r="BE25" s="1504"/>
      <c r="BF25" s="1509"/>
      <c r="BG25" s="1281"/>
      <c r="BH25" s="160"/>
      <c r="BI25" s="161"/>
      <c r="BJ25" s="180"/>
      <c r="BK25" s="186"/>
      <c r="BL25" s="1427"/>
    </row>
    <row r="26" spans="1:64" s="7" customFormat="1" x14ac:dyDescent="0.25">
      <c r="A26" s="1289">
        <f>A24+1</f>
        <v>20</v>
      </c>
      <c r="B26" s="9" t="str">
        <f>KE956HU!A1</f>
        <v>KE956HU</v>
      </c>
      <c r="C26" s="102" t="str">
        <f>KE956HU!B1</f>
        <v>FIAT - DOBLO</v>
      </c>
      <c r="D26" s="1707"/>
      <c r="E26" s="1708"/>
      <c r="F26" s="33">
        <f>KE956HU!B2</f>
        <v>40844</v>
      </c>
      <c r="G26" s="1128">
        <f>KE956HU!C2</f>
        <v>40844</v>
      </c>
      <c r="H26" s="210">
        <f ca="1">(TODAY()-F26)/365.25</f>
        <v>10.302532511978097</v>
      </c>
      <c r="I26" s="1253">
        <f ca="1">(TODAY()-G26)/365.25</f>
        <v>10.302532511978097</v>
      </c>
      <c r="J26" s="1698">
        <f>KE956HU!F4</f>
        <v>140902</v>
      </c>
      <c r="K26" s="41">
        <f>J26</f>
        <v>140902</v>
      </c>
      <c r="L26" s="1283">
        <f ca="1">K26/I26</f>
        <v>13676.443130481</v>
      </c>
      <c r="M26" s="21">
        <f ca="1">L26/12</f>
        <v>1139.70359420675</v>
      </c>
      <c r="N26" s="33">
        <v>44518</v>
      </c>
      <c r="O26" s="191">
        <v>44519</v>
      </c>
      <c r="P26" s="191" t="s">
        <v>13</v>
      </c>
      <c r="Q26" s="547" t="s">
        <v>13</v>
      </c>
      <c r="R26" s="547" t="s">
        <v>13</v>
      </c>
      <c r="S26" s="34" t="s">
        <v>13</v>
      </c>
      <c r="T26" s="33" t="s">
        <v>13</v>
      </c>
      <c r="U26" s="547" t="s">
        <v>13</v>
      </c>
      <c r="V26" s="34" t="s">
        <v>13</v>
      </c>
      <c r="W26" s="519">
        <v>15000</v>
      </c>
      <c r="X26" s="768">
        <v>132906</v>
      </c>
      <c r="Y26" s="185">
        <f>W26+X26</f>
        <v>147906</v>
      </c>
      <c r="Z26" s="772">
        <v>1</v>
      </c>
      <c r="AA26" s="773">
        <v>44116</v>
      </c>
      <c r="AB26" s="34">
        <f>($AA$28*Z26)+AA26</f>
        <v>44481.25</v>
      </c>
      <c r="AC26" s="110">
        <f>KE956HU!B7</f>
        <v>7.6428602141290787</v>
      </c>
      <c r="AD26" s="369">
        <f ca="1">AE26+AP26</f>
        <v>0.39216349170746029</v>
      </c>
      <c r="AE26" s="370">
        <f ca="1">KE956HU!F5</f>
        <v>0.39216349170746029</v>
      </c>
      <c r="AF26" s="364">
        <f ca="1">KE956HU!I3</f>
        <v>0.10564282132351976</v>
      </c>
      <c r="AG26" s="141">
        <f>KE956HU!C6</f>
        <v>0.10165563056284127</v>
      </c>
      <c r="AH26" s="141">
        <f>KE956HU!F6</f>
        <v>0.11867943034250067</v>
      </c>
      <c r="AI26" s="231">
        <f>KE956HU!I6</f>
        <v>1.8317117187806507E-2</v>
      </c>
      <c r="AJ26" s="231">
        <f>KE956HU!K6</f>
        <v>8.2388481305661272E-5</v>
      </c>
      <c r="AK26" s="231">
        <f>KE956HU!M6</f>
        <v>1.2772568558986213E-2</v>
      </c>
      <c r="AL26" s="231">
        <f>KE956HU!O6</f>
        <v>3.9232610145552987E-3</v>
      </c>
      <c r="AM26" s="231"/>
      <c r="AN26" s="231"/>
      <c r="AO26" s="231">
        <f>KE956HU!AE3</f>
        <v>3.1090274235944911E-2</v>
      </c>
      <c r="AP26" s="233">
        <v>0</v>
      </c>
      <c r="AQ26" s="1270">
        <f ca="1">KE956HU!B3/KE956HU!G2</f>
        <v>1444.8180379746836</v>
      </c>
      <c r="AR26" s="141">
        <f ca="1">KE956HU!C102</f>
        <v>851.08999999999992</v>
      </c>
      <c r="AS26" s="141">
        <f ca="1">KE956HU!F102</f>
        <v>828.8</v>
      </c>
      <c r="AT26" s="141">
        <f ca="1">KE956HU!I102</f>
        <v>0</v>
      </c>
      <c r="AU26" s="141">
        <f ca="1">KE956HU!K102</f>
        <v>0</v>
      </c>
      <c r="AV26" s="1274">
        <f ca="1">KE956HU!J101</f>
        <v>0</v>
      </c>
      <c r="AW26" s="141">
        <f ca="1">KE956HU!M102</f>
        <v>218.40000000000009</v>
      </c>
      <c r="AX26" s="141">
        <f ca="1">KE956HU!O102</f>
        <v>100</v>
      </c>
      <c r="AY26" s="141"/>
      <c r="AZ26" s="141"/>
      <c r="BA26" s="141">
        <f ca="1">KE956HU!AE106</f>
        <v>671.37999999999988</v>
      </c>
      <c r="BB26" s="231"/>
      <c r="BC26" s="1387">
        <f t="shared" ca="1" si="17"/>
        <v>4114.4880379746837</v>
      </c>
      <c r="BD26" s="1270">
        <f ca="1">KE956HU!F99</f>
        <v>0.35419230461185419</v>
      </c>
      <c r="BE26" s="1504">
        <f t="shared" ca="1" si="5"/>
        <v>-3.7971187095606096E-2</v>
      </c>
      <c r="BF26" s="1509">
        <f>KE956HU!H5</f>
        <v>34152.46</v>
      </c>
      <c r="BG26" s="1279" t="s">
        <v>70</v>
      </c>
      <c r="BH26" s="157" t="s">
        <v>74</v>
      </c>
      <c r="BI26" s="158">
        <v>1598</v>
      </c>
      <c r="BJ26" s="179">
        <v>77</v>
      </c>
      <c r="BK26" s="185"/>
      <c r="BL26" s="1425" t="s">
        <v>1119</v>
      </c>
    </row>
    <row r="27" spans="1:64" ht="16.5" thickBot="1" x14ac:dyDescent="0.3">
      <c r="A27" s="226"/>
      <c r="B27" s="103" t="s">
        <v>15</v>
      </c>
      <c r="C27" s="104"/>
      <c r="D27" s="1715"/>
      <c r="E27" s="1716"/>
      <c r="F27" s="37"/>
      <c r="G27" s="1129"/>
      <c r="H27" s="1124"/>
      <c r="I27" s="1255"/>
      <c r="J27" s="1702"/>
      <c r="K27" s="43"/>
      <c r="L27" s="14"/>
      <c r="M27" s="23"/>
      <c r="N27" s="37" t="s">
        <v>13</v>
      </c>
      <c r="O27" s="245" t="s">
        <v>13</v>
      </c>
      <c r="P27" s="245" t="s">
        <v>13</v>
      </c>
      <c r="Q27" s="505" t="s">
        <v>13</v>
      </c>
      <c r="R27" s="505" t="s">
        <v>13</v>
      </c>
      <c r="S27" s="38" t="s">
        <v>13</v>
      </c>
      <c r="T27" s="37" t="s">
        <v>13</v>
      </c>
      <c r="U27" s="505" t="s">
        <v>13</v>
      </c>
      <c r="V27" s="38" t="s">
        <v>13</v>
      </c>
      <c r="W27" s="521"/>
      <c r="X27" s="770"/>
      <c r="Y27" s="524" t="s">
        <v>13</v>
      </c>
      <c r="Z27" s="774"/>
      <c r="AA27" s="775"/>
      <c r="AB27" s="38" t="s">
        <v>13</v>
      </c>
      <c r="AC27" s="111"/>
      <c r="AD27" s="371"/>
      <c r="AE27" s="372"/>
      <c r="AF27" s="365"/>
      <c r="AG27" s="356"/>
      <c r="AH27" s="356"/>
      <c r="AI27" s="357"/>
      <c r="AJ27" s="357"/>
      <c r="AK27" s="357"/>
      <c r="AL27" s="357"/>
      <c r="AM27" s="357"/>
      <c r="AN27" s="357"/>
      <c r="AO27" s="357"/>
      <c r="AP27" s="358"/>
      <c r="AQ27" s="1343"/>
      <c r="AR27" s="356"/>
      <c r="AS27" s="356"/>
      <c r="AT27" s="356"/>
      <c r="AU27" s="356"/>
      <c r="AV27" s="1344"/>
      <c r="AW27" s="356"/>
      <c r="AX27" s="356"/>
      <c r="AY27" s="356"/>
      <c r="AZ27" s="356"/>
      <c r="BA27" s="356"/>
      <c r="BB27" s="357"/>
      <c r="BC27" s="1389"/>
      <c r="BD27" s="1505"/>
      <c r="BE27" s="1506"/>
      <c r="BF27" s="1511"/>
      <c r="BG27" s="1282"/>
      <c r="BH27" s="163"/>
      <c r="BI27" s="164"/>
      <c r="BJ27" s="181"/>
      <c r="BK27" s="187"/>
      <c r="BL27" s="1428"/>
    </row>
    <row r="28" spans="1:64" ht="21.75" thickBot="1" x14ac:dyDescent="0.3">
      <c r="F28" s="535" t="s">
        <v>303</v>
      </c>
      <c r="G28" s="535"/>
      <c r="H28" s="533">
        <f>'Vyradené vozidlá'!G3</f>
        <v>17.067761806981519</v>
      </c>
      <c r="I28" s="272"/>
      <c r="K28" s="5" t="s">
        <v>85</v>
      </c>
      <c r="L28" s="5">
        <f ca="1">SUM(L4:L27)</f>
        <v>290334.73878552933</v>
      </c>
      <c r="N28" s="252"/>
      <c r="O28" s="1256"/>
      <c r="P28" s="252"/>
      <c r="Q28" s="252"/>
      <c r="R28" s="252"/>
      <c r="S28" s="252"/>
      <c r="T28" s="252"/>
      <c r="U28" s="252"/>
      <c r="V28" s="252"/>
      <c r="W28" s="2180" t="s">
        <v>1240</v>
      </c>
      <c r="X28" s="2180"/>
      <c r="Y28" s="251"/>
      <c r="Z28" s="251"/>
      <c r="AA28" s="771">
        <v>365.25</v>
      </c>
      <c r="AB28" s="252"/>
      <c r="AC28" s="1256" t="s">
        <v>136</v>
      </c>
      <c r="AD28" s="252"/>
      <c r="AE28" s="252"/>
      <c r="AG28" s="8"/>
      <c r="AS28" s="1342"/>
      <c r="AT28" s="1342"/>
      <c r="AU28" s="1342"/>
      <c r="AV28" s="1342"/>
      <c r="AW28" s="1342"/>
      <c r="AX28" s="1342"/>
      <c r="AY28" s="1342"/>
      <c r="AZ28" s="1342"/>
      <c r="BA28" s="1342"/>
      <c r="BB28" s="1342"/>
      <c r="BC28" s="1362">
        <f ca="1">AVERAGE(BC5:BC27)</f>
        <v>6337.4968450358765</v>
      </c>
      <c r="BD28" s="1363" t="s">
        <v>1007</v>
      </c>
      <c r="BE28" s="1363"/>
      <c r="BF28" s="1512"/>
      <c r="BH28" s="57"/>
      <c r="BI28" s="4"/>
      <c r="BJ28" s="61"/>
    </row>
    <row r="29" spans="1:64" ht="26.25" thickBot="1" x14ac:dyDescent="0.3">
      <c r="F29" s="535" t="s">
        <v>305</v>
      </c>
      <c r="G29" s="535"/>
      <c r="H29" s="1292">
        <f ca="1">(H3+H28)/2</f>
        <v>13.842573579739904</v>
      </c>
      <c r="I29" s="1291"/>
      <c r="J29" s="1259"/>
      <c r="K29" s="1259"/>
      <c r="L29" s="1260" t="s">
        <v>928</v>
      </c>
      <c r="M29" s="1257">
        <f ca="1">SUM(M7:M25)</f>
        <v>18875.986463041445</v>
      </c>
      <c r="O29" s="2178" t="s">
        <v>1191</v>
      </c>
      <c r="P29" s="2179"/>
      <c r="Q29" s="2179"/>
      <c r="R29" s="2179"/>
      <c r="S29" s="2179"/>
      <c r="T29" s="2179"/>
      <c r="U29" s="2179"/>
      <c r="V29" s="2179"/>
      <c r="W29" s="2171">
        <f ca="1">TODAY()</f>
        <v>44607</v>
      </c>
      <c r="X29" s="2172"/>
      <c r="AA29" s="1637" t="s">
        <v>1194</v>
      </c>
      <c r="AC29" s="350"/>
      <c r="AD29" s="8"/>
      <c r="AE29" s="378"/>
      <c r="AF29" s="2169" t="s">
        <v>454</v>
      </c>
      <c r="AG29" s="2170"/>
      <c r="AM29" s="2132" t="s">
        <v>948</v>
      </c>
      <c r="AN29" s="2133"/>
      <c r="AO29" s="2133"/>
      <c r="AP29" s="2134"/>
      <c r="AQ29" s="1349" t="str">
        <f>AQ2</f>
        <v>zaobstaranie vozidla:</v>
      </c>
      <c r="AR29" s="1295" t="str">
        <f>AR2</f>
        <v>PHM:</v>
      </c>
      <c r="AS29" s="1295" t="str">
        <f>AS2</f>
        <v>SERVIS:</v>
      </c>
      <c r="AT29" s="1295" t="str">
        <f>AT2</f>
        <v>INÉ:</v>
      </c>
      <c r="AU29" s="1295" t="str">
        <f>AU2</f>
        <v>UMÝVANIE:</v>
      </c>
      <c r="AV29" s="1295" t="s">
        <v>758</v>
      </c>
      <c r="AW29" s="1295" t="str">
        <f>AW2</f>
        <v>GPS:</v>
      </c>
      <c r="AX29" s="1295" t="str">
        <f>AX2</f>
        <v>MÝTO:</v>
      </c>
      <c r="AY29" s="1295" t="str">
        <f>AY2</f>
        <v>INTERNET:</v>
      </c>
      <c r="AZ29" s="1295" t="str">
        <f>AZ2</f>
        <v>LÍZING:</v>
      </c>
      <c r="BA29" s="1295" t="str">
        <f>BA2</f>
        <v>POISTENIE:</v>
      </c>
      <c r="BB29" s="1296"/>
      <c r="BC29" s="1347" t="s">
        <v>85</v>
      </c>
      <c r="BD29" s="587"/>
      <c r="BE29" s="587"/>
      <c r="BH29" s="57"/>
      <c r="BI29" s="4"/>
      <c r="BJ29" s="61"/>
    </row>
    <row r="30" spans="1:64" ht="45" customHeight="1" thickBot="1" x14ac:dyDescent="0.3">
      <c r="I30" s="1261"/>
      <c r="J30" s="1262"/>
      <c r="K30" s="1262"/>
      <c r="L30" s="1263" t="s">
        <v>929</v>
      </c>
      <c r="M30" s="1084">
        <v>8</v>
      </c>
      <c r="O30" s="2141" t="s">
        <v>434</v>
      </c>
      <c r="P30" s="2154" t="s">
        <v>1155</v>
      </c>
      <c r="Q30" s="2155"/>
      <c r="R30" s="2158" t="s">
        <v>1156</v>
      </c>
      <c r="S30" s="2160" t="s">
        <v>1157</v>
      </c>
      <c r="T30" s="2162" t="s">
        <v>4</v>
      </c>
      <c r="U30" s="1578" t="s">
        <v>1158</v>
      </c>
      <c r="V30" s="1575" t="s">
        <v>1159</v>
      </c>
      <c r="W30" s="1554" t="s">
        <v>1162</v>
      </c>
      <c r="X30" s="1551" t="s">
        <v>1160</v>
      </c>
      <c r="Y30" s="517"/>
      <c r="Z30" s="517"/>
      <c r="AA30" s="1638">
        <v>44072</v>
      </c>
      <c r="AB30" s="248"/>
      <c r="AC30" s="1358" t="s">
        <v>947</v>
      </c>
      <c r="AD30" s="1393" t="e">
        <f ca="1">AE30+AP3</f>
        <v>#NAME?</v>
      </c>
      <c r="AE30" s="1392" t="e">
        <f ca="1">AVERAGE(AE5:AE7,AE9:AE17,AE20:AE27)+AG30</f>
        <v>#NAME?</v>
      </c>
      <c r="AF30" s="43">
        <f>[1]Pošta!$G$5</f>
        <v>6408</v>
      </c>
      <c r="AG30" s="1290">
        <f ca="1">(AF30*AVERAGE(AE10:AE17,AE20:AE21))/SUM(L9:L17,L20:L21)</f>
        <v>9.9532256400954901E-3</v>
      </c>
      <c r="AM30" s="2135"/>
      <c r="AN30" s="2136"/>
      <c r="AO30" s="2136"/>
      <c r="AP30" s="2137"/>
      <c r="AQ30" s="1345">
        <f ca="1">AQ4</f>
        <v>0.22297819744408157</v>
      </c>
      <c r="AR30" s="1301">
        <f ca="1">AR4</f>
        <v>0.19510156545861851</v>
      </c>
      <c r="AS30" s="1301">
        <f ca="1">AS4</f>
        <v>0.24484728384588328</v>
      </c>
      <c r="AT30" s="1301">
        <f ca="1">AT4</f>
        <v>1.1007325225499813E-2</v>
      </c>
      <c r="AU30" s="1301">
        <f ca="1">AU4</f>
        <v>4.0113804760351238E-3</v>
      </c>
      <c r="AV30" s="1301" t="s">
        <v>758</v>
      </c>
      <c r="AW30" s="1301">
        <f ca="1">AW4</f>
        <v>2.9735452015403188E-2</v>
      </c>
      <c r="AX30" s="1301">
        <f ca="1">AX4</f>
        <v>1.0519400371597229E-2</v>
      </c>
      <c r="AY30" s="1301">
        <f ca="1">AY4</f>
        <v>8.205132289845835E-4</v>
      </c>
      <c r="AZ30" s="1301">
        <f ca="1">AZ4</f>
        <v>0.1600158587525512</v>
      </c>
      <c r="BA30" s="1301">
        <f ca="1">BA4</f>
        <v>0.12096302318134533</v>
      </c>
      <c r="BB30" s="1302"/>
      <c r="BC30" s="1348">
        <f ca="1">SUM(AQ30:BB30)</f>
        <v>0.99999999999999989</v>
      </c>
      <c r="BD30" s="584"/>
      <c r="BE30" s="584"/>
      <c r="BF30" s="1514"/>
    </row>
    <row r="31" spans="1:64" ht="16.5" customHeight="1" thickBot="1" x14ac:dyDescent="0.3">
      <c r="I31" s="1261"/>
      <c r="J31" s="1262"/>
      <c r="K31" s="1262"/>
      <c r="L31" s="1263" t="s">
        <v>930</v>
      </c>
      <c r="M31" s="1258">
        <v>1761.92</v>
      </c>
      <c r="O31" s="2142"/>
      <c r="P31" s="2156"/>
      <c r="Q31" s="2157"/>
      <c r="R31" s="2159"/>
      <c r="S31" s="2161"/>
      <c r="T31" s="2163"/>
      <c r="U31" s="2147">
        <f ca="1">W29</f>
        <v>44607</v>
      </c>
      <c r="V31" s="2148"/>
      <c r="W31" s="2148"/>
      <c r="X31" s="2149"/>
      <c r="AA31" s="1638">
        <v>44075</v>
      </c>
      <c r="AC31" s="1536" t="s">
        <v>216</v>
      </c>
      <c r="AD31" s="1373">
        <f ca="1">AD18</f>
        <v>2.0984096699926731</v>
      </c>
      <c r="AE31" s="1374">
        <f ca="1">AE18</f>
        <v>1.3516746568266991</v>
      </c>
      <c r="AF31" s="8"/>
      <c r="AI31" s="941"/>
      <c r="AJ31" s="941"/>
      <c r="AK31" s="941"/>
      <c r="AL31" s="941"/>
      <c r="AM31" s="2138">
        <v>43969.98</v>
      </c>
      <c r="AN31" s="2139"/>
      <c r="AO31" s="2139"/>
      <c r="AP31" s="2140"/>
      <c r="AQ31" s="1346">
        <f ca="1">AQ30*$AM$31</f>
        <v>9804.3468820523176</v>
      </c>
      <c r="AR31" s="1293">
        <f ca="1">AR30*$AM$31</f>
        <v>8578.6119311841467</v>
      </c>
      <c r="AS31" s="1293">
        <f ca="1">AS30*$AM$31</f>
        <v>10765.930173757812</v>
      </c>
      <c r="AT31" s="1293">
        <f ca="1">AT30*$AM$31</f>
        <v>483.9918700187223</v>
      </c>
      <c r="AU31" s="1293">
        <f ca="1">AU30*$AM$31</f>
        <v>176.38031930365489</v>
      </c>
      <c r="AV31" s="1293" t="s">
        <v>758</v>
      </c>
      <c r="AW31" s="1293">
        <f ca="1">AW30*$AM$31</f>
        <v>1307.467230408238</v>
      </c>
      <c r="AX31" s="1293">
        <f ca="1">AX30*$AM$31</f>
        <v>462.53782395112273</v>
      </c>
      <c r="AY31" s="1293">
        <f ca="1">AY30*$AM$31</f>
        <v>36.077950268187557</v>
      </c>
      <c r="AZ31" s="1293">
        <f ca="1">AZ30*$AM$31</f>
        <v>7035.8941090325015</v>
      </c>
      <c r="BA31" s="1293">
        <f ca="1">BA30*$AM$31</f>
        <v>5318.7417100232906</v>
      </c>
      <c r="BB31" s="1294"/>
      <c r="BC31" s="1297">
        <f ca="1">SUM(AQ31:BA31)</f>
        <v>43969.979999999996</v>
      </c>
      <c r="BD31" s="584"/>
      <c r="BE31" s="584"/>
      <c r="BF31" s="1514"/>
    </row>
    <row r="32" spans="1:64" x14ac:dyDescent="0.25">
      <c r="I32" s="1264"/>
      <c r="J32" s="1265"/>
      <c r="K32" s="1265"/>
      <c r="L32" s="1266" t="s">
        <v>931</v>
      </c>
      <c r="M32" s="1267">
        <f ca="1">M31*M30/M29</f>
        <v>0.74673501316597402</v>
      </c>
      <c r="O32" s="1614" t="str">
        <f>B17</f>
        <v>BL253RN</v>
      </c>
      <c r="P32" s="2143" t="str">
        <f>VLOOKUP(O32,Prehľad!$B$2:$BM$27,2,FALSE)</f>
        <v>ŠKODA - OCTÁVIA combi</v>
      </c>
      <c r="Q32" s="2144"/>
      <c r="R32" s="1543">
        <v>120000</v>
      </c>
      <c r="S32" s="1544">
        <v>4</v>
      </c>
      <c r="T32" s="1545">
        <f>VLOOKUP(O32,Prehľad!$B$2:$BM$27,5,FALSE)</f>
        <v>43089</v>
      </c>
      <c r="U32" s="1579">
        <f ca="1">(R32/(S32*365.25))*($W$29-T32)</f>
        <v>124681.72484599591</v>
      </c>
      <c r="V32" s="1576">
        <f>VLOOKUP(O32,Prehľad!$B$2:$BM$27,9,FALSE)</f>
        <v>115805</v>
      </c>
      <c r="W32" s="1552">
        <f ca="1">V32-U32</f>
        <v>-8876.7248459959083</v>
      </c>
      <c r="X32" s="1550">
        <f ca="1">VLOOKUP(O32,Prehľad!$B$2:$BM$27,30,FALSE)</f>
        <v>0.27017295314380901</v>
      </c>
      <c r="AA32" s="1638">
        <v>44089</v>
      </c>
      <c r="AC32" s="1537" t="s">
        <v>215</v>
      </c>
      <c r="AD32" s="2150">
        <f>KE574LL!H5</f>
        <v>173881.53200000006</v>
      </c>
      <c r="AE32" s="2151"/>
      <c r="AL32" s="432"/>
      <c r="AM32" s="944"/>
      <c r="AN32" s="6"/>
      <c r="AO32" s="6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584"/>
      <c r="BE32" s="584"/>
      <c r="BF32" s="1514"/>
      <c r="BG32" s="61"/>
      <c r="BH32" s="61"/>
      <c r="BI32" s="1"/>
      <c r="BJ32" s="1"/>
      <c r="BK32" s="1"/>
    </row>
    <row r="33" spans="1:66" ht="15.75" customHeight="1" thickBot="1" x14ac:dyDescent="0.3">
      <c r="A33" s="580"/>
      <c r="L33" s="1519" t="s">
        <v>1136</v>
      </c>
      <c r="M33" s="1522"/>
      <c r="O33" s="1615" t="str">
        <f>B20</f>
        <v>BL028VG</v>
      </c>
      <c r="P33" s="2145" t="str">
        <f>VLOOKUP(O33,Prehľad!$B$2:$BM$27,2,FALSE)</f>
        <v>ŠKODA - OCTÁVIA combi</v>
      </c>
      <c r="Q33" s="2146"/>
      <c r="R33" s="1546">
        <v>120000</v>
      </c>
      <c r="S33" s="1547">
        <v>4</v>
      </c>
      <c r="T33" s="1548">
        <f>VLOOKUP(O33,Prehľad!$B$2:$BM$27,5,FALSE)</f>
        <v>43558</v>
      </c>
      <c r="U33" s="1580">
        <f ca="1">(R33/(S33*365.25))*($W$29-T33)</f>
        <v>86160.164271047237</v>
      </c>
      <c r="V33" s="1577">
        <f>VLOOKUP(O33,Prehľad!$B$2:$BM$27,9,FALSE)</f>
        <v>54185</v>
      </c>
      <c r="W33" s="1553">
        <f ca="1">V33-U33</f>
        <v>-31975.164271047237</v>
      </c>
      <c r="X33" s="1549">
        <f ca="1">VLOOKUP(O33,Prehľad!$B$2:$BM$27,30,FALSE)</f>
        <v>0.35001830597891626</v>
      </c>
      <c r="AA33" s="1638">
        <v>44136</v>
      </c>
      <c r="AC33" s="1538" t="s">
        <v>1139</v>
      </c>
      <c r="AD33" s="2152" t="e">
        <f>KE270MZ!H5</f>
        <v>#NAME?</v>
      </c>
      <c r="AE33" s="2153"/>
      <c r="AL33" s="944"/>
      <c r="AM33" s="944"/>
      <c r="AN33" s="6"/>
      <c r="AO33" s="6"/>
      <c r="AP33" s="468"/>
      <c r="AQ33" s="468"/>
      <c r="AR33" s="2129" t="s">
        <v>989</v>
      </c>
      <c r="AS33" s="2130"/>
      <c r="AT33" s="2130"/>
      <c r="AU33" s="2130"/>
      <c r="AV33" s="2130"/>
      <c r="AW33" s="2131"/>
      <c r="AX33" s="468"/>
      <c r="AY33" s="468"/>
      <c r="AZ33" s="468"/>
      <c r="BA33" s="468"/>
      <c r="BB33" s="468"/>
      <c r="BC33" s="468"/>
      <c r="BD33" s="6"/>
      <c r="BE33" s="6"/>
      <c r="BG33" s="61"/>
      <c r="BH33" s="61"/>
      <c r="BI33" s="1"/>
      <c r="BJ33" s="1"/>
      <c r="BK33" s="1"/>
    </row>
    <row r="34" spans="1:66" x14ac:dyDescent="0.25">
      <c r="A34" s="580"/>
      <c r="L34" s="1567">
        <v>44053</v>
      </c>
      <c r="M34" s="1568">
        <v>0.62</v>
      </c>
      <c r="O34" s="1616"/>
      <c r="P34" s="2176"/>
      <c r="Q34" s="2177"/>
      <c r="R34" s="1581"/>
      <c r="S34" s="1582"/>
      <c r="T34" s="1583"/>
      <c r="U34" s="1584"/>
      <c r="V34" s="1585"/>
      <c r="W34" s="1586"/>
      <c r="X34" s="1587"/>
      <c r="AA34" s="1638">
        <v>44152</v>
      </c>
      <c r="AL34" s="944"/>
      <c r="AM34" s="252"/>
      <c r="AN34" s="252"/>
      <c r="AO34" s="252"/>
      <c r="AP34" s="587"/>
      <c r="AQ34" s="468"/>
      <c r="AR34" s="2121" t="s">
        <v>990</v>
      </c>
      <c r="AS34" s="2122"/>
      <c r="AT34" s="2122"/>
      <c r="AU34" s="481">
        <f ca="1">AU3</f>
        <v>457.59799999999996</v>
      </c>
      <c r="AV34" s="1670">
        <f>AV1</f>
        <v>43831</v>
      </c>
      <c r="AW34" s="1671">
        <f ca="1">AX1</f>
        <v>44607</v>
      </c>
      <c r="AX34" s="468"/>
      <c r="AY34" s="468"/>
      <c r="AZ34" s="468"/>
      <c r="BA34" s="468"/>
      <c r="BB34" s="468"/>
      <c r="BC34" s="468"/>
      <c r="BD34" s="6"/>
      <c r="BE34" s="6"/>
      <c r="BG34" s="61"/>
      <c r="BH34" s="61"/>
      <c r="BI34" s="1"/>
      <c r="BJ34" s="1"/>
      <c r="BK34" s="1"/>
    </row>
    <row r="35" spans="1:66" x14ac:dyDescent="0.25">
      <c r="A35" s="580"/>
      <c r="L35" s="1567">
        <v>44022</v>
      </c>
      <c r="M35" s="1568">
        <v>0.59</v>
      </c>
      <c r="O35" s="2173" t="s">
        <v>1195</v>
      </c>
      <c r="P35" s="2174"/>
      <c r="Q35" s="2175"/>
      <c r="R35" s="1625">
        <f>SUM(R32:R34)</f>
        <v>240000</v>
      </c>
      <c r="S35" s="1626"/>
      <c r="T35" s="1627"/>
      <c r="U35" s="1628">
        <f ca="1">SUM(U32:U34)</f>
        <v>210841.88911704315</v>
      </c>
      <c r="V35" s="1629">
        <f>SUM(V32:V34)</f>
        <v>169990</v>
      </c>
      <c r="W35" s="1630">
        <f ca="1">V35-U35</f>
        <v>-40851.889117043145</v>
      </c>
      <c r="X35" s="1617">
        <f ca="1">AVERAGE(X32:X34)</f>
        <v>0.31009562956136261</v>
      </c>
      <c r="AA35" s="1638">
        <v>44189</v>
      </c>
      <c r="AL35" s="944"/>
      <c r="AM35" s="1217"/>
      <c r="AN35" s="1130"/>
      <c r="AO35" s="581"/>
      <c r="AP35" s="584"/>
      <c r="AQ35" s="587"/>
      <c r="AR35" s="2123" t="s">
        <v>991</v>
      </c>
      <c r="AS35" s="2124"/>
      <c r="AT35" s="2124"/>
      <c r="AU35" s="1672">
        <f ca="1">AU34/1.2</f>
        <v>381.33166666666665</v>
      </c>
      <c r="AV35" s="84"/>
      <c r="AW35" s="1673"/>
      <c r="AX35" s="587" t="s">
        <v>1237</v>
      </c>
      <c r="AY35" s="1677">
        <f ca="1">AX35-AU3</f>
        <v>-165.43799999999993</v>
      </c>
      <c r="AZ35" s="587"/>
      <c r="BA35" s="587"/>
      <c r="BB35" s="587"/>
      <c r="BC35" s="587"/>
      <c r="BG35" s="61"/>
      <c r="BH35" s="61"/>
      <c r="BI35" s="1"/>
      <c r="BJ35" s="1"/>
      <c r="BK35" s="1"/>
    </row>
    <row r="36" spans="1:66" x14ac:dyDescent="0.25">
      <c r="A36" s="580"/>
      <c r="L36" s="1520">
        <v>43998</v>
      </c>
      <c r="M36" s="1284">
        <v>0.66</v>
      </c>
      <c r="O36" s="1620"/>
      <c r="P36" s="1620"/>
      <c r="Q36" s="1620"/>
      <c r="R36" s="1621"/>
      <c r="S36" s="1621"/>
      <c r="T36" s="1622"/>
      <c r="U36" s="1621"/>
      <c r="V36" s="1621"/>
      <c r="W36" s="1623"/>
      <c r="X36" s="1624"/>
      <c r="AA36" s="1638">
        <v>44190</v>
      </c>
      <c r="AF36" s="252"/>
      <c r="AG36" s="252"/>
      <c r="AH36" s="252"/>
      <c r="AI36" s="252"/>
      <c r="AJ36" s="252"/>
      <c r="AK36" s="252"/>
      <c r="AL36" s="944"/>
      <c r="AM36" s="581"/>
      <c r="AN36" s="581"/>
      <c r="AO36" s="581"/>
      <c r="AP36" s="584"/>
      <c r="AQ36" s="584"/>
      <c r="AR36" s="2125" t="s">
        <v>992</v>
      </c>
      <c r="AS36" s="2126"/>
      <c r="AT36" s="2126"/>
      <c r="AU36" s="1667">
        <f>AU37*1.2</f>
        <v>514.79999999999995</v>
      </c>
      <c r="AV36" s="1668"/>
      <c r="AW36" s="1669"/>
      <c r="AX36" s="584"/>
      <c r="AY36" s="584"/>
      <c r="AZ36" s="584"/>
      <c r="BA36" s="584"/>
      <c r="BB36" s="584"/>
      <c r="BC36" s="584"/>
      <c r="BG36" s="589"/>
      <c r="BH36" s="61"/>
      <c r="BI36" s="1"/>
      <c r="BJ36" s="1"/>
      <c r="BK36" s="1"/>
    </row>
    <row r="37" spans="1:66" s="50" customFormat="1" ht="45.75" customHeight="1" x14ac:dyDescent="0.25">
      <c r="A37" s="580"/>
      <c r="B37" s="105"/>
      <c r="C37" s="105"/>
      <c r="D37" s="244"/>
      <c r="E37" s="244"/>
      <c r="F37" s="3"/>
      <c r="G37" s="3"/>
      <c r="H37" s="4"/>
      <c r="I37" s="4"/>
      <c r="J37" s="5"/>
      <c r="K37" s="5"/>
      <c r="L37" s="1520"/>
      <c r="M37" s="1284"/>
      <c r="N37" s="3"/>
      <c r="O37" s="2183" t="s">
        <v>1204</v>
      </c>
      <c r="P37" s="2184"/>
      <c r="Q37" s="2184"/>
      <c r="R37" s="2184"/>
      <c r="S37" s="2184"/>
      <c r="T37" s="2184"/>
      <c r="U37" s="2184"/>
      <c r="V37" s="2184"/>
      <c r="W37" s="2184"/>
      <c r="X37" s="2185"/>
      <c r="Y37" s="522"/>
      <c r="Z37" s="522"/>
      <c r="AA37" s="1638">
        <v>44191</v>
      </c>
      <c r="AB37" s="251"/>
      <c r="AC37" s="252"/>
      <c r="AD37" s="253"/>
      <c r="AE37" s="3"/>
      <c r="AF37" s="3"/>
      <c r="AG37" s="3"/>
      <c r="AH37" s="3"/>
      <c r="AI37" s="3"/>
      <c r="AJ37" s="3"/>
      <c r="AK37" s="252"/>
      <c r="AL37" s="581"/>
      <c r="AM37" s="581"/>
      <c r="AN37" s="581"/>
      <c r="AO37" s="581"/>
      <c r="AP37" s="584"/>
      <c r="AQ37" s="584"/>
      <c r="AR37" s="2127" t="s">
        <v>993</v>
      </c>
      <c r="AS37" s="2128"/>
      <c r="AT37" s="2128"/>
      <c r="AU37" s="1327">
        <v>429</v>
      </c>
      <c r="AV37" s="495" t="s">
        <v>250</v>
      </c>
      <c r="AW37" s="1328" t="s">
        <v>251</v>
      </c>
      <c r="AX37" s="584"/>
      <c r="AY37" s="584"/>
      <c r="AZ37" s="584"/>
      <c r="BA37" s="584"/>
      <c r="BB37" s="584"/>
      <c r="BC37" s="584"/>
      <c r="BD37" s="3"/>
      <c r="BE37" s="3"/>
      <c r="BF37" s="1513"/>
      <c r="BG37" s="586"/>
      <c r="BH37" s="590"/>
      <c r="BI37" s="253"/>
      <c r="BJ37" s="253"/>
      <c r="BL37" s="587"/>
    </row>
    <row r="38" spans="1:66" s="2" customFormat="1" ht="45" customHeight="1" thickBot="1" x14ac:dyDescent="0.3">
      <c r="A38" s="580"/>
      <c r="B38" s="105"/>
      <c r="C38" s="105"/>
      <c r="D38" s="244"/>
      <c r="E38" s="244"/>
      <c r="F38" s="3"/>
      <c r="G38" s="3"/>
      <c r="H38" s="4"/>
      <c r="I38" s="4"/>
      <c r="J38" s="5"/>
      <c r="K38" s="5"/>
      <c r="L38" s="1520"/>
      <c r="M38" s="1284"/>
      <c r="N38" s="3"/>
      <c r="O38" s="2141" t="s">
        <v>434</v>
      </c>
      <c r="P38" s="2154" t="s">
        <v>1155</v>
      </c>
      <c r="Q38" s="2196"/>
      <c r="R38" s="2006" t="s">
        <v>1190</v>
      </c>
      <c r="S38" s="2202"/>
      <c r="T38" s="2204" t="s">
        <v>1193</v>
      </c>
      <c r="U38" s="2198" t="s">
        <v>1189</v>
      </c>
      <c r="V38" s="1651" t="s">
        <v>1159</v>
      </c>
      <c r="W38" s="1554" t="s">
        <v>1162</v>
      </c>
      <c r="X38" s="2181" t="s">
        <v>1192</v>
      </c>
      <c r="Y38" s="582"/>
      <c r="Z38" s="582"/>
      <c r="AA38" s="1640"/>
      <c r="AB38" s="582"/>
      <c r="AC38" s="581"/>
      <c r="AD38" s="583"/>
      <c r="AE38" s="252"/>
      <c r="AF38" s="252"/>
      <c r="AG38" s="252"/>
      <c r="AH38" s="252"/>
      <c r="AI38" s="252"/>
      <c r="AJ38" s="252"/>
      <c r="AK38" s="1217"/>
      <c r="AL38" s="3"/>
      <c r="AM38" s="3"/>
      <c r="AN38" s="3"/>
      <c r="AO38" s="3"/>
      <c r="AP38" s="6"/>
      <c r="AQ38" s="584"/>
      <c r="AR38" s="1321" t="s">
        <v>33</v>
      </c>
      <c r="AS38" s="1329" t="s">
        <v>34</v>
      </c>
      <c r="AT38" s="1330"/>
      <c r="AU38" s="1322">
        <f ca="1">AU8/$AU$34</f>
        <v>0</v>
      </c>
      <c r="AV38" s="1323">
        <f ca="1">AW38*1.2</f>
        <v>8.0039999999999996</v>
      </c>
      <c r="AW38" s="1324">
        <f t="shared" ref="AW38:AW51" ca="1" si="18">IF(CEILING(AU38*$AU$37,$AW$54)&lt;=0,$AW$54,CEILING(AU38*$AU$37,$AW$54))</f>
        <v>6.67</v>
      </c>
      <c r="AX38" s="121">
        <f t="shared" ref="AX38:AX50" ca="1" si="19">AV38/AW38</f>
        <v>1.2</v>
      </c>
      <c r="AY38" s="584"/>
      <c r="AZ38" s="584"/>
      <c r="BA38" s="584"/>
      <c r="BB38" s="584"/>
      <c r="BC38" s="584"/>
      <c r="BD38" s="3"/>
      <c r="BE38" s="3"/>
      <c r="BF38" s="1513"/>
      <c r="BG38" s="586"/>
      <c r="BH38" s="258"/>
      <c r="BI38" s="583"/>
      <c r="BJ38" s="583"/>
      <c r="BL38" s="584"/>
    </row>
    <row r="39" spans="1:66" s="2" customFormat="1" ht="16.5" thickBot="1" x14ac:dyDescent="0.3">
      <c r="A39" s="580"/>
      <c r="B39" s="105"/>
      <c r="C39" s="105"/>
      <c r="D39" s="244"/>
      <c r="E39" s="244"/>
      <c r="F39" s="3"/>
      <c r="G39" s="3"/>
      <c r="H39" s="4"/>
      <c r="I39" s="4"/>
      <c r="J39" s="5"/>
      <c r="K39" s="5"/>
      <c r="L39" s="1520"/>
      <c r="M39" s="1284"/>
      <c r="N39" s="3"/>
      <c r="O39" s="2142"/>
      <c r="P39" s="2156"/>
      <c r="Q39" s="2197"/>
      <c r="R39" s="2007"/>
      <c r="S39" s="2203"/>
      <c r="T39" s="2205"/>
      <c r="U39" s="2199"/>
      <c r="V39" s="2148">
        <f ca="1">W29</f>
        <v>44607</v>
      </c>
      <c r="W39" s="2149"/>
      <c r="X39" s="2182"/>
      <c r="Y39" s="582"/>
      <c r="Z39" s="582"/>
      <c r="AA39" s="1640">
        <v>44197</v>
      </c>
      <c r="AB39" s="582"/>
      <c r="AC39" s="581"/>
      <c r="AD39" s="583"/>
      <c r="AE39" s="252"/>
      <c r="AF39" s="252"/>
      <c r="AG39" s="252"/>
      <c r="AH39" s="252"/>
      <c r="AI39" s="252"/>
      <c r="AJ39" s="252"/>
      <c r="AK39" s="1217"/>
      <c r="AL39" s="3"/>
      <c r="AM39" s="3"/>
      <c r="AN39" s="3"/>
      <c r="AO39" s="3"/>
      <c r="AP39" s="6"/>
      <c r="AQ39" s="6"/>
      <c r="AR39" s="1309" t="s">
        <v>36</v>
      </c>
      <c r="AS39" s="1331" t="s">
        <v>37</v>
      </c>
      <c r="AT39" s="1332"/>
      <c r="AU39" s="1306">
        <f ca="1">AU9/$AU$34</f>
        <v>0</v>
      </c>
      <c r="AV39" s="1307">
        <f ca="1">AW39*1.2</f>
        <v>8.0039999999999996</v>
      </c>
      <c r="AW39" s="1310">
        <f t="shared" ca="1" si="18"/>
        <v>6.67</v>
      </c>
      <c r="AX39" s="121">
        <f t="shared" ca="1" si="19"/>
        <v>1.2</v>
      </c>
      <c r="AY39" s="6"/>
      <c r="AZ39" s="6"/>
      <c r="BA39" s="6"/>
      <c r="BB39" s="6"/>
      <c r="BC39" s="6"/>
      <c r="BD39" s="3"/>
      <c r="BE39" s="3"/>
      <c r="BF39" s="1513"/>
      <c r="BG39" s="586"/>
      <c r="BH39" s="258"/>
      <c r="BI39" s="583"/>
      <c r="BJ39" s="583"/>
      <c r="BL39" s="584"/>
    </row>
    <row r="40" spans="1:66" s="2" customFormat="1" x14ac:dyDescent="0.25">
      <c r="A40" s="580"/>
      <c r="B40" s="105"/>
      <c r="C40" s="105"/>
      <c r="D40" s="244"/>
      <c r="E40" s="244"/>
      <c r="F40" s="3"/>
      <c r="G40" s="3"/>
      <c r="H40" s="4"/>
      <c r="I40" s="4"/>
      <c r="J40" s="5"/>
      <c r="K40" s="5"/>
      <c r="L40" s="1520"/>
      <c r="M40" s="1284"/>
      <c r="N40" s="3"/>
      <c r="O40" s="1618" t="s">
        <v>185</v>
      </c>
      <c r="P40" s="2194" t="str">
        <f>VLOOKUP(O40,Prehľad!$B$2:$BM$27,2,FALSE)</f>
        <v>ŠKODA - OCTÁVIA combi</v>
      </c>
      <c r="Q40" s="2195"/>
      <c r="R40" s="2200">
        <f>VLOOKUP(O40,Prehľad!$B$2:$BM$27,27,FALSE)</f>
        <v>44549</v>
      </c>
      <c r="S40" s="2201"/>
      <c r="T40" s="1647">
        <f ca="1">NETWORKDAYS($V$39,R40,$AA$30:$AA$51)</f>
        <v>-41</v>
      </c>
      <c r="U40" s="1653">
        <f>VLOOKUP(O40,Prehľad!$B$2:$BM$27,24,FALSE)</f>
        <v>119248</v>
      </c>
      <c r="V40" s="1576">
        <f>VLOOKUP(O40,Prehľad!$B$2:$BM$27,9,FALSE)</f>
        <v>115805</v>
      </c>
      <c r="W40" s="1631">
        <f>V40-U40</f>
        <v>-3443</v>
      </c>
      <c r="X40" s="1636">
        <f ca="1">W40/T40*-1</f>
        <v>-83.975609756097555</v>
      </c>
      <c r="Y40" s="582"/>
      <c r="Z40" s="582"/>
      <c r="AA40" s="1640">
        <v>44202</v>
      </c>
      <c r="AB40" s="582"/>
      <c r="AC40" s="581"/>
      <c r="AD40" s="583"/>
      <c r="AE40" s="581"/>
      <c r="AF40" s="581"/>
      <c r="AG40" s="581"/>
      <c r="AH40" s="581"/>
      <c r="AI40" s="581"/>
      <c r="AJ40" s="581"/>
      <c r="AK40" s="581"/>
      <c r="AL40" s="3"/>
      <c r="AM40" s="3"/>
      <c r="AN40" s="3"/>
      <c r="AO40" s="3"/>
      <c r="AP40" s="3"/>
      <c r="AQ40" s="6"/>
      <c r="AR40" s="1309" t="s">
        <v>28</v>
      </c>
      <c r="AS40" s="1331" t="s">
        <v>27</v>
      </c>
      <c r="AT40" s="1333"/>
      <c r="AU40" s="1311">
        <f ca="1">AU10/$AU$34</f>
        <v>0</v>
      </c>
      <c r="AV40" s="950">
        <f t="shared" ref="AV40:AV50" ca="1" si="20">AW40*1.2</f>
        <v>8.0039999999999996</v>
      </c>
      <c r="AW40" s="1310">
        <f t="shared" ca="1" si="18"/>
        <v>6.67</v>
      </c>
      <c r="AX40" s="121">
        <f t="shared" ca="1" si="19"/>
        <v>1.2</v>
      </c>
      <c r="AY40" s="6"/>
      <c r="AZ40" s="6"/>
      <c r="BA40" s="6"/>
      <c r="BB40" s="6"/>
      <c r="BC40" s="6"/>
      <c r="BD40" s="3"/>
      <c r="BE40" s="3"/>
      <c r="BF40" s="1513"/>
      <c r="BG40" s="57"/>
      <c r="BH40" s="258"/>
      <c r="BI40" s="583"/>
      <c r="BJ40" s="583"/>
      <c r="BL40" s="584"/>
    </row>
    <row r="41" spans="1:66" x14ac:dyDescent="0.25">
      <c r="A41" s="580"/>
      <c r="L41" s="1520"/>
      <c r="M41" s="1284"/>
      <c r="O41" s="1615" t="s">
        <v>594</v>
      </c>
      <c r="P41" s="2186" t="str">
        <f>VLOOKUP(O41,Prehľad!$B$2:$BM$27,2,FALSE)</f>
        <v>ŠKODA - OCTÁVIA combi</v>
      </c>
      <c r="Q41" s="2187"/>
      <c r="R41" s="2188">
        <f>VLOOKUP(O41,Prehľad!$B$2:$BM$27,27,FALSE)</f>
        <v>44672.25</v>
      </c>
      <c r="S41" s="2189"/>
      <c r="T41" s="1553">
        <f ca="1">NETWORKDAYS($V$39,R41,$AA$30:$AA$51)</f>
        <v>48</v>
      </c>
      <c r="U41" s="1654">
        <f>VLOOKUP(O41,Prehľad!$B$2:$BM$27,24,FALSE)</f>
        <v>76518</v>
      </c>
      <c r="V41" s="1577">
        <f>VLOOKUP(O41,Prehľad!$B$2:$BM$27,9,FALSE)</f>
        <v>54185</v>
      </c>
      <c r="W41" s="1632">
        <f>V41-U41</f>
        <v>-22333</v>
      </c>
      <c r="X41" s="1634">
        <f ca="1">W41/T41*-1</f>
        <v>465.27083333333331</v>
      </c>
      <c r="Y41" s="523"/>
      <c r="Z41" s="523"/>
      <c r="AA41" s="1640">
        <v>44288</v>
      </c>
      <c r="AB41" s="5"/>
      <c r="AC41" s="3"/>
      <c r="AD41" s="61"/>
      <c r="AE41" s="601"/>
      <c r="AF41" s="601"/>
      <c r="AG41" s="601"/>
      <c r="AH41" s="601"/>
      <c r="AI41" s="601"/>
      <c r="AJ41" s="601"/>
      <c r="AR41" s="1309" t="s">
        <v>20</v>
      </c>
      <c r="AS41" s="1331" t="s">
        <v>21</v>
      </c>
      <c r="AT41" s="1334"/>
      <c r="AU41" s="1311">
        <f ca="1">AU13/$AU$34</f>
        <v>1.4213348834566585E-2</v>
      </c>
      <c r="AV41" s="950">
        <f ca="1">AW41*1.2</f>
        <v>8.0039999999999996</v>
      </c>
      <c r="AW41" s="1310">
        <f t="shared" ca="1" si="18"/>
        <v>6.67</v>
      </c>
      <c r="AX41" s="121">
        <f t="shared" ca="1" si="19"/>
        <v>1.2</v>
      </c>
      <c r="BD41" s="252"/>
      <c r="BE41" s="252"/>
      <c r="BG41" s="57"/>
      <c r="BH41" s="4"/>
      <c r="BI41" s="61"/>
      <c r="BJ41" s="61"/>
      <c r="BK41" s="1"/>
    </row>
    <row r="42" spans="1:66" x14ac:dyDescent="0.25">
      <c r="L42" s="1520"/>
      <c r="M42" s="1284"/>
      <c r="O42" s="1619"/>
      <c r="P42" s="2190"/>
      <c r="Q42" s="2191"/>
      <c r="R42" s="2192"/>
      <c r="S42" s="2193"/>
      <c r="T42" s="1648"/>
      <c r="U42" s="1655"/>
      <c r="V42" s="1652"/>
      <c r="W42" s="1633"/>
      <c r="X42" s="1635"/>
      <c r="Y42" s="523"/>
      <c r="Z42" s="523"/>
      <c r="AA42" s="1638">
        <v>44291</v>
      </c>
      <c r="AB42" s="5"/>
      <c r="AC42" s="3"/>
      <c r="AD42" s="61"/>
      <c r="AE42" s="610"/>
      <c r="AF42" s="610"/>
      <c r="AG42" s="610"/>
      <c r="AH42" s="610"/>
      <c r="AI42" s="610"/>
      <c r="AJ42" s="610"/>
      <c r="AR42" s="1309" t="s">
        <v>11</v>
      </c>
      <c r="AS42" s="1331" t="s">
        <v>1</v>
      </c>
      <c r="AT42" s="1334"/>
      <c r="AU42" s="1311">
        <f ca="1">AU12/$AU$34</f>
        <v>0</v>
      </c>
      <c r="AV42" s="950">
        <f ca="1">AW42*1.2</f>
        <v>8.0039999999999996</v>
      </c>
      <c r="AW42" s="1310">
        <f t="shared" ca="1" si="18"/>
        <v>6.67</v>
      </c>
      <c r="AX42" s="121">
        <v>1.2</v>
      </c>
      <c r="BG42" s="468"/>
      <c r="BH42" s="4"/>
      <c r="BI42" s="61"/>
      <c r="BJ42" s="61"/>
      <c r="BK42" s="1"/>
    </row>
    <row r="43" spans="1:66" x14ac:dyDescent="0.25">
      <c r="L43" s="1521"/>
      <c r="M43" s="255"/>
      <c r="W43" s="3"/>
      <c r="X43" s="3"/>
      <c r="Y43" s="523"/>
      <c r="Z43" s="523"/>
      <c r="AA43" s="1638">
        <v>44317</v>
      </c>
      <c r="AB43" s="5"/>
      <c r="AC43" s="3"/>
      <c r="AD43" s="61"/>
      <c r="AE43" s="601"/>
      <c r="AF43" s="601"/>
      <c r="AG43" s="601"/>
      <c r="AH43" s="601"/>
      <c r="AI43" s="601"/>
      <c r="AJ43" s="601"/>
      <c r="AR43" s="1309" t="s">
        <v>30</v>
      </c>
      <c r="AS43" s="1331" t="s">
        <v>21</v>
      </c>
      <c r="AT43" s="1334"/>
      <c r="AU43" s="1311">
        <f t="shared" ref="AU43:AU51" ca="1" si="21">AU14/$AU$34</f>
        <v>7.1066744172832916E-2</v>
      </c>
      <c r="AV43" s="950">
        <f t="shared" ca="1" si="20"/>
        <v>40.020000000000003</v>
      </c>
      <c r="AW43" s="1310">
        <f t="shared" ca="1" si="18"/>
        <v>33.35</v>
      </c>
      <c r="AX43" s="121">
        <f t="shared" ca="1" si="19"/>
        <v>1.2</v>
      </c>
      <c r="BD43" s="252"/>
      <c r="BE43" s="252"/>
      <c r="BG43" s="468"/>
      <c r="BH43" s="468"/>
      <c r="BI43" s="6"/>
      <c r="BJ43" s="6"/>
      <c r="BK43" s="57"/>
      <c r="BM43" s="61"/>
      <c r="BN43" s="61"/>
    </row>
    <row r="44" spans="1:66" x14ac:dyDescent="0.25">
      <c r="O44" s="2206" t="s">
        <v>1205</v>
      </c>
      <c r="P44" s="2207"/>
      <c r="Q44" s="2207"/>
      <c r="R44" s="2207"/>
      <c r="S44" s="2207"/>
      <c r="T44" s="2207"/>
      <c r="U44" s="2207"/>
      <c r="V44" s="2207"/>
      <c r="W44" s="2207"/>
      <c r="X44" s="2208"/>
      <c r="Y44" s="523"/>
      <c r="Z44" s="523"/>
      <c r="AA44" s="1638">
        <v>44324</v>
      </c>
      <c r="AB44" s="5"/>
      <c r="AC44" s="3"/>
      <c r="AD44" s="61"/>
      <c r="AE44" s="610"/>
      <c r="AF44" s="610"/>
      <c r="AG44" s="610"/>
      <c r="AH44" s="610"/>
      <c r="AI44" s="610"/>
      <c r="AJ44" s="610"/>
      <c r="AR44" s="1312" t="s">
        <v>18</v>
      </c>
      <c r="AS44" s="1335" t="s">
        <v>17</v>
      </c>
      <c r="AT44" s="1334"/>
      <c r="AU44" s="1311">
        <f t="shared" ca="1" si="21"/>
        <v>0.11808618044659286</v>
      </c>
      <c r="AV44" s="950">
        <f t="shared" ca="1" si="20"/>
        <v>64.031999999999996</v>
      </c>
      <c r="AW44" s="1310">
        <f t="shared" ca="1" si="18"/>
        <v>53.36</v>
      </c>
      <c r="AX44" s="121">
        <f t="shared" ca="1" si="19"/>
        <v>1.2</v>
      </c>
      <c r="BD44" s="581"/>
      <c r="BE44" s="581"/>
      <c r="BF44" s="1514"/>
      <c r="BG44" s="468"/>
      <c r="BH44" s="468"/>
      <c r="BI44" s="6"/>
      <c r="BJ44" s="6"/>
      <c r="BK44" s="57"/>
      <c r="BM44" s="61"/>
      <c r="BN44" s="61"/>
    </row>
    <row r="45" spans="1:66" ht="45" customHeight="1" thickBot="1" x14ac:dyDescent="0.3">
      <c r="O45" s="2141" t="s">
        <v>434</v>
      </c>
      <c r="P45" s="2154" t="s">
        <v>1155</v>
      </c>
      <c r="Q45" s="2196"/>
      <c r="R45" s="2006" t="s">
        <v>1202</v>
      </c>
      <c r="S45" s="2202"/>
      <c r="T45" s="2204" t="s">
        <v>1206</v>
      </c>
      <c r="U45" s="2198" t="s">
        <v>1203</v>
      </c>
      <c r="V45" s="1651" t="s">
        <v>1159</v>
      </c>
      <c r="W45" s="1554" t="s">
        <v>1162</v>
      </c>
      <c r="X45" s="2181" t="s">
        <v>1207</v>
      </c>
      <c r="Y45" s="523"/>
      <c r="Z45" s="523"/>
      <c r="AA45" s="1638">
        <v>44382</v>
      </c>
      <c r="AB45" s="5"/>
      <c r="AC45" s="3"/>
      <c r="AD45" s="61"/>
      <c r="AE45" s="620"/>
      <c r="AF45" s="620"/>
      <c r="AG45" s="620"/>
      <c r="AH45" s="620"/>
      <c r="AI45" s="620"/>
      <c r="AJ45" s="620"/>
      <c r="AR45" s="1312" t="s">
        <v>164</v>
      </c>
      <c r="AS45" s="1335" t="s">
        <v>949</v>
      </c>
      <c r="AT45" s="1334"/>
      <c r="AU45" s="1311">
        <f t="shared" ca="1" si="21"/>
        <v>0.3418939768093392</v>
      </c>
      <c r="AV45" s="950">
        <f t="shared" ca="1" si="20"/>
        <v>176.08799999999999</v>
      </c>
      <c r="AW45" s="1308">
        <f t="shared" ca="1" si="18"/>
        <v>146.74</v>
      </c>
      <c r="AX45" s="121">
        <f t="shared" ca="1" si="19"/>
        <v>1.2</v>
      </c>
      <c r="BD45" s="610"/>
      <c r="BE45" s="610"/>
      <c r="BF45" s="1515"/>
      <c r="BG45" s="468"/>
      <c r="BH45" s="468"/>
      <c r="BI45" s="6"/>
      <c r="BJ45" s="6"/>
      <c r="BK45" s="57"/>
      <c r="BM45" s="61"/>
      <c r="BN45" s="61"/>
    </row>
    <row r="46" spans="1:66" ht="16.5" thickBot="1" x14ac:dyDescent="0.3">
      <c r="O46" s="2142"/>
      <c r="P46" s="2156"/>
      <c r="Q46" s="2197"/>
      <c r="R46" s="2007"/>
      <c r="S46" s="2203"/>
      <c r="T46" s="2205"/>
      <c r="U46" s="2199"/>
      <c r="V46" s="2148">
        <f ca="1">W29</f>
        <v>44607</v>
      </c>
      <c r="W46" s="2149"/>
      <c r="X46" s="2182"/>
      <c r="Y46" s="523"/>
      <c r="Z46" s="523"/>
      <c r="AA46" s="1638">
        <v>44437</v>
      </c>
      <c r="AB46" s="5"/>
      <c r="AC46" s="3"/>
      <c r="AD46" s="61"/>
      <c r="AE46" s="601"/>
      <c r="AF46" s="601"/>
      <c r="AG46" s="601"/>
      <c r="AH46" s="601"/>
      <c r="AI46" s="601"/>
      <c r="AJ46" s="601"/>
      <c r="AL46" s="252"/>
      <c r="AM46" s="252"/>
      <c r="AN46" s="252"/>
      <c r="AO46" s="252"/>
      <c r="AP46" s="252"/>
      <c r="AR46" s="1312" t="s">
        <v>185</v>
      </c>
      <c r="AS46" s="1335" t="s">
        <v>186</v>
      </c>
      <c r="AT46" s="1334"/>
      <c r="AU46" s="1311">
        <f t="shared" ca="1" si="21"/>
        <v>0.12792013951109923</v>
      </c>
      <c r="AV46" s="950">
        <f t="shared" ca="1" si="20"/>
        <v>72.036000000000001</v>
      </c>
      <c r="AW46" s="1308">
        <f t="shared" ca="1" si="18"/>
        <v>60.03</v>
      </c>
      <c r="AX46" s="121">
        <f t="shared" ca="1" si="19"/>
        <v>1.2</v>
      </c>
      <c r="BD46" s="601"/>
      <c r="BE46" s="601"/>
      <c r="BF46" s="1516"/>
      <c r="BG46" s="468"/>
      <c r="BH46" s="468"/>
      <c r="BI46" s="6"/>
      <c r="BJ46" s="6"/>
      <c r="BK46" s="57"/>
      <c r="BM46" s="61"/>
      <c r="BN46" s="61"/>
    </row>
    <row r="47" spans="1:66" x14ac:dyDescent="0.25">
      <c r="O47" s="1618" t="str">
        <f>O32</f>
        <v>BL253RN</v>
      </c>
      <c r="P47" s="2194" t="str">
        <f>VLOOKUP(O47,Prehľad!$B$2:$BM$27,2,FALSE)</f>
        <v>ŠKODA - OCTÁVIA combi</v>
      </c>
      <c r="Q47" s="2195"/>
      <c r="R47" s="2209">
        <f>VLOOKUP(O47,Prehľad!$B$2:$BM$27,6,FALSE)+(365.25*4)-1</f>
        <v>44549</v>
      </c>
      <c r="S47" s="2210"/>
      <c r="T47" s="1649">
        <f ca="1">(R47-$V$46)/365.25*12</f>
        <v>-1.9055441478439425</v>
      </c>
      <c r="U47" s="1653">
        <v>120000</v>
      </c>
      <c r="V47" s="1576">
        <f>VLOOKUP(O47,Prehľad!$B$2:$BM$27,9,FALSE)</f>
        <v>115805</v>
      </c>
      <c r="W47" s="1631">
        <f>V47-U47</f>
        <v>-4195</v>
      </c>
      <c r="X47" s="1636">
        <f ca="1">W47/T47*-1</f>
        <v>-2201.4709051724139</v>
      </c>
      <c r="Y47" s="523"/>
      <c r="Z47" s="523"/>
      <c r="AA47" s="1638">
        <v>44440</v>
      </c>
      <c r="AB47" s="5"/>
      <c r="AC47" s="3"/>
      <c r="AD47" s="61"/>
      <c r="AE47" s="581"/>
      <c r="AF47" s="581"/>
      <c r="AG47" s="581"/>
      <c r="AH47" s="581"/>
      <c r="AI47" s="581"/>
      <c r="AJ47" s="581"/>
      <c r="AQ47" s="252"/>
      <c r="AR47" s="1312" t="s">
        <v>215</v>
      </c>
      <c r="AS47" s="1335" t="s">
        <v>218</v>
      </c>
      <c r="AT47" s="1334"/>
      <c r="AU47" s="1311">
        <f t="shared" ca="1" si="21"/>
        <v>0.15299892044982716</v>
      </c>
      <c r="AV47" s="950">
        <f t="shared" ca="1" si="20"/>
        <v>80.040000000000006</v>
      </c>
      <c r="AW47" s="1308">
        <f t="shared" ca="1" si="18"/>
        <v>66.7</v>
      </c>
      <c r="AX47" s="121">
        <f t="shared" ca="1" si="19"/>
        <v>1.2</v>
      </c>
      <c r="AY47" s="252"/>
      <c r="AZ47" s="252"/>
      <c r="BA47" s="252"/>
      <c r="BB47" s="252"/>
      <c r="BC47" s="252"/>
      <c r="BD47" s="610"/>
      <c r="BE47" s="610"/>
      <c r="BF47" s="1515"/>
      <c r="BG47" s="468"/>
      <c r="BH47" s="468"/>
      <c r="BI47" s="6"/>
      <c r="BJ47" s="6"/>
      <c r="BK47" s="57"/>
      <c r="BM47" s="61"/>
      <c r="BN47" s="61"/>
    </row>
    <row r="48" spans="1:66" x14ac:dyDescent="0.25">
      <c r="O48" s="1615" t="str">
        <f>O33</f>
        <v>BL028VG</v>
      </c>
      <c r="P48" s="2186" t="str">
        <f>VLOOKUP(O48,Prehľad!$B$2:$BM$27,2,FALSE)</f>
        <v>ŠKODA - OCTÁVIA combi</v>
      </c>
      <c r="Q48" s="2187"/>
      <c r="R48" s="2188">
        <f>VLOOKUP(O48,Prehľad!$B$2:$BM$27,6,FALSE)+(365.25*4)-1</f>
        <v>45018</v>
      </c>
      <c r="S48" s="2189"/>
      <c r="T48" s="1650">
        <f ca="1">(R48-$V$46)/365.25*12</f>
        <v>13.503080082135524</v>
      </c>
      <c r="U48" s="1654">
        <v>120000</v>
      </c>
      <c r="V48" s="1577">
        <f>VLOOKUP(O48,Prehľad!$B$2:$BM$27,9,FALSE)</f>
        <v>54185</v>
      </c>
      <c r="W48" s="1632">
        <f>V48-U48</f>
        <v>-65815</v>
      </c>
      <c r="X48" s="1634">
        <f ca="1">W48/T48*-1</f>
        <v>4874.0731447688568</v>
      </c>
      <c r="Y48" s="3"/>
      <c r="Z48" s="523"/>
      <c r="AA48" s="1638">
        <v>44456</v>
      </c>
      <c r="AB48" s="5"/>
      <c r="AC48" s="5"/>
      <c r="AE48" s="61"/>
      <c r="AF48" s="594"/>
      <c r="AG48" s="594"/>
      <c r="AH48" s="594"/>
      <c r="AI48" s="594"/>
      <c r="AJ48" s="594"/>
      <c r="AK48" s="594"/>
      <c r="AM48" s="252"/>
      <c r="AN48" s="252"/>
      <c r="AO48" s="252"/>
      <c r="AP48" s="252"/>
      <c r="AR48" s="1312" t="s">
        <v>393</v>
      </c>
      <c r="AS48" s="1335" t="s">
        <v>34</v>
      </c>
      <c r="AT48" s="1336"/>
      <c r="AU48" s="1311">
        <f t="shared" ca="1" si="21"/>
        <v>0</v>
      </c>
      <c r="AV48" s="950">
        <f t="shared" ca="1" si="20"/>
        <v>8.0039999999999996</v>
      </c>
      <c r="AW48" s="1308">
        <f t="shared" ca="1" si="18"/>
        <v>6.67</v>
      </c>
      <c r="AX48" s="121">
        <f t="shared" ca="1" si="19"/>
        <v>1.2</v>
      </c>
      <c r="BD48" s="620"/>
      <c r="BE48" s="620"/>
      <c r="BF48" s="1516"/>
      <c r="BG48" s="588"/>
      <c r="BH48" s="468"/>
      <c r="BI48" s="6"/>
      <c r="BJ48" s="6"/>
      <c r="BK48" s="57"/>
      <c r="BM48" s="61"/>
      <c r="BN48" s="61"/>
    </row>
    <row r="49" spans="1:66" s="50" customFormat="1" x14ac:dyDescent="0.25">
      <c r="A49" s="220"/>
      <c r="B49" s="105"/>
      <c r="C49" s="105"/>
      <c r="D49" s="244"/>
      <c r="E49" s="244"/>
      <c r="F49" s="3"/>
      <c r="G49" s="3"/>
      <c r="H49" s="4"/>
      <c r="I49" s="4"/>
      <c r="J49" s="5"/>
      <c r="K49" s="5"/>
      <c r="L49" s="5"/>
      <c r="M49" s="5"/>
      <c r="N49" s="3"/>
      <c r="O49" s="1619"/>
      <c r="P49" s="2190"/>
      <c r="Q49" s="2191"/>
      <c r="R49" s="2192"/>
      <c r="S49" s="2193"/>
      <c r="T49" s="1648"/>
      <c r="U49" s="1655"/>
      <c r="V49" s="1652"/>
      <c r="W49" s="1633"/>
      <c r="X49" s="1635"/>
      <c r="Y49" s="252"/>
      <c r="Z49" s="522"/>
      <c r="AA49" s="1638">
        <v>44554</v>
      </c>
      <c r="AB49" s="251"/>
      <c r="AC49" s="251"/>
      <c r="AD49" s="252"/>
      <c r="AE49" s="253"/>
      <c r="AF49" s="594"/>
      <c r="AG49" s="594"/>
      <c r="AH49" s="594"/>
      <c r="AI49" s="594"/>
      <c r="AJ49" s="594"/>
      <c r="AK49" s="594"/>
      <c r="AL49" s="252"/>
      <c r="AM49" s="581"/>
      <c r="AN49" s="581"/>
      <c r="AO49" s="581"/>
      <c r="AP49" s="581"/>
      <c r="AQ49" s="252"/>
      <c r="AR49" s="1312" t="s">
        <v>594</v>
      </c>
      <c r="AS49" s="1335" t="s">
        <v>186</v>
      </c>
      <c r="AT49" s="1336"/>
      <c r="AU49" s="1311">
        <f t="shared" ca="1" si="21"/>
        <v>5.6844654041320115E-2</v>
      </c>
      <c r="AV49" s="950">
        <f t="shared" ca="1" si="20"/>
        <v>32.015999999999998</v>
      </c>
      <c r="AW49" s="1308">
        <f t="shared" ca="1" si="18"/>
        <v>26.68</v>
      </c>
      <c r="AX49" s="121">
        <f t="shared" ca="1" si="19"/>
        <v>1.2</v>
      </c>
      <c r="AY49" s="252"/>
      <c r="AZ49" s="252"/>
      <c r="BA49" s="252"/>
      <c r="BB49" s="252"/>
      <c r="BC49" s="252"/>
      <c r="BD49" s="601"/>
      <c r="BE49" s="601"/>
      <c r="BF49" s="1516"/>
      <c r="BG49" s="468"/>
      <c r="BH49" s="588"/>
      <c r="BI49" s="587"/>
      <c r="BJ49" s="587"/>
      <c r="BK49" s="589"/>
      <c r="BL49" s="587"/>
      <c r="BM49" s="253"/>
      <c r="BN49" s="253"/>
    </row>
    <row r="50" spans="1:66" x14ac:dyDescent="0.25">
      <c r="W50" s="3"/>
      <c r="X50" s="3"/>
      <c r="Y50" s="3"/>
      <c r="Z50" s="523"/>
      <c r="AA50" s="1638">
        <v>44555</v>
      </c>
      <c r="AB50" s="5"/>
      <c r="AC50" s="5"/>
      <c r="AE50" s="61"/>
      <c r="AF50" s="594"/>
      <c r="AG50" s="594"/>
      <c r="AH50" s="594"/>
      <c r="AI50" s="594"/>
      <c r="AJ50" s="594"/>
      <c r="AK50" s="594"/>
      <c r="AM50" s="601"/>
      <c r="AN50" s="601"/>
      <c r="AO50" s="601"/>
      <c r="AP50" s="601"/>
      <c r="AQ50" s="581"/>
      <c r="AR50" s="1312" t="s">
        <v>713</v>
      </c>
      <c r="AS50" s="1335" t="s">
        <v>39</v>
      </c>
      <c r="AT50" s="1332"/>
      <c r="AU50" s="1311">
        <f t="shared" ca="1" si="21"/>
        <v>8.1993365355617812E-2</v>
      </c>
      <c r="AV50" s="950">
        <f t="shared" ca="1" si="20"/>
        <v>48.023999999999994</v>
      </c>
      <c r="AW50" s="1308">
        <f t="shared" ca="1" si="18"/>
        <v>40.019999999999996</v>
      </c>
      <c r="AX50" s="121">
        <f t="shared" ca="1" si="19"/>
        <v>1.2</v>
      </c>
      <c r="AY50" s="581"/>
      <c r="AZ50" s="581"/>
      <c r="BA50" s="581"/>
      <c r="BB50" s="581"/>
      <c r="BC50" s="581"/>
      <c r="BD50" s="620"/>
      <c r="BE50" s="620"/>
      <c r="BF50" s="1516"/>
      <c r="BG50" s="588"/>
      <c r="BH50" s="468"/>
      <c r="BI50" s="6"/>
      <c r="BJ50" s="6"/>
      <c r="BK50" s="57"/>
      <c r="BM50" s="61"/>
      <c r="BN50" s="61"/>
    </row>
    <row r="51" spans="1:66" x14ac:dyDescent="0.25">
      <c r="W51" s="252"/>
      <c r="X51" s="252"/>
      <c r="Y51" s="3"/>
      <c r="Z51" s="523"/>
      <c r="AA51" s="1639">
        <v>44556</v>
      </c>
      <c r="AB51" s="5"/>
      <c r="AC51" s="5"/>
      <c r="AE51" s="61"/>
      <c r="AF51" s="594"/>
      <c r="AG51" s="594"/>
      <c r="AH51" s="594"/>
      <c r="AI51" s="594"/>
      <c r="AJ51" s="594"/>
      <c r="AK51" s="594"/>
      <c r="AM51" s="601"/>
      <c r="AN51" s="601"/>
      <c r="AO51" s="601"/>
      <c r="AP51" s="601"/>
      <c r="AQ51" s="581"/>
      <c r="AR51" s="1312" t="str">
        <f>B22</f>
        <v>KE270MZ</v>
      </c>
      <c r="AS51" s="1335" t="str">
        <f>C22</f>
        <v>PEUGEOT - BOXER mikrobus</v>
      </c>
      <c r="AT51" s="1332"/>
      <c r="AU51" s="1311">
        <f t="shared" ca="1" si="21"/>
        <v>3.4982670378804107E-2</v>
      </c>
      <c r="AV51" s="950">
        <f ca="1">AW51*1.2</f>
        <v>24.011999999999997</v>
      </c>
      <c r="AW51" s="1308">
        <f t="shared" ca="1" si="18"/>
        <v>20.009999999999998</v>
      </c>
      <c r="AX51" s="121">
        <f ca="1">AV51/AW51</f>
        <v>1.2</v>
      </c>
      <c r="AY51" s="581"/>
      <c r="AZ51" s="581"/>
      <c r="BA51" s="581"/>
      <c r="BB51" s="581"/>
      <c r="BC51" s="581"/>
      <c r="BD51" s="620"/>
      <c r="BE51" s="620"/>
      <c r="BF51" s="1516"/>
      <c r="BG51" s="588"/>
      <c r="BH51" s="468"/>
      <c r="BI51" s="6"/>
      <c r="BJ51" s="6"/>
      <c r="BK51" s="57"/>
      <c r="BM51" s="61"/>
      <c r="BN51" s="61"/>
    </row>
    <row r="52" spans="1:66" s="50" customFormat="1" x14ac:dyDescent="0.25">
      <c r="A52" s="220"/>
      <c r="B52" s="105"/>
      <c r="C52" s="105"/>
      <c r="D52" s="244"/>
      <c r="E52" s="244"/>
      <c r="F52" s="3"/>
      <c r="G52" s="3"/>
      <c r="H52" s="4"/>
      <c r="I52" s="4"/>
      <c r="J52" s="5"/>
      <c r="K52" s="5"/>
      <c r="L52" s="5"/>
      <c r="M52" s="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52"/>
      <c r="Z52" s="522"/>
      <c r="AA52" s="522"/>
      <c r="AB52" s="251"/>
      <c r="AC52" s="251"/>
      <c r="AD52" s="252"/>
      <c r="AE52" s="253"/>
      <c r="AF52" s="594"/>
      <c r="AG52" s="594"/>
      <c r="AH52" s="594"/>
      <c r="AI52" s="594"/>
      <c r="AJ52" s="594"/>
      <c r="AK52" s="594"/>
      <c r="AL52" s="252"/>
      <c r="AM52" s="601"/>
      <c r="AN52" s="601"/>
      <c r="AO52" s="601"/>
      <c r="AP52" s="601"/>
      <c r="AQ52" s="610"/>
      <c r="AR52" s="1313"/>
      <c r="AS52" s="1337"/>
      <c r="AT52" s="1338"/>
      <c r="AU52" s="1314"/>
      <c r="AV52" s="1315"/>
      <c r="AW52" s="1316"/>
      <c r="AX52" s="1326"/>
      <c r="AY52" s="610"/>
      <c r="AZ52" s="610"/>
      <c r="BA52" s="610"/>
      <c r="BB52" s="610"/>
      <c r="BC52" s="610"/>
      <c r="BD52" s="581"/>
      <c r="BE52" s="581"/>
      <c r="BF52" s="1514"/>
      <c r="BG52" s="585"/>
      <c r="BH52" s="588"/>
      <c r="BI52" s="587"/>
      <c r="BJ52" s="587"/>
      <c r="BK52" s="589"/>
      <c r="BL52" s="587"/>
      <c r="BM52" s="253"/>
      <c r="BN52" s="253"/>
    </row>
    <row r="53" spans="1:66" s="2" customFormat="1" x14ac:dyDescent="0.25">
      <c r="A53" s="220"/>
      <c r="B53" s="105"/>
      <c r="C53" s="105"/>
      <c r="D53" s="244"/>
      <c r="E53" s="244"/>
      <c r="F53" s="3"/>
      <c r="G53" s="3"/>
      <c r="H53" s="4"/>
      <c r="I53" s="4"/>
      <c r="J53" s="5"/>
      <c r="K53" s="5"/>
      <c r="L53" s="5"/>
      <c r="M53" s="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581"/>
      <c r="Z53" s="582"/>
      <c r="AA53" s="582"/>
      <c r="AB53" s="582"/>
      <c r="AC53" s="582"/>
      <c r="AD53" s="581"/>
      <c r="AE53" s="583"/>
      <c r="AF53" s="594"/>
      <c r="AG53" s="594"/>
      <c r="AH53" s="594"/>
      <c r="AI53" s="594"/>
      <c r="AJ53" s="594"/>
      <c r="AK53" s="594"/>
      <c r="AL53" s="581"/>
      <c r="AM53" s="610"/>
      <c r="AN53" s="610"/>
      <c r="AO53" s="610"/>
      <c r="AP53" s="610"/>
      <c r="AQ53" s="601"/>
      <c r="AR53" s="1317" t="s">
        <v>885</v>
      </c>
      <c r="AS53" s="1339"/>
      <c r="AT53" s="1340"/>
      <c r="AU53" s="1318">
        <f ca="1">SUM(AU38:AU52)</f>
        <v>1.0000000000000002</v>
      </c>
      <c r="AV53" s="1319">
        <f ca="1">SUM(AV38:AV52)</f>
        <v>584.29199999999992</v>
      </c>
      <c r="AW53" s="1320">
        <f ca="1">SUM(AW38:AW52)</f>
        <v>486.91</v>
      </c>
      <c r="AX53" s="121">
        <f ca="1">AV53/AW53</f>
        <v>1.1999999999999997</v>
      </c>
      <c r="AY53" s="601"/>
      <c r="AZ53" s="601"/>
      <c r="BA53" s="601"/>
      <c r="BB53" s="601"/>
      <c r="BC53" s="601"/>
      <c r="BD53" s="594"/>
      <c r="BE53" s="594"/>
      <c r="BF53" s="1517"/>
      <c r="BG53" s="606"/>
      <c r="BH53" s="585"/>
      <c r="BI53" s="584"/>
      <c r="BJ53" s="584"/>
      <c r="BK53" s="586"/>
      <c r="BL53" s="584"/>
      <c r="BM53" s="583"/>
      <c r="BN53" s="583"/>
    </row>
    <row r="54" spans="1:66" s="617" customFormat="1" x14ac:dyDescent="0.25">
      <c r="A54" s="220"/>
      <c r="B54" s="105"/>
      <c r="C54" s="105"/>
      <c r="D54" s="244"/>
      <c r="E54" s="244"/>
      <c r="F54" s="3"/>
      <c r="G54" s="3"/>
      <c r="H54" s="4"/>
      <c r="I54" s="4"/>
      <c r="J54" s="5"/>
      <c r="K54" s="5"/>
      <c r="L54" s="5"/>
      <c r="M54" s="5"/>
      <c r="N54" s="3"/>
      <c r="O54" s="3"/>
      <c r="P54" s="3"/>
      <c r="Q54" s="3"/>
      <c r="R54" s="3"/>
      <c r="S54" s="3"/>
      <c r="T54" s="3"/>
      <c r="U54" s="3"/>
      <c r="V54" s="3"/>
      <c r="W54" s="252"/>
      <c r="X54" s="252"/>
      <c r="Y54" s="610"/>
      <c r="Z54" s="611"/>
      <c r="AA54" s="611"/>
      <c r="AB54" s="612"/>
      <c r="AC54" s="612"/>
      <c r="AD54" s="610"/>
      <c r="AE54" s="613"/>
      <c r="AF54" s="594"/>
      <c r="AG54" s="594"/>
      <c r="AH54" s="594"/>
      <c r="AI54" s="594"/>
      <c r="AJ54" s="594"/>
      <c r="AK54" s="594"/>
      <c r="AL54" s="610"/>
      <c r="AM54" s="620"/>
      <c r="AN54" s="620"/>
      <c r="AO54" s="620"/>
      <c r="AP54" s="620"/>
      <c r="AQ54" s="610"/>
      <c r="AR54" s="601"/>
      <c r="AS54" s="601"/>
      <c r="AT54" s="601"/>
      <c r="AU54" s="601"/>
      <c r="AV54" s="1131"/>
      <c r="AW54" s="1361">
        <v>6.67</v>
      </c>
      <c r="AX54" s="1326"/>
      <c r="AY54" s="610"/>
      <c r="AZ54" s="610"/>
      <c r="BA54" s="610"/>
      <c r="BB54" s="610"/>
      <c r="BC54" s="610"/>
      <c r="BD54" s="594"/>
      <c r="BE54" s="594"/>
      <c r="BF54" s="1517"/>
      <c r="BG54" s="606"/>
      <c r="BH54" s="615"/>
      <c r="BI54" s="614"/>
      <c r="BJ54" s="614"/>
      <c r="BK54" s="616"/>
      <c r="BL54" s="614"/>
      <c r="BM54" s="613"/>
      <c r="BN54" s="613"/>
    </row>
    <row r="55" spans="1:66" s="608" customFormat="1" x14ac:dyDescent="0.25">
      <c r="A55" s="220"/>
      <c r="B55" s="105"/>
      <c r="C55" s="105"/>
      <c r="D55" s="244"/>
      <c r="E55" s="244"/>
      <c r="F55" s="3"/>
      <c r="G55" s="3"/>
      <c r="H55" s="4"/>
      <c r="I55" s="4"/>
      <c r="J55" s="5"/>
      <c r="K55" s="5"/>
      <c r="L55" s="5"/>
      <c r="M55" s="5"/>
      <c r="N55" s="3"/>
      <c r="O55" s="3"/>
      <c r="P55" s="3"/>
      <c r="Q55" s="3"/>
      <c r="R55" s="3"/>
      <c r="S55" s="3"/>
      <c r="T55" s="3"/>
      <c r="U55" s="3"/>
      <c r="V55" s="3"/>
      <c r="W55" s="581"/>
      <c r="X55" s="581"/>
      <c r="Y55" s="601"/>
      <c r="Z55" s="602"/>
      <c r="AA55" s="602"/>
      <c r="AB55" s="603"/>
      <c r="AC55" s="603"/>
      <c r="AD55" s="601"/>
      <c r="AE55" s="604"/>
      <c r="AF55" s="594"/>
      <c r="AG55" s="594"/>
      <c r="AH55" s="594"/>
      <c r="AI55" s="594"/>
      <c r="AJ55" s="594"/>
      <c r="AK55" s="594"/>
      <c r="AL55" s="601"/>
      <c r="AM55" s="601"/>
      <c r="AN55" s="601"/>
      <c r="AO55" s="601"/>
      <c r="AP55" s="601"/>
      <c r="AQ55" s="620"/>
      <c r="AR55" s="610"/>
      <c r="AS55" s="610"/>
      <c r="AT55" s="610"/>
      <c r="AU55" s="610"/>
      <c r="AV55" s="610"/>
      <c r="AW55" s="620"/>
      <c r="AX55" s="620"/>
      <c r="AY55" s="620"/>
      <c r="AZ55" s="620"/>
      <c r="BA55" s="620"/>
      <c r="BB55" s="620"/>
      <c r="BC55" s="620"/>
      <c r="BD55" s="594"/>
      <c r="BE55" s="594"/>
      <c r="BF55" s="1517"/>
      <c r="BG55" s="615"/>
      <c r="BH55" s="606"/>
      <c r="BI55" s="605"/>
      <c r="BJ55" s="605"/>
      <c r="BK55" s="607"/>
      <c r="BL55" s="605"/>
      <c r="BM55" s="604"/>
      <c r="BN55" s="604"/>
    </row>
    <row r="56" spans="1:66" s="617" customFormat="1" x14ac:dyDescent="0.25">
      <c r="A56" s="220"/>
      <c r="B56" s="105"/>
      <c r="C56" s="105"/>
      <c r="D56" s="244"/>
      <c r="E56" s="244"/>
      <c r="F56" s="3"/>
      <c r="G56" s="3"/>
      <c r="H56" s="4"/>
      <c r="I56" s="4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3"/>
      <c r="W56" s="610"/>
      <c r="X56" s="610"/>
      <c r="Y56" s="610"/>
      <c r="Z56" s="611"/>
      <c r="AA56" s="611"/>
      <c r="AB56" s="612"/>
      <c r="AC56" s="612"/>
      <c r="AD56" s="610"/>
      <c r="AE56" s="613"/>
      <c r="AF56" s="629"/>
      <c r="AG56" s="629"/>
      <c r="AH56" s="629"/>
      <c r="AI56" s="629"/>
      <c r="AJ56" s="629"/>
      <c r="AK56" s="629"/>
      <c r="AL56" s="610"/>
      <c r="AM56" s="620"/>
      <c r="AN56" s="620"/>
      <c r="AO56" s="620"/>
      <c r="AP56" s="620"/>
      <c r="AQ56" s="601"/>
      <c r="AR56" s="620"/>
      <c r="AS56" s="620"/>
      <c r="AT56" s="620"/>
      <c r="AU56" s="620"/>
      <c r="AV56" s="620"/>
      <c r="AW56" s="601"/>
      <c r="AX56" s="601"/>
      <c r="AY56" s="601"/>
      <c r="AZ56" s="601"/>
      <c r="BA56" s="601"/>
      <c r="BB56" s="601"/>
      <c r="BC56" s="601"/>
      <c r="BD56" s="594"/>
      <c r="BE56" s="594"/>
      <c r="BF56" s="1517"/>
      <c r="BG56" s="625"/>
      <c r="BH56" s="615"/>
      <c r="BI56" s="614"/>
      <c r="BJ56" s="614"/>
      <c r="BK56" s="616"/>
      <c r="BL56" s="614"/>
      <c r="BM56" s="613"/>
      <c r="BN56" s="613"/>
    </row>
    <row r="57" spans="1:66" s="627" customFormat="1" x14ac:dyDescent="0.25">
      <c r="A57" s="220"/>
      <c r="B57" s="105"/>
      <c r="C57" s="105"/>
      <c r="D57" s="244"/>
      <c r="E57" s="244"/>
      <c r="F57" s="3"/>
      <c r="G57" s="3"/>
      <c r="H57" s="4"/>
      <c r="I57" s="4"/>
      <c r="J57" s="5"/>
      <c r="K57" s="5"/>
      <c r="L57" s="5"/>
      <c r="M57" s="5"/>
      <c r="N57" s="3"/>
      <c r="O57" s="3"/>
      <c r="P57" s="3"/>
      <c r="Q57" s="3"/>
      <c r="R57" s="3"/>
      <c r="S57" s="3"/>
      <c r="T57" s="3"/>
      <c r="U57" s="3"/>
      <c r="V57" s="3"/>
      <c r="W57" s="601"/>
      <c r="X57" s="601"/>
      <c r="Y57" s="620"/>
      <c r="Z57" s="621"/>
      <c r="AA57" s="621"/>
      <c r="AB57" s="622"/>
      <c r="AC57" s="622"/>
      <c r="AD57" s="620"/>
      <c r="AE57" s="623"/>
      <c r="AF57" s="594"/>
      <c r="AG57" s="594"/>
      <c r="AH57" s="594"/>
      <c r="AI57" s="594"/>
      <c r="AJ57" s="594"/>
      <c r="AK57" s="594"/>
      <c r="AL57" s="620"/>
      <c r="AM57" s="581"/>
      <c r="AN57" s="581"/>
      <c r="AO57" s="581"/>
      <c r="AP57" s="581"/>
      <c r="AQ57" s="620"/>
      <c r="AR57" s="601"/>
      <c r="AS57" s="601"/>
      <c r="AT57" s="601"/>
      <c r="AU57" s="601"/>
      <c r="AV57" s="601"/>
      <c r="AW57" s="620"/>
      <c r="AX57" s="620"/>
      <c r="AY57" s="620"/>
      <c r="AZ57" s="620"/>
      <c r="BA57" s="620"/>
      <c r="BB57" s="620"/>
      <c r="BC57" s="620"/>
      <c r="BD57" s="594"/>
      <c r="BE57" s="594"/>
      <c r="BF57" s="1517"/>
      <c r="BG57" s="606"/>
      <c r="BH57" s="625"/>
      <c r="BI57" s="624"/>
      <c r="BJ57" s="624"/>
      <c r="BK57" s="626"/>
      <c r="BL57" s="624"/>
      <c r="BM57" s="623"/>
      <c r="BN57" s="623"/>
    </row>
    <row r="58" spans="1:66" s="608" customFormat="1" x14ac:dyDescent="0.25">
      <c r="A58" s="220"/>
      <c r="B58" s="105"/>
      <c r="C58" s="105"/>
      <c r="D58" s="244"/>
      <c r="E58" s="244"/>
      <c r="F58" s="3"/>
      <c r="G58" s="3"/>
      <c r="H58" s="4"/>
      <c r="I58" s="4"/>
      <c r="J58" s="5"/>
      <c r="K58" s="5"/>
      <c r="L58" s="5"/>
      <c r="M58" s="5"/>
      <c r="N58" s="3"/>
      <c r="O58" s="3"/>
      <c r="P58" s="3"/>
      <c r="Q58" s="3"/>
      <c r="R58" s="3"/>
      <c r="S58" s="3"/>
      <c r="T58" s="3"/>
      <c r="U58" s="3"/>
      <c r="V58" s="3"/>
      <c r="W58" s="610"/>
      <c r="X58" s="610"/>
      <c r="Y58" s="601"/>
      <c r="Z58" s="602"/>
      <c r="AA58" s="602"/>
      <c r="AB58" s="603"/>
      <c r="AC58" s="603"/>
      <c r="AD58" s="601"/>
      <c r="AE58" s="604"/>
      <c r="AF58" s="629"/>
      <c r="AG58" s="629"/>
      <c r="AH58" s="629"/>
      <c r="AI58" s="629"/>
      <c r="AJ58" s="629"/>
      <c r="AK58" s="629"/>
      <c r="AL58" s="601"/>
      <c r="AM58" s="594"/>
      <c r="AN58" s="594"/>
      <c r="AO58" s="594"/>
      <c r="AP58" s="594"/>
      <c r="AQ58" s="581"/>
      <c r="AR58" s="620"/>
      <c r="AS58" s="620"/>
      <c r="AT58" s="620"/>
      <c r="AU58" s="620"/>
      <c r="AV58" s="620"/>
      <c r="AW58" s="581"/>
      <c r="AX58" s="581"/>
      <c r="AY58" s="581"/>
      <c r="AZ58" s="581"/>
      <c r="BA58" s="581"/>
      <c r="BB58" s="581"/>
      <c r="BC58" s="581"/>
      <c r="BD58" s="594"/>
      <c r="BE58" s="594"/>
      <c r="BF58" s="1517"/>
      <c r="BG58" s="625"/>
      <c r="BH58" s="606"/>
      <c r="BI58" s="605"/>
      <c r="BJ58" s="605"/>
      <c r="BK58" s="607"/>
      <c r="BL58" s="605"/>
      <c r="BM58" s="604"/>
      <c r="BN58" s="604"/>
    </row>
    <row r="59" spans="1:66" s="627" customFormat="1" x14ac:dyDescent="0.25">
      <c r="A59" s="220"/>
      <c r="B59" s="105"/>
      <c r="C59" s="105"/>
      <c r="D59" s="244"/>
      <c r="E59" s="244"/>
      <c r="F59" s="3"/>
      <c r="G59" s="3"/>
      <c r="H59" s="4"/>
      <c r="I59" s="4"/>
      <c r="J59" s="5"/>
      <c r="K59" s="5"/>
      <c r="L59" s="5"/>
      <c r="M59" s="5"/>
      <c r="N59" s="3"/>
      <c r="O59" s="3"/>
      <c r="P59" s="3"/>
      <c r="Q59" s="3"/>
      <c r="R59" s="3"/>
      <c r="S59" s="3"/>
      <c r="T59" s="3"/>
      <c r="U59" s="3"/>
      <c r="V59" s="3"/>
      <c r="W59" s="620"/>
      <c r="X59" s="620"/>
      <c r="Y59" s="620"/>
      <c r="Z59" s="621"/>
      <c r="AA59" s="621"/>
      <c r="AB59" s="622"/>
      <c r="AC59" s="622"/>
      <c r="AD59" s="620"/>
      <c r="AE59" s="623"/>
      <c r="AF59" s="252"/>
      <c r="AG59" s="252"/>
      <c r="AH59" s="252"/>
      <c r="AI59" s="252"/>
      <c r="AJ59" s="252"/>
      <c r="AK59" s="252"/>
      <c r="AL59" s="620"/>
      <c r="AM59" s="594"/>
      <c r="AN59" s="594"/>
      <c r="AO59" s="594"/>
      <c r="AP59" s="594"/>
      <c r="AQ59" s="594"/>
      <c r="AR59" s="581"/>
      <c r="AS59" s="581"/>
      <c r="AT59" s="581"/>
      <c r="AU59" s="581"/>
      <c r="AV59" s="581"/>
      <c r="AW59" s="594"/>
      <c r="AX59" s="594"/>
      <c r="AY59" s="594"/>
      <c r="AZ59" s="594"/>
      <c r="BA59" s="594"/>
      <c r="BB59" s="594"/>
      <c r="BC59" s="594"/>
      <c r="BD59" s="594"/>
      <c r="BE59" s="594"/>
      <c r="BF59" s="1517"/>
      <c r="BG59" s="585"/>
      <c r="BH59" s="625"/>
      <c r="BI59" s="624"/>
      <c r="BJ59" s="624"/>
      <c r="BK59" s="626"/>
      <c r="BL59" s="624"/>
      <c r="BM59" s="623"/>
      <c r="BN59" s="623"/>
    </row>
    <row r="60" spans="1:66" s="2" customFormat="1" x14ac:dyDescent="0.25">
      <c r="A60" s="220"/>
      <c r="B60" s="105"/>
      <c r="C60" s="105"/>
      <c r="D60" s="244"/>
      <c r="E60" s="244"/>
      <c r="F60" s="3"/>
      <c r="G60" s="3"/>
      <c r="H60" s="4"/>
      <c r="I60" s="4"/>
      <c r="J60" s="5"/>
      <c r="K60" s="5"/>
      <c r="L60" s="5"/>
      <c r="M60" s="5"/>
      <c r="N60" s="3"/>
      <c r="O60" s="3"/>
      <c r="P60" s="3"/>
      <c r="Q60" s="3"/>
      <c r="R60" s="3"/>
      <c r="S60" s="3"/>
      <c r="T60" s="3"/>
      <c r="U60" s="3"/>
      <c r="V60" s="3"/>
      <c r="W60" s="601"/>
      <c r="X60" s="601"/>
      <c r="Y60" s="581"/>
      <c r="Z60" s="582"/>
      <c r="AA60" s="582"/>
      <c r="AB60" s="582"/>
      <c r="AC60" s="582"/>
      <c r="AD60" s="581"/>
      <c r="AE60" s="583"/>
      <c r="AF60" s="3"/>
      <c r="AG60" s="3"/>
      <c r="AH60" s="3"/>
      <c r="AI60" s="3"/>
      <c r="AJ60" s="3"/>
      <c r="AK60" s="3"/>
      <c r="AL60" s="581"/>
      <c r="AM60" s="594"/>
      <c r="AN60" s="594"/>
      <c r="AO60" s="594"/>
      <c r="AP60" s="594"/>
      <c r="AQ60" s="594"/>
      <c r="AR60" s="594"/>
      <c r="AS60" s="594"/>
      <c r="AT60" s="594"/>
      <c r="AU60" s="594"/>
      <c r="AV60" s="594"/>
      <c r="AW60" s="594"/>
      <c r="AX60" s="594"/>
      <c r="AY60" s="594"/>
      <c r="AZ60" s="594"/>
      <c r="BA60" s="594"/>
      <c r="BB60" s="594"/>
      <c r="BC60" s="594"/>
      <c r="BD60" s="594"/>
      <c r="BE60" s="594"/>
      <c r="BF60" s="1517"/>
      <c r="BG60" s="598"/>
      <c r="BH60" s="585"/>
      <c r="BI60" s="584"/>
      <c r="BJ60" s="584"/>
      <c r="BK60" s="586"/>
      <c r="BL60" s="584"/>
      <c r="BM60" s="583"/>
      <c r="BN60" s="583"/>
    </row>
    <row r="61" spans="1:66" s="600" customFormat="1" x14ac:dyDescent="0.25">
      <c r="A61" s="220"/>
      <c r="B61" s="105"/>
      <c r="C61" s="105"/>
      <c r="D61" s="244"/>
      <c r="E61" s="244"/>
      <c r="F61" s="3"/>
      <c r="G61" s="3"/>
      <c r="H61" s="4"/>
      <c r="I61" s="4"/>
      <c r="J61" s="5"/>
      <c r="K61" s="5"/>
      <c r="L61" s="5"/>
      <c r="M61" s="5"/>
      <c r="N61" s="3"/>
      <c r="O61" s="3"/>
      <c r="P61" s="3"/>
      <c r="Q61" s="3"/>
      <c r="R61" s="3"/>
      <c r="S61" s="3"/>
      <c r="T61" s="3"/>
      <c r="U61" s="3"/>
      <c r="V61" s="3"/>
      <c r="W61" s="620"/>
      <c r="X61" s="620"/>
      <c r="Y61" s="594"/>
      <c r="Z61" s="595"/>
      <c r="AA61" s="595"/>
      <c r="AB61" s="596"/>
      <c r="AC61" s="596"/>
      <c r="AD61" s="594"/>
      <c r="AE61" s="597"/>
      <c r="AF61" s="3"/>
      <c r="AG61" s="3"/>
      <c r="AH61" s="3"/>
      <c r="AI61" s="3"/>
      <c r="AJ61" s="3"/>
      <c r="AK61" s="3"/>
      <c r="AL61" s="594"/>
      <c r="AM61" s="594"/>
      <c r="AN61" s="594"/>
      <c r="AO61" s="594"/>
      <c r="AP61" s="594"/>
      <c r="AQ61" s="594"/>
      <c r="AR61" s="594"/>
      <c r="AS61" s="594"/>
      <c r="AT61" s="594"/>
      <c r="AU61" s="594"/>
      <c r="AV61" s="594"/>
      <c r="AW61" s="594"/>
      <c r="AX61" s="594"/>
      <c r="AY61" s="594"/>
      <c r="AZ61" s="594"/>
      <c r="BA61" s="594"/>
      <c r="BB61" s="594"/>
      <c r="BC61" s="594"/>
      <c r="BD61" s="629"/>
      <c r="BE61" s="629"/>
      <c r="BF61" s="1517"/>
      <c r="BG61" s="598"/>
      <c r="BH61" s="598"/>
      <c r="BI61" s="537"/>
      <c r="BJ61" s="537"/>
      <c r="BK61" s="599"/>
      <c r="BL61" s="537"/>
      <c r="BM61" s="597"/>
      <c r="BN61" s="597"/>
    </row>
    <row r="62" spans="1:66" s="600" customFormat="1" x14ac:dyDescent="0.25">
      <c r="A62" s="220"/>
      <c r="B62" s="105"/>
      <c r="C62" s="105"/>
      <c r="D62" s="244"/>
      <c r="E62" s="244"/>
      <c r="F62" s="3"/>
      <c r="G62" s="3"/>
      <c r="H62" s="4"/>
      <c r="I62" s="4"/>
      <c r="J62" s="5"/>
      <c r="K62" s="5"/>
      <c r="L62" s="5"/>
      <c r="M62" s="5"/>
      <c r="N62" s="3"/>
      <c r="O62" s="3"/>
      <c r="P62" s="3"/>
      <c r="Q62" s="3"/>
      <c r="R62" s="3"/>
      <c r="S62" s="3"/>
      <c r="T62" s="3"/>
      <c r="U62" s="3"/>
      <c r="V62" s="3"/>
      <c r="W62" s="581"/>
      <c r="X62" s="581"/>
      <c r="Y62" s="594"/>
      <c r="Z62" s="595"/>
      <c r="AA62" s="595"/>
      <c r="AB62" s="596"/>
      <c r="AC62" s="596"/>
      <c r="AD62" s="594"/>
      <c r="AE62" s="597"/>
      <c r="AF62" s="742"/>
      <c r="AG62" s="742"/>
      <c r="AH62" s="742"/>
      <c r="AI62" s="742"/>
      <c r="AJ62" s="742"/>
      <c r="AK62" s="742"/>
      <c r="AL62" s="594"/>
      <c r="AM62" s="594"/>
      <c r="AN62" s="594"/>
      <c r="AO62" s="594"/>
      <c r="AP62" s="594"/>
      <c r="AQ62" s="594"/>
      <c r="AR62" s="594"/>
      <c r="AS62" s="594"/>
      <c r="AT62" s="594"/>
      <c r="AU62" s="594"/>
      <c r="AV62" s="594"/>
      <c r="AW62" s="594"/>
      <c r="AX62" s="594"/>
      <c r="AY62" s="594"/>
      <c r="AZ62" s="594"/>
      <c r="BA62" s="594"/>
      <c r="BB62" s="594"/>
      <c r="BC62" s="594"/>
      <c r="BD62" s="594"/>
      <c r="BE62" s="594"/>
      <c r="BF62" s="1517"/>
      <c r="BG62" s="598"/>
      <c r="BH62" s="598"/>
      <c r="BI62" s="537"/>
      <c r="BJ62" s="537"/>
      <c r="BK62" s="599"/>
      <c r="BL62" s="537"/>
      <c r="BM62" s="597"/>
      <c r="BN62" s="597"/>
    </row>
    <row r="63" spans="1:66" s="600" customFormat="1" x14ac:dyDescent="0.25">
      <c r="A63" s="220"/>
      <c r="B63" s="105"/>
      <c r="C63" s="105"/>
      <c r="D63" s="244"/>
      <c r="E63" s="244"/>
      <c r="F63" s="3"/>
      <c r="G63" s="3"/>
      <c r="H63" s="4"/>
      <c r="I63" s="4"/>
      <c r="J63" s="5"/>
      <c r="K63" s="5"/>
      <c r="L63" s="5"/>
      <c r="M63" s="5"/>
      <c r="N63" s="3"/>
      <c r="O63" s="3"/>
      <c r="P63" s="3"/>
      <c r="Q63" s="3"/>
      <c r="R63" s="3"/>
      <c r="S63" s="3"/>
      <c r="T63" s="3"/>
      <c r="U63" s="3"/>
      <c r="V63" s="3"/>
      <c r="W63" s="594"/>
      <c r="X63" s="594"/>
      <c r="Y63" s="594"/>
      <c r="Z63" s="595"/>
      <c r="AA63" s="595"/>
      <c r="AB63" s="596"/>
      <c r="AC63" s="596"/>
      <c r="AD63" s="594"/>
      <c r="AE63" s="597"/>
      <c r="AF63" s="581"/>
      <c r="AG63" s="581"/>
      <c r="AH63" s="581"/>
      <c r="AI63" s="581"/>
      <c r="AJ63" s="581"/>
      <c r="AK63" s="581"/>
      <c r="AL63" s="594"/>
      <c r="AM63" s="594"/>
      <c r="AN63" s="594"/>
      <c r="AO63" s="594"/>
      <c r="AP63" s="594"/>
      <c r="AQ63" s="594"/>
      <c r="AR63" s="594"/>
      <c r="AS63" s="594"/>
      <c r="AT63" s="594"/>
      <c r="AU63" s="594"/>
      <c r="AV63" s="594"/>
      <c r="AW63" s="594"/>
      <c r="AX63" s="594"/>
      <c r="AY63" s="594"/>
      <c r="AZ63" s="594"/>
      <c r="BA63" s="594"/>
      <c r="BB63" s="594"/>
      <c r="BC63" s="594"/>
      <c r="BD63" s="629"/>
      <c r="BE63" s="629"/>
      <c r="BF63" s="1517"/>
      <c r="BG63" s="598"/>
      <c r="BH63" s="598"/>
      <c r="BI63" s="537"/>
      <c r="BJ63" s="537"/>
      <c r="BK63" s="599"/>
      <c r="BL63" s="537"/>
      <c r="BM63" s="597"/>
      <c r="BN63" s="597"/>
    </row>
    <row r="64" spans="1:66" s="600" customFormat="1" x14ac:dyDescent="0.25">
      <c r="A64" s="220"/>
      <c r="B64" s="105"/>
      <c r="C64" s="105"/>
      <c r="D64" s="244"/>
      <c r="E64" s="244"/>
      <c r="F64" s="3"/>
      <c r="G64" s="3"/>
      <c r="H64" s="4"/>
      <c r="I64" s="4"/>
      <c r="J64" s="5"/>
      <c r="K64" s="5"/>
      <c r="L64" s="5"/>
      <c r="M64" s="5"/>
      <c r="N64" s="3"/>
      <c r="O64" s="3"/>
      <c r="P64" s="3"/>
      <c r="Q64" s="3"/>
      <c r="R64" s="3"/>
      <c r="S64" s="3"/>
      <c r="T64" s="3"/>
      <c r="U64" s="3"/>
      <c r="V64" s="3"/>
      <c r="W64" s="594"/>
      <c r="X64" s="594"/>
      <c r="Y64" s="594"/>
      <c r="Z64" s="595"/>
      <c r="AA64" s="595"/>
      <c r="AB64" s="596"/>
      <c r="AC64" s="596"/>
      <c r="AD64" s="594"/>
      <c r="AE64" s="597"/>
      <c r="AF64" s="3"/>
      <c r="AG64" s="3"/>
      <c r="AH64" s="3"/>
      <c r="AI64" s="3"/>
      <c r="AJ64" s="3"/>
      <c r="AK64" s="3"/>
      <c r="AL64" s="594"/>
      <c r="AM64" s="594"/>
      <c r="AN64" s="594"/>
      <c r="AO64" s="594"/>
      <c r="AP64" s="594"/>
      <c r="AQ64" s="594"/>
      <c r="AR64" s="594"/>
      <c r="AS64" s="594"/>
      <c r="AT64" s="594"/>
      <c r="AU64" s="594"/>
      <c r="AV64" s="594"/>
      <c r="AW64" s="594"/>
      <c r="AX64" s="594"/>
      <c r="AY64" s="594"/>
      <c r="AZ64" s="594"/>
      <c r="BA64" s="594"/>
      <c r="BB64" s="594"/>
      <c r="BC64" s="594"/>
      <c r="BD64" s="252"/>
      <c r="BE64" s="252"/>
      <c r="BF64" s="1513"/>
      <c r="BG64" s="598"/>
      <c r="BH64" s="598"/>
      <c r="BI64" s="537"/>
      <c r="BJ64" s="537"/>
      <c r="BK64" s="599"/>
      <c r="BL64" s="537"/>
      <c r="BM64" s="597"/>
      <c r="BN64" s="597"/>
    </row>
    <row r="65" spans="1:66" s="600" customFormat="1" x14ac:dyDescent="0.25">
      <c r="A65" s="220"/>
      <c r="B65" s="105"/>
      <c r="C65" s="105"/>
      <c r="D65" s="244"/>
      <c r="E65" s="244"/>
      <c r="F65" s="3"/>
      <c r="G65" s="3"/>
      <c r="H65" s="4"/>
      <c r="I65" s="4"/>
      <c r="J65" s="5"/>
      <c r="K65" s="5"/>
      <c r="L65" s="5"/>
      <c r="M65" s="5"/>
      <c r="N65" s="3"/>
      <c r="O65" s="3"/>
      <c r="P65" s="3"/>
      <c r="Q65" s="3"/>
      <c r="R65" s="3"/>
      <c r="S65" s="3"/>
      <c r="T65" s="3"/>
      <c r="U65" s="3"/>
      <c r="V65" s="3"/>
      <c r="W65" s="594"/>
      <c r="X65" s="594"/>
      <c r="Y65" s="594"/>
      <c r="Z65" s="595"/>
      <c r="AA65" s="595"/>
      <c r="AB65" s="596"/>
      <c r="AC65" s="596"/>
      <c r="AD65" s="594"/>
      <c r="AE65" s="597"/>
      <c r="AF65" s="3"/>
      <c r="AG65" s="3"/>
      <c r="AH65" s="3"/>
      <c r="AI65" s="3"/>
      <c r="AJ65" s="3"/>
      <c r="AK65" s="3"/>
      <c r="AL65" s="594"/>
      <c r="AM65" s="594"/>
      <c r="AN65" s="594"/>
      <c r="AO65" s="594"/>
      <c r="AP65" s="594"/>
      <c r="AQ65" s="594"/>
      <c r="AR65" s="594"/>
      <c r="AS65" s="594"/>
      <c r="AT65" s="594"/>
      <c r="AU65" s="594"/>
      <c r="AV65" s="594"/>
      <c r="AW65" s="594"/>
      <c r="AX65" s="594"/>
      <c r="AY65" s="594"/>
      <c r="AZ65" s="594"/>
      <c r="BA65" s="594"/>
      <c r="BB65" s="594"/>
      <c r="BC65" s="594"/>
      <c r="BD65" s="3"/>
      <c r="BE65" s="3"/>
      <c r="BF65" s="1513"/>
      <c r="BG65" s="598"/>
      <c r="BH65" s="598"/>
      <c r="BI65" s="537"/>
      <c r="BJ65" s="537"/>
      <c r="BK65" s="599"/>
      <c r="BL65" s="537"/>
      <c r="BM65" s="597"/>
      <c r="BN65" s="597"/>
    </row>
    <row r="66" spans="1:66" s="600" customFormat="1" x14ac:dyDescent="0.25">
      <c r="A66" s="220"/>
      <c r="B66" s="105"/>
      <c r="C66" s="105"/>
      <c r="D66" s="244"/>
      <c r="E66" s="244"/>
      <c r="F66" s="3"/>
      <c r="G66" s="3"/>
      <c r="H66" s="4"/>
      <c r="I66" s="4"/>
      <c r="J66" s="5"/>
      <c r="K66" s="5"/>
      <c r="L66" s="5"/>
      <c r="M66" s="5"/>
      <c r="N66" s="3"/>
      <c r="O66" s="3"/>
      <c r="P66" s="3"/>
      <c r="Q66" s="3"/>
      <c r="R66" s="3"/>
      <c r="S66" s="3"/>
      <c r="T66" s="3"/>
      <c r="U66" s="3"/>
      <c r="V66" s="3"/>
      <c r="W66" s="594"/>
      <c r="X66" s="594"/>
      <c r="Y66" s="594"/>
      <c r="Z66" s="595"/>
      <c r="AA66" s="595"/>
      <c r="AB66" s="596"/>
      <c r="AC66" s="596"/>
      <c r="AD66" s="594"/>
      <c r="AE66" s="597"/>
      <c r="AF66" s="3"/>
      <c r="AG66" s="3"/>
      <c r="AH66" s="3"/>
      <c r="AI66" s="3"/>
      <c r="AJ66" s="3"/>
      <c r="AK66" s="3"/>
      <c r="AL66" s="594"/>
      <c r="AM66" s="629"/>
      <c r="AN66" s="629"/>
      <c r="AO66" s="629"/>
      <c r="AP66" s="629"/>
      <c r="AQ66" s="594"/>
      <c r="AR66" s="594"/>
      <c r="AS66" s="594"/>
      <c r="AT66" s="594"/>
      <c r="AU66" s="594"/>
      <c r="AV66" s="594"/>
      <c r="AW66" s="594"/>
      <c r="AX66" s="594"/>
      <c r="AY66" s="594"/>
      <c r="AZ66" s="594"/>
      <c r="BA66" s="594"/>
      <c r="BB66" s="594"/>
      <c r="BC66" s="594"/>
      <c r="BD66" s="3"/>
      <c r="BE66" s="3"/>
      <c r="BF66" s="1513"/>
      <c r="BG66" s="598"/>
      <c r="BH66" s="598"/>
      <c r="BI66" s="537"/>
      <c r="BJ66" s="537"/>
      <c r="BK66" s="599"/>
      <c r="BL66" s="537"/>
      <c r="BM66" s="597"/>
      <c r="BN66" s="597"/>
    </row>
    <row r="67" spans="1:66" s="600" customFormat="1" x14ac:dyDescent="0.25">
      <c r="A67" s="220"/>
      <c r="B67" s="105"/>
      <c r="C67" s="105"/>
      <c r="D67" s="244"/>
      <c r="E67" s="244"/>
      <c r="F67" s="3"/>
      <c r="G67" s="3"/>
      <c r="H67" s="4"/>
      <c r="I67" s="4"/>
      <c r="J67" s="5"/>
      <c r="K67" s="5"/>
      <c r="L67" s="5"/>
      <c r="M67" s="5"/>
      <c r="N67" s="3"/>
      <c r="O67" s="3"/>
      <c r="P67" s="3"/>
      <c r="Q67" s="3"/>
      <c r="R67" s="3"/>
      <c r="S67" s="3"/>
      <c r="T67" s="3"/>
      <c r="U67" s="3"/>
      <c r="V67" s="3"/>
      <c r="W67" s="594"/>
      <c r="X67" s="594"/>
      <c r="Y67" s="594"/>
      <c r="Z67" s="595"/>
      <c r="AA67" s="595"/>
      <c r="AB67" s="596"/>
      <c r="AC67" s="596"/>
      <c r="AD67" s="594"/>
      <c r="AE67" s="597"/>
      <c r="AF67" s="3"/>
      <c r="AG67" s="3"/>
      <c r="AH67" s="3"/>
      <c r="AI67" s="3"/>
      <c r="AJ67" s="3"/>
      <c r="AK67" s="3"/>
      <c r="AL67" s="594"/>
      <c r="AM67" s="594"/>
      <c r="AN67" s="594"/>
      <c r="AO67" s="594"/>
      <c r="AP67" s="594"/>
      <c r="AQ67" s="629"/>
      <c r="AR67" s="594"/>
      <c r="AS67" s="594"/>
      <c r="AT67" s="594"/>
      <c r="AU67" s="594"/>
      <c r="AV67" s="594"/>
      <c r="AW67" s="629"/>
      <c r="AX67" s="629"/>
      <c r="AY67" s="629"/>
      <c r="AZ67" s="629"/>
      <c r="BA67" s="629"/>
      <c r="BB67" s="629"/>
      <c r="BC67" s="629"/>
      <c r="BD67" s="742"/>
      <c r="BE67" s="742"/>
      <c r="BF67" s="1518"/>
      <c r="BG67" s="598"/>
      <c r="BH67" s="598"/>
      <c r="BI67" s="537"/>
      <c r="BJ67" s="537"/>
      <c r="BK67" s="599"/>
      <c r="BL67" s="537"/>
      <c r="BM67" s="597"/>
      <c r="BN67" s="597"/>
    </row>
    <row r="68" spans="1:66" s="600" customFormat="1" x14ac:dyDescent="0.25">
      <c r="A68" s="220"/>
      <c r="B68" s="105"/>
      <c r="C68" s="105"/>
      <c r="D68" s="244"/>
      <c r="E68" s="244"/>
      <c r="F68" s="3"/>
      <c r="G68" s="3"/>
      <c r="H68" s="4"/>
      <c r="I68" s="4"/>
      <c r="J68" s="5"/>
      <c r="K68" s="5"/>
      <c r="L68" s="5"/>
      <c r="M68" s="5"/>
      <c r="N68" s="3"/>
      <c r="O68" s="3"/>
      <c r="P68" s="3"/>
      <c r="Q68" s="3"/>
      <c r="R68" s="3"/>
      <c r="S68" s="3"/>
      <c r="T68" s="3"/>
      <c r="U68" s="3"/>
      <c r="V68" s="3"/>
      <c r="W68" s="594"/>
      <c r="X68" s="594"/>
      <c r="Y68" s="594"/>
      <c r="Z68" s="595"/>
      <c r="AA68" s="595"/>
      <c r="AB68" s="596"/>
      <c r="AC68" s="596"/>
      <c r="AD68" s="594"/>
      <c r="AE68" s="597"/>
      <c r="AF68" s="3"/>
      <c r="AG68" s="3"/>
      <c r="AH68" s="3"/>
      <c r="AI68" s="3"/>
      <c r="AJ68" s="3"/>
      <c r="AK68" s="3"/>
      <c r="AL68" s="594"/>
      <c r="AM68" s="629"/>
      <c r="AN68" s="629"/>
      <c r="AO68" s="629"/>
      <c r="AP68" s="629"/>
      <c r="AQ68" s="594"/>
      <c r="AR68" s="629"/>
      <c r="AS68" s="629"/>
      <c r="AT68" s="629"/>
      <c r="AU68" s="629"/>
      <c r="AV68" s="629"/>
      <c r="AW68" s="594"/>
      <c r="AX68" s="594"/>
      <c r="AY68" s="594"/>
      <c r="AZ68" s="594"/>
      <c r="BA68" s="594"/>
      <c r="BB68" s="594"/>
      <c r="BC68" s="594"/>
      <c r="BD68" s="581"/>
      <c r="BE68" s="581"/>
      <c r="BF68" s="1514"/>
      <c r="BG68" s="634"/>
      <c r="BH68" s="598"/>
      <c r="BI68" s="537"/>
      <c r="BJ68" s="537"/>
      <c r="BK68" s="599"/>
      <c r="BL68" s="537"/>
      <c r="BM68" s="597"/>
      <c r="BN68" s="597"/>
    </row>
    <row r="69" spans="1:66" s="636" customFormat="1" x14ac:dyDescent="0.25">
      <c r="A69" s="220"/>
      <c r="B69" s="105"/>
      <c r="C69" s="105"/>
      <c r="D69" s="244"/>
      <c r="E69" s="244"/>
      <c r="F69" s="3"/>
      <c r="G69" s="3"/>
      <c r="H69" s="4"/>
      <c r="I69" s="4"/>
      <c r="J69" s="5"/>
      <c r="K69" s="5"/>
      <c r="L69" s="5"/>
      <c r="M69" s="5"/>
      <c r="N69" s="3"/>
      <c r="O69" s="3"/>
      <c r="P69" s="3"/>
      <c r="Q69" s="3"/>
      <c r="R69" s="3"/>
      <c r="S69" s="3"/>
      <c r="T69" s="3"/>
      <c r="U69" s="3"/>
      <c r="V69" s="3"/>
      <c r="W69" s="594"/>
      <c r="X69" s="594"/>
      <c r="Y69" s="629"/>
      <c r="Z69" s="630"/>
      <c r="AA69" s="630"/>
      <c r="AB69" s="631"/>
      <c r="AC69" s="631"/>
      <c r="AD69" s="629"/>
      <c r="AE69" s="632"/>
      <c r="AF69" s="252"/>
      <c r="AG69" s="252"/>
      <c r="AH69" s="252"/>
      <c r="AI69" s="252"/>
      <c r="AJ69" s="252"/>
      <c r="AK69" s="252"/>
      <c r="AL69" s="629"/>
      <c r="AM69" s="252"/>
      <c r="AN69" s="252"/>
      <c r="AO69" s="252"/>
      <c r="AP69" s="252"/>
      <c r="AQ69" s="629"/>
      <c r="AR69" s="594"/>
      <c r="AS69" s="594"/>
      <c r="AT69" s="594"/>
      <c r="AU69" s="594"/>
      <c r="AV69" s="594"/>
      <c r="AW69" s="629"/>
      <c r="AX69" s="629"/>
      <c r="AY69" s="629"/>
      <c r="AZ69" s="629"/>
      <c r="BA69" s="629"/>
      <c r="BB69" s="629"/>
      <c r="BC69" s="629"/>
      <c r="BD69" s="3"/>
      <c r="BE69" s="3"/>
      <c r="BF69" s="1513"/>
      <c r="BG69" s="598"/>
      <c r="BH69" s="634"/>
      <c r="BI69" s="633"/>
      <c r="BJ69" s="633"/>
      <c r="BK69" s="635"/>
      <c r="BL69" s="633"/>
      <c r="BM69" s="632"/>
      <c r="BN69" s="632"/>
    </row>
    <row r="70" spans="1:66" s="600" customFormat="1" x14ac:dyDescent="0.25">
      <c r="A70" s="220"/>
      <c r="B70" s="105"/>
      <c r="C70" s="105"/>
      <c r="D70" s="244"/>
      <c r="E70" s="244"/>
      <c r="F70" s="3"/>
      <c r="G70" s="3"/>
      <c r="H70" s="4"/>
      <c r="I70" s="4"/>
      <c r="J70" s="5"/>
      <c r="K70" s="5"/>
      <c r="L70" s="5"/>
      <c r="M70" s="5"/>
      <c r="N70" s="3"/>
      <c r="O70" s="3"/>
      <c r="P70" s="3"/>
      <c r="Q70" s="3"/>
      <c r="R70" s="3"/>
      <c r="S70" s="3"/>
      <c r="T70" s="3"/>
      <c r="U70" s="3"/>
      <c r="V70" s="3"/>
      <c r="W70" s="594"/>
      <c r="X70" s="594"/>
      <c r="Y70" s="594"/>
      <c r="Z70" s="595"/>
      <c r="AA70" s="595"/>
      <c r="AB70" s="596"/>
      <c r="AC70" s="596"/>
      <c r="AD70" s="594"/>
      <c r="AE70" s="597"/>
      <c r="AF70" s="3"/>
      <c r="AG70" s="3"/>
      <c r="AH70" s="3"/>
      <c r="AI70" s="3"/>
      <c r="AJ70" s="3"/>
      <c r="AK70" s="3"/>
      <c r="AL70" s="594"/>
      <c r="AM70" s="3"/>
      <c r="AN70" s="3"/>
      <c r="AO70" s="3"/>
      <c r="AP70" s="3"/>
      <c r="AQ70" s="252"/>
      <c r="AR70" s="629"/>
      <c r="AS70" s="629"/>
      <c r="AT70" s="629"/>
      <c r="AU70" s="629"/>
      <c r="AV70" s="629"/>
      <c r="AW70" s="252"/>
      <c r="AX70" s="252"/>
      <c r="AY70" s="252"/>
      <c r="AZ70" s="252"/>
      <c r="BA70" s="252"/>
      <c r="BB70" s="252"/>
      <c r="BC70" s="252"/>
      <c r="BD70" s="3"/>
      <c r="BE70" s="3"/>
      <c r="BF70" s="1513"/>
      <c r="BG70" s="634"/>
      <c r="BH70" s="598"/>
      <c r="BI70" s="537"/>
      <c r="BJ70" s="537"/>
      <c r="BK70" s="599"/>
      <c r="BL70" s="537"/>
      <c r="BM70" s="597"/>
      <c r="BN70" s="597"/>
    </row>
    <row r="71" spans="1:66" s="636" customFormat="1" x14ac:dyDescent="0.25">
      <c r="A71" s="220"/>
      <c r="B71" s="105"/>
      <c r="C71" s="105"/>
      <c r="D71" s="244"/>
      <c r="E71" s="244"/>
      <c r="F71" s="3"/>
      <c r="G71" s="3"/>
      <c r="H71" s="4"/>
      <c r="I71" s="4"/>
      <c r="J71" s="5"/>
      <c r="K71" s="5"/>
      <c r="L71" s="5"/>
      <c r="M71" s="5"/>
      <c r="N71" s="3"/>
      <c r="O71" s="3"/>
      <c r="P71" s="3"/>
      <c r="Q71" s="3"/>
      <c r="R71" s="3"/>
      <c r="S71" s="3"/>
      <c r="T71" s="3"/>
      <c r="U71" s="3"/>
      <c r="V71" s="3"/>
      <c r="W71" s="629"/>
      <c r="X71" s="629"/>
      <c r="Y71" s="629"/>
      <c r="Z71" s="630"/>
      <c r="AA71" s="630"/>
      <c r="AB71" s="631"/>
      <c r="AC71" s="631"/>
      <c r="AD71" s="629"/>
      <c r="AE71" s="632"/>
      <c r="AF71" s="252"/>
      <c r="AG71" s="252"/>
      <c r="AH71" s="252"/>
      <c r="AI71" s="252"/>
      <c r="AJ71" s="252"/>
      <c r="AK71" s="252"/>
      <c r="AL71" s="629"/>
      <c r="AM71" s="3"/>
      <c r="AN71" s="3"/>
      <c r="AO71" s="3"/>
      <c r="AP71" s="3"/>
      <c r="AQ71" s="3"/>
      <c r="AR71" s="252"/>
      <c r="AS71" s="252"/>
      <c r="AT71" s="252"/>
      <c r="AU71" s="252"/>
      <c r="AV71" s="252"/>
      <c r="AW71" s="3"/>
      <c r="AX71" s="3"/>
      <c r="AY71" s="3"/>
      <c r="AZ71" s="3"/>
      <c r="BA71" s="3"/>
      <c r="BB71" s="3"/>
      <c r="BC71" s="3"/>
      <c r="BD71" s="3"/>
      <c r="BE71" s="3"/>
      <c r="BF71" s="1513"/>
      <c r="BG71" s="588"/>
      <c r="BH71" s="634"/>
      <c r="BI71" s="633"/>
      <c r="BJ71" s="633"/>
      <c r="BK71" s="635"/>
      <c r="BL71" s="633"/>
      <c r="BM71" s="632"/>
      <c r="BN71" s="632"/>
    </row>
    <row r="72" spans="1:66" s="50" customFormat="1" ht="33.75" customHeight="1" x14ac:dyDescent="0.25">
      <c r="A72" s="220"/>
      <c r="B72" s="105"/>
      <c r="C72" s="105"/>
      <c r="D72" s="244"/>
      <c r="E72" s="244"/>
      <c r="F72" s="3"/>
      <c r="G72" s="3"/>
      <c r="H72" s="4"/>
      <c r="I72" s="4"/>
      <c r="J72" s="5"/>
      <c r="K72" s="5"/>
      <c r="L72" s="5"/>
      <c r="M72" s="5"/>
      <c r="N72" s="3"/>
      <c r="O72" s="3"/>
      <c r="P72" s="3"/>
      <c r="Q72" s="3"/>
      <c r="R72" s="3"/>
      <c r="S72" s="3"/>
      <c r="T72" s="3"/>
      <c r="U72" s="3"/>
      <c r="V72" s="3"/>
      <c r="W72" s="594"/>
      <c r="X72" s="594"/>
      <c r="Y72" s="252"/>
      <c r="Z72" s="522"/>
      <c r="AA72" s="522"/>
      <c r="AB72" s="251"/>
      <c r="AC72" s="251"/>
      <c r="AD72" s="252"/>
      <c r="AE72" s="253"/>
      <c r="AF72" s="252"/>
      <c r="AG72" s="252"/>
      <c r="AH72" s="252"/>
      <c r="AI72" s="252"/>
      <c r="AJ72" s="252"/>
      <c r="AK72" s="252"/>
      <c r="AL72" s="252"/>
      <c r="AM72" s="742"/>
      <c r="AN72" s="742"/>
      <c r="AO72" s="742"/>
      <c r="AP72" s="742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1513"/>
      <c r="BG72" s="468"/>
      <c r="BH72" s="588"/>
      <c r="BI72" s="587"/>
      <c r="BJ72" s="587"/>
      <c r="BK72" s="589"/>
      <c r="BL72" s="587"/>
      <c r="BM72" s="253"/>
      <c r="BN72" s="253"/>
    </row>
    <row r="73" spans="1:66" x14ac:dyDescent="0.25">
      <c r="W73" s="629"/>
      <c r="X73" s="629"/>
      <c r="Y73" s="3"/>
      <c r="Z73" s="523"/>
      <c r="AA73" s="523"/>
      <c r="AB73" s="5"/>
      <c r="AC73" s="5"/>
      <c r="AE73" s="61"/>
      <c r="AM73" s="581"/>
      <c r="AN73" s="581"/>
      <c r="AO73" s="581"/>
      <c r="AP73" s="581"/>
      <c r="AQ73" s="742"/>
      <c r="AW73" s="742"/>
      <c r="AX73" s="742"/>
      <c r="AY73" s="742"/>
      <c r="AZ73" s="742"/>
      <c r="BA73" s="742"/>
      <c r="BB73" s="742"/>
      <c r="BC73" s="742"/>
      <c r="BG73" s="468"/>
      <c r="BH73" s="468"/>
      <c r="BI73" s="6"/>
      <c r="BJ73" s="6"/>
      <c r="BK73" s="57"/>
      <c r="BM73" s="61"/>
      <c r="BN73" s="61"/>
    </row>
    <row r="74" spans="1:66" x14ac:dyDescent="0.25">
      <c r="W74" s="252"/>
      <c r="X74" s="252"/>
      <c r="Y74" s="3"/>
      <c r="Z74" s="523"/>
      <c r="AA74" s="523"/>
      <c r="AB74" s="5"/>
      <c r="AC74" s="5"/>
      <c r="AE74" s="61"/>
      <c r="AF74" s="252"/>
      <c r="AG74" s="252"/>
      <c r="AH74" s="252"/>
      <c r="AI74" s="252"/>
      <c r="AJ74" s="252"/>
      <c r="AK74" s="252"/>
      <c r="AQ74" s="581"/>
      <c r="AR74" s="742"/>
      <c r="AS74" s="742"/>
      <c r="AT74" s="742"/>
      <c r="AU74" s="742"/>
      <c r="AV74" s="742"/>
      <c r="AW74" s="581"/>
      <c r="AX74" s="581"/>
      <c r="AY74" s="581"/>
      <c r="AZ74" s="581"/>
      <c r="BA74" s="581"/>
      <c r="BB74" s="581"/>
      <c r="BC74" s="581"/>
      <c r="BD74" s="252"/>
      <c r="BE74" s="252"/>
      <c r="BG74" s="747"/>
      <c r="BH74" s="468"/>
      <c r="BI74" s="6"/>
      <c r="BJ74" s="6"/>
      <c r="BK74" s="57"/>
      <c r="BM74" s="61"/>
      <c r="BN74" s="61"/>
    </row>
    <row r="75" spans="1:66" s="749" customFormat="1" x14ac:dyDescent="0.25">
      <c r="A75" s="220"/>
      <c r="B75" s="105"/>
      <c r="C75" s="105"/>
      <c r="D75" s="244"/>
      <c r="E75" s="244"/>
      <c r="F75" s="3"/>
      <c r="G75" s="3"/>
      <c r="H75" s="4"/>
      <c r="I75" s="4"/>
      <c r="J75" s="5"/>
      <c r="K75" s="5"/>
      <c r="L75" s="5"/>
      <c r="M75" s="5"/>
      <c r="N75" s="3"/>
      <c r="O75" s="3"/>
      <c r="P75" s="3"/>
      <c r="Q75" s="3"/>
      <c r="R75" s="3"/>
      <c r="S75" s="3"/>
      <c r="T75" s="3"/>
      <c r="U75" s="3"/>
      <c r="V75" s="3"/>
      <c r="W75" s="1134"/>
      <c r="X75" s="3"/>
      <c r="Y75" s="742"/>
      <c r="Z75" s="743"/>
      <c r="AA75" s="743"/>
      <c r="AB75" s="744"/>
      <c r="AC75" s="744"/>
      <c r="AD75" s="742"/>
      <c r="AE75" s="745"/>
      <c r="AF75" s="3"/>
      <c r="AG75" s="3"/>
      <c r="AH75" s="3"/>
      <c r="AI75" s="3"/>
      <c r="AJ75" s="3"/>
      <c r="AK75" s="3"/>
      <c r="AL75" s="742"/>
      <c r="AM75" s="3"/>
      <c r="AN75" s="3"/>
      <c r="AO75" s="3"/>
      <c r="AP75" s="3"/>
      <c r="AQ75" s="3"/>
      <c r="AR75" s="581"/>
      <c r="AS75" s="581"/>
      <c r="AT75" s="581"/>
      <c r="AU75" s="581"/>
      <c r="AV75" s="581"/>
      <c r="AW75" s="3"/>
      <c r="AX75" s="3"/>
      <c r="AY75" s="3"/>
      <c r="AZ75" s="3"/>
      <c r="BA75" s="3"/>
      <c r="BB75" s="3"/>
      <c r="BC75" s="3"/>
      <c r="BD75" s="3"/>
      <c r="BE75" s="3"/>
      <c r="BF75" s="1513"/>
      <c r="BG75" s="585"/>
      <c r="BH75" s="747"/>
      <c r="BI75" s="746"/>
      <c r="BJ75" s="746"/>
      <c r="BK75" s="748"/>
      <c r="BL75" s="746"/>
      <c r="BM75" s="745"/>
      <c r="BN75" s="745"/>
    </row>
    <row r="76" spans="1:66" s="2" customFormat="1" ht="15.75" customHeight="1" x14ac:dyDescent="0.25">
      <c r="A76" s="220"/>
      <c r="B76" s="105"/>
      <c r="C76" s="105"/>
      <c r="D76" s="244"/>
      <c r="E76" s="244"/>
      <c r="F76" s="3"/>
      <c r="G76" s="3"/>
      <c r="H76" s="4"/>
      <c r="I76" s="4"/>
      <c r="J76" s="5"/>
      <c r="K76" s="5"/>
      <c r="L76" s="5"/>
      <c r="M76" s="5"/>
      <c r="N76" s="3"/>
      <c r="O76" s="3"/>
      <c r="P76" s="3"/>
      <c r="Q76" s="3"/>
      <c r="R76" s="3"/>
      <c r="S76" s="3"/>
      <c r="T76" s="3"/>
      <c r="U76" s="3"/>
      <c r="V76" s="3"/>
      <c r="W76" s="1133"/>
      <c r="X76" s="3"/>
      <c r="Y76" s="581"/>
      <c r="Z76" s="582"/>
      <c r="AA76" s="582"/>
      <c r="AB76" s="582"/>
      <c r="AC76" s="582"/>
      <c r="AD76" s="581"/>
      <c r="AE76" s="583"/>
      <c r="AF76" s="3"/>
      <c r="AG76" s="3"/>
      <c r="AH76" s="3"/>
      <c r="AI76" s="3"/>
      <c r="AJ76" s="3"/>
      <c r="AK76" s="3"/>
      <c r="AL76" s="581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252"/>
      <c r="BE76" s="252"/>
      <c r="BF76" s="1513"/>
      <c r="BG76" s="468"/>
      <c r="BH76" s="585"/>
      <c r="BI76" s="584"/>
      <c r="BJ76" s="584"/>
      <c r="BK76" s="586"/>
      <c r="BL76" s="584"/>
      <c r="BM76" s="583"/>
      <c r="BN76" s="583"/>
    </row>
    <row r="77" spans="1:66" x14ac:dyDescent="0.25">
      <c r="W77" s="749"/>
      <c r="X77" s="742"/>
      <c r="Y77" s="3"/>
      <c r="Z77" s="523"/>
      <c r="AA77" s="523"/>
      <c r="AB77" s="5"/>
      <c r="AC77" s="5"/>
      <c r="AE77" s="61"/>
      <c r="BD77" s="252"/>
      <c r="BE77" s="252"/>
      <c r="BG77" s="468"/>
      <c r="BH77" s="468"/>
      <c r="BI77" s="6"/>
      <c r="BJ77" s="6"/>
      <c r="BK77" s="57"/>
      <c r="BM77" s="61"/>
      <c r="BN77" s="61"/>
    </row>
    <row r="78" spans="1:66" x14ac:dyDescent="0.25">
      <c r="W78" s="2"/>
      <c r="X78" s="581"/>
      <c r="Y78" s="3"/>
      <c r="Z78" s="523"/>
      <c r="AA78" s="523"/>
      <c r="AB78" s="5"/>
      <c r="AC78" s="5"/>
      <c r="AE78" s="61"/>
      <c r="BG78" s="468"/>
      <c r="BH78" s="468"/>
      <c r="BI78" s="6"/>
      <c r="BJ78" s="6"/>
      <c r="BK78" s="57"/>
      <c r="BM78" s="61"/>
      <c r="BN78" s="61"/>
    </row>
    <row r="79" spans="1:66" x14ac:dyDescent="0.25">
      <c r="W79" s="3"/>
      <c r="X79" s="3"/>
      <c r="Y79" s="3"/>
      <c r="Z79" s="523"/>
      <c r="AA79" s="523"/>
      <c r="AB79" s="5"/>
      <c r="AC79" s="5"/>
      <c r="AE79" s="61"/>
      <c r="AM79" s="252"/>
      <c r="AN79" s="252"/>
      <c r="AO79" s="252"/>
      <c r="AP79" s="252"/>
      <c r="BD79" s="252"/>
      <c r="BE79" s="252"/>
      <c r="BG79" s="468"/>
      <c r="BH79" s="468"/>
      <c r="BI79" s="6"/>
      <c r="BJ79" s="6"/>
      <c r="BK79" s="57"/>
      <c r="BM79" s="61"/>
      <c r="BN79" s="61"/>
    </row>
    <row r="80" spans="1:66" x14ac:dyDescent="0.25">
      <c r="W80" s="3"/>
      <c r="X80" s="3"/>
      <c r="Y80" s="3"/>
      <c r="Z80" s="523"/>
      <c r="AA80" s="523"/>
      <c r="AB80" s="5"/>
      <c r="AC80" s="5"/>
      <c r="AE80" s="61"/>
      <c r="AQ80" s="252"/>
      <c r="AW80" s="252"/>
      <c r="AX80" s="252"/>
      <c r="AY80" s="252"/>
      <c r="AZ80" s="252"/>
      <c r="BA80" s="252"/>
      <c r="BB80" s="252"/>
      <c r="BC80" s="252"/>
      <c r="BG80" s="468"/>
      <c r="BH80" s="468"/>
      <c r="BI80" s="6"/>
      <c r="BJ80" s="6"/>
      <c r="BK80" s="57"/>
      <c r="BM80" s="61"/>
      <c r="BN80" s="61"/>
    </row>
    <row r="81" spans="1:66" x14ac:dyDescent="0.25">
      <c r="W81" s="3"/>
      <c r="X81" s="3"/>
      <c r="Y81" s="3"/>
      <c r="Z81" s="523"/>
      <c r="AA81" s="523"/>
      <c r="AB81" s="5"/>
      <c r="AC81" s="5"/>
      <c r="AE81" s="61"/>
      <c r="AM81" s="252"/>
      <c r="AN81" s="252"/>
      <c r="AO81" s="252"/>
      <c r="AP81" s="252"/>
      <c r="AR81" s="252"/>
      <c r="AS81" s="252"/>
      <c r="AT81" s="252"/>
      <c r="AU81" s="252"/>
      <c r="AV81" s="252"/>
      <c r="BG81" s="588"/>
      <c r="BH81" s="468"/>
      <c r="BI81" s="6"/>
      <c r="BJ81" s="6"/>
      <c r="BK81" s="57"/>
      <c r="BM81" s="61"/>
      <c r="BN81" s="61"/>
    </row>
    <row r="82" spans="1:66" s="50" customFormat="1" x14ac:dyDescent="0.25">
      <c r="A82" s="220"/>
      <c r="B82" s="105"/>
      <c r="C82" s="105"/>
      <c r="D82" s="244"/>
      <c r="E82" s="244"/>
      <c r="F82" s="3"/>
      <c r="G82" s="3"/>
      <c r="H82" s="4"/>
      <c r="I82" s="4"/>
      <c r="J82" s="5"/>
      <c r="K82" s="5"/>
      <c r="L82" s="5"/>
      <c r="M82" s="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252"/>
      <c r="Z82" s="522"/>
      <c r="AA82" s="522"/>
      <c r="AB82" s="251"/>
      <c r="AC82" s="251"/>
      <c r="AD82" s="252"/>
      <c r="AE82" s="253"/>
      <c r="AF82" s="3"/>
      <c r="AG82" s="3"/>
      <c r="AH82" s="3"/>
      <c r="AI82" s="3"/>
      <c r="AJ82" s="3"/>
      <c r="AK82" s="3"/>
      <c r="AL82" s="252"/>
      <c r="AM82" s="252"/>
      <c r="AN82" s="252"/>
      <c r="AO82" s="252"/>
      <c r="AP82" s="252"/>
      <c r="AQ82" s="252"/>
      <c r="AR82" s="3"/>
      <c r="AS82" s="3"/>
      <c r="AT82" s="3"/>
      <c r="AU82" s="3"/>
      <c r="AV82" s="3"/>
      <c r="AW82" s="252"/>
      <c r="AX82" s="252"/>
      <c r="AY82" s="252"/>
      <c r="AZ82" s="252"/>
      <c r="BA82" s="252"/>
      <c r="BB82" s="252"/>
      <c r="BC82" s="252"/>
      <c r="BD82" s="3"/>
      <c r="BE82" s="3"/>
      <c r="BF82" s="1513"/>
      <c r="BG82" s="468"/>
      <c r="BH82" s="588"/>
      <c r="BI82" s="587"/>
      <c r="BJ82" s="587"/>
      <c r="BK82" s="589"/>
      <c r="BL82" s="587"/>
      <c r="BM82" s="253"/>
      <c r="BN82" s="253"/>
    </row>
    <row r="83" spans="1:66" x14ac:dyDescent="0.25">
      <c r="W83" s="3"/>
      <c r="X83" s="3"/>
      <c r="Y83" s="3"/>
      <c r="Z83" s="523"/>
      <c r="AA83" s="523"/>
      <c r="AB83" s="5"/>
      <c r="AC83" s="5"/>
      <c r="AE83" s="61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G83" s="588"/>
      <c r="BH83" s="468"/>
      <c r="BI83" s="6"/>
      <c r="BJ83" s="6"/>
      <c r="BK83" s="57"/>
      <c r="BM83" s="61"/>
      <c r="BN83" s="61"/>
    </row>
    <row r="84" spans="1:66" s="50" customFormat="1" x14ac:dyDescent="0.25">
      <c r="A84" s="220"/>
      <c r="B84" s="105"/>
      <c r="C84" s="105"/>
      <c r="D84" s="244"/>
      <c r="E84" s="244"/>
      <c r="F84" s="3"/>
      <c r="G84" s="3"/>
      <c r="H84" s="4"/>
      <c r="I84" s="4"/>
      <c r="J84" s="5"/>
      <c r="K84" s="5"/>
      <c r="L84" s="5"/>
      <c r="M84" s="5"/>
      <c r="N84" s="3"/>
      <c r="O84" s="3"/>
      <c r="P84" s="3"/>
      <c r="Q84" s="3"/>
      <c r="R84" s="3"/>
      <c r="S84" s="3"/>
      <c r="T84" s="3"/>
      <c r="U84" s="3"/>
      <c r="V84" s="3"/>
      <c r="W84" s="252"/>
      <c r="X84" s="252"/>
      <c r="Y84" s="252"/>
      <c r="Z84" s="522"/>
      <c r="AA84" s="522"/>
      <c r="AB84" s="251"/>
      <c r="AC84" s="251"/>
      <c r="AD84" s="252"/>
      <c r="AE84" s="253"/>
      <c r="AF84" s="3"/>
      <c r="AG84" s="3"/>
      <c r="AH84" s="3"/>
      <c r="AI84" s="3"/>
      <c r="AJ84" s="3"/>
      <c r="AK84" s="3"/>
      <c r="AL84" s="252"/>
      <c r="AM84" s="252"/>
      <c r="AN84" s="252"/>
      <c r="AO84" s="252"/>
      <c r="AP84" s="252"/>
      <c r="AQ84" s="3"/>
      <c r="AR84" s="252"/>
      <c r="AS84" s="252"/>
      <c r="AT84" s="252"/>
      <c r="AU84" s="252"/>
      <c r="AV84" s="252"/>
      <c r="AW84" s="3"/>
      <c r="AX84" s="3"/>
      <c r="AY84" s="3"/>
      <c r="AZ84" s="3"/>
      <c r="BA84" s="3"/>
      <c r="BB84" s="3"/>
      <c r="BC84" s="3"/>
      <c r="BD84" s="3"/>
      <c r="BE84" s="3"/>
      <c r="BF84" s="1513"/>
      <c r="BG84" s="588"/>
      <c r="BH84" s="588"/>
      <c r="BI84" s="587"/>
      <c r="BJ84" s="587"/>
      <c r="BK84" s="589"/>
      <c r="BL84" s="587"/>
      <c r="BM84" s="253"/>
      <c r="BN84" s="253"/>
    </row>
    <row r="85" spans="1:66" s="50" customFormat="1" x14ac:dyDescent="0.25">
      <c r="A85" s="220"/>
      <c r="B85" s="105"/>
      <c r="C85" s="105"/>
      <c r="D85" s="244"/>
      <c r="E85" s="244"/>
      <c r="F85" s="3"/>
      <c r="G85" s="3"/>
      <c r="H85" s="4"/>
      <c r="I85" s="4"/>
      <c r="J85" s="5"/>
      <c r="K85" s="5"/>
      <c r="L85" s="5"/>
      <c r="M85" s="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52"/>
      <c r="Z85" s="522"/>
      <c r="AA85" s="522"/>
      <c r="AB85" s="251"/>
      <c r="AC85" s="251"/>
      <c r="AD85" s="252"/>
      <c r="AE85" s="253"/>
      <c r="AF85" s="3"/>
      <c r="AG85" s="3"/>
      <c r="AH85" s="3"/>
      <c r="AI85" s="3"/>
      <c r="AJ85" s="3"/>
      <c r="AK85" s="3"/>
      <c r="AL85" s="252"/>
      <c r="AM85" s="3"/>
      <c r="AN85" s="3"/>
      <c r="AO85" s="3"/>
      <c r="AP85" s="3"/>
      <c r="AQ85" s="252"/>
      <c r="AR85" s="3"/>
      <c r="AS85" s="3"/>
      <c r="AT85" s="3"/>
      <c r="AU85" s="3"/>
      <c r="AV85" s="3"/>
      <c r="AW85" s="252"/>
      <c r="AX85" s="252"/>
      <c r="AY85" s="252"/>
      <c r="AZ85" s="252"/>
      <c r="BA85" s="252"/>
      <c r="BB85" s="252"/>
      <c r="BC85" s="252"/>
      <c r="BD85" s="3"/>
      <c r="BE85" s="3"/>
      <c r="BF85" s="1513"/>
      <c r="BG85" s="6"/>
      <c r="BH85" s="588"/>
      <c r="BI85" s="587"/>
      <c r="BJ85" s="587"/>
      <c r="BK85" s="589"/>
      <c r="BL85" s="587"/>
      <c r="BM85" s="253"/>
      <c r="BN85" s="253"/>
    </row>
    <row r="86" spans="1:66" x14ac:dyDescent="0.25">
      <c r="W86" s="252"/>
      <c r="X86" s="252"/>
      <c r="AR86" s="252"/>
      <c r="AS86" s="252"/>
      <c r="AT86" s="252"/>
      <c r="AU86" s="252"/>
      <c r="AV86" s="252"/>
      <c r="BG86" s="588"/>
    </row>
    <row r="87" spans="1:66" s="50" customFormat="1" ht="33.75" customHeight="1" x14ac:dyDescent="0.25">
      <c r="A87" s="220"/>
      <c r="B87" s="105"/>
      <c r="C87" s="105"/>
      <c r="D87" s="244"/>
      <c r="E87" s="244"/>
      <c r="F87" s="3"/>
      <c r="G87" s="3"/>
      <c r="H87" s="4"/>
      <c r="I87" s="4"/>
      <c r="J87" s="5"/>
      <c r="K87" s="5"/>
      <c r="L87" s="5"/>
      <c r="M87" s="5"/>
      <c r="N87" s="3"/>
      <c r="O87" s="3"/>
      <c r="P87" s="3"/>
      <c r="Q87" s="3"/>
      <c r="R87" s="3"/>
      <c r="S87" s="3"/>
      <c r="T87" s="3"/>
      <c r="U87" s="3"/>
      <c r="V87" s="3"/>
      <c r="W87" s="252"/>
      <c r="X87" s="252"/>
      <c r="Y87" s="522"/>
      <c r="Z87" s="251"/>
      <c r="AA87" s="251"/>
      <c r="AB87" s="251"/>
      <c r="AC87" s="252"/>
      <c r="AD87" s="253"/>
      <c r="AE87" s="252"/>
      <c r="AF87" s="3"/>
      <c r="AG87" s="3"/>
      <c r="AH87" s="3"/>
      <c r="AI87" s="3"/>
      <c r="AJ87" s="3"/>
      <c r="AK87" s="3"/>
      <c r="AL87" s="252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1513"/>
      <c r="BG87" s="468"/>
      <c r="BH87" s="587"/>
      <c r="BI87" s="587"/>
      <c r="BJ87" s="589"/>
      <c r="BK87" s="590"/>
      <c r="BL87" s="587"/>
      <c r="BM87" s="253"/>
    </row>
    <row r="88" spans="1:66" x14ac:dyDescent="0.25">
      <c r="Y88" s="523"/>
      <c r="AB88" s="5"/>
      <c r="AC88" s="3"/>
      <c r="AD88" s="61"/>
      <c r="BG88" s="468"/>
      <c r="BI88" s="6"/>
      <c r="BJ88" s="57"/>
      <c r="BK88" s="4"/>
      <c r="BM88" s="61"/>
    </row>
    <row r="89" spans="1:66" x14ac:dyDescent="0.25">
      <c r="W89" s="252"/>
      <c r="X89" s="252"/>
      <c r="Y89" s="523"/>
      <c r="AB89" s="5"/>
      <c r="AC89" s="3"/>
      <c r="AD89" s="61"/>
      <c r="BI89" s="6"/>
      <c r="BJ89" s="57"/>
      <c r="BK89" s="4"/>
      <c r="BM89" s="61"/>
    </row>
    <row r="90" spans="1:66" x14ac:dyDescent="0.25">
      <c r="W90" s="3"/>
      <c r="X90" s="3"/>
    </row>
    <row r="91" spans="1:66" x14ac:dyDescent="0.25">
      <c r="W91" s="3"/>
      <c r="X91" s="3"/>
    </row>
  </sheetData>
  <sortState ref="A4:BJ27">
    <sortCondition ref="AN4:AN27"/>
    <sortCondition ref="F4:F27"/>
  </sortState>
  <mergeCells count="53">
    <mergeCell ref="P47:Q47"/>
    <mergeCell ref="R47:S47"/>
    <mergeCell ref="P48:Q48"/>
    <mergeCell ref="R48:S48"/>
    <mergeCell ref="P49:Q49"/>
    <mergeCell ref="R49:S49"/>
    <mergeCell ref="O44:X44"/>
    <mergeCell ref="O45:O46"/>
    <mergeCell ref="P45:Q46"/>
    <mergeCell ref="R45:S46"/>
    <mergeCell ref="T45:T46"/>
    <mergeCell ref="U45:U46"/>
    <mergeCell ref="X45:X46"/>
    <mergeCell ref="V46:W46"/>
    <mergeCell ref="X38:X39"/>
    <mergeCell ref="O37:X37"/>
    <mergeCell ref="P41:Q41"/>
    <mergeCell ref="R41:S41"/>
    <mergeCell ref="P42:Q42"/>
    <mergeCell ref="R42:S42"/>
    <mergeCell ref="P40:Q40"/>
    <mergeCell ref="O38:O39"/>
    <mergeCell ref="P38:Q39"/>
    <mergeCell ref="U38:U39"/>
    <mergeCell ref="R40:S40"/>
    <mergeCell ref="R38:S39"/>
    <mergeCell ref="T38:T39"/>
    <mergeCell ref="V39:W39"/>
    <mergeCell ref="D2:E2"/>
    <mergeCell ref="W2:AB2"/>
    <mergeCell ref="AF29:AG29"/>
    <mergeCell ref="W29:X29"/>
    <mergeCell ref="O35:Q35"/>
    <mergeCell ref="P34:Q34"/>
    <mergeCell ref="O29:V29"/>
    <mergeCell ref="W28:X28"/>
    <mergeCell ref="AM29:AP30"/>
    <mergeCell ref="AM31:AP31"/>
    <mergeCell ref="O30:O31"/>
    <mergeCell ref="P32:Q32"/>
    <mergeCell ref="P33:Q33"/>
    <mergeCell ref="U31:X31"/>
    <mergeCell ref="AD32:AE32"/>
    <mergeCell ref="AD33:AE33"/>
    <mergeCell ref="P30:Q31"/>
    <mergeCell ref="R30:R31"/>
    <mergeCell ref="S30:S31"/>
    <mergeCell ref="T30:T31"/>
    <mergeCell ref="AR34:AT34"/>
    <mergeCell ref="AR35:AT35"/>
    <mergeCell ref="AR36:AT36"/>
    <mergeCell ref="AR37:AT37"/>
    <mergeCell ref="AR33:AW33"/>
  </mergeCells>
  <conditionalFormatting sqref="J17:K18 J4:K4 J25:K25 J3 J27:K27 J26 J7:K8 J5:J6 J9:J13">
    <cfRule type="cellIs" dxfId="404" priority="271" operator="between">
      <formula>150000</formula>
      <formula>299999</formula>
    </cfRule>
    <cfRule type="cellIs" dxfId="403" priority="272" operator="between">
      <formula>300000</formula>
      <formula>449999</formula>
    </cfRule>
    <cfRule type="cellIs" dxfId="402" priority="273" operator="greaterThan">
      <formula>450000</formula>
    </cfRule>
  </conditionalFormatting>
  <conditionalFormatting sqref="Y27 Y11 Y20:Y25 Y13:Y18">
    <cfRule type="cellIs" dxfId="401" priority="216" operator="lessThanOrEqual">
      <formula>J11</formula>
    </cfRule>
    <cfRule type="cellIs" dxfId="400" priority="217" operator="between">
      <formula>J11+M11</formula>
      <formula>J11+1</formula>
    </cfRule>
  </conditionalFormatting>
  <conditionalFormatting sqref="Y26">
    <cfRule type="cellIs" dxfId="399" priority="214" operator="lessThanOrEqual">
      <formula>J26</formula>
    </cfRule>
    <cfRule type="cellIs" dxfId="398" priority="215" operator="between">
      <formula>J26+M26</formula>
      <formula>J26+1</formula>
    </cfRule>
  </conditionalFormatting>
  <conditionalFormatting sqref="Y7">
    <cfRule type="cellIs" dxfId="397" priority="186" operator="lessThanOrEqual">
      <formula>J7</formula>
    </cfRule>
    <cfRule type="cellIs" dxfId="396" priority="187" operator="between">
      <formula>J7+M7</formula>
      <formula>J7+1</formula>
    </cfRule>
  </conditionalFormatting>
  <conditionalFormatting sqref="J14:K18">
    <cfRule type="cellIs" dxfId="395" priority="281" operator="between">
      <formula>150000</formula>
      <formula>299999</formula>
    </cfRule>
    <cfRule type="cellIs" dxfId="394" priority="282" operator="between">
      <formula>300000</formula>
      <formula>449999</formula>
    </cfRule>
    <cfRule type="cellIs" dxfId="393" priority="283" operator="greaterThan">
      <formula>450000</formula>
    </cfRule>
  </conditionalFormatting>
  <conditionalFormatting sqref="Y10">
    <cfRule type="cellIs" dxfId="392" priority="172" operator="lessThanOrEqual">
      <formula>J10</formula>
    </cfRule>
    <cfRule type="cellIs" dxfId="391" priority="173" operator="between">
      <formula>J10+M10</formula>
      <formula>J10+1</formula>
    </cfRule>
  </conditionalFormatting>
  <conditionalFormatting sqref="Y5:Y6">
    <cfRule type="cellIs" dxfId="390" priority="162" operator="lessThanOrEqual">
      <formula>J5</formula>
    </cfRule>
    <cfRule type="cellIs" dxfId="389" priority="163" operator="between">
      <formula>J5+M5</formula>
      <formula>J5+1</formula>
    </cfRule>
  </conditionalFormatting>
  <conditionalFormatting sqref="H25:H27 H3:H18">
    <cfRule type="cellIs" dxfId="388" priority="406" operator="between">
      <formula>6</formula>
      <formula>$H$29</formula>
    </cfRule>
    <cfRule type="cellIs" dxfId="387" priority="407" operator="between">
      <formula>$H$29+0.01</formula>
      <formula>$H$28</formula>
    </cfRule>
    <cfRule type="cellIs" dxfId="386" priority="408" operator="greaterThan">
      <formula>$H$28+0.01</formula>
    </cfRule>
  </conditionalFormatting>
  <conditionalFormatting sqref="J20:K24">
    <cfRule type="cellIs" dxfId="385" priority="145" operator="between">
      <formula>150000</formula>
      <formula>299999</formula>
    </cfRule>
    <cfRule type="cellIs" dxfId="384" priority="146" operator="between">
      <formula>300000</formula>
      <formula>449999</formula>
    </cfRule>
    <cfRule type="cellIs" dxfId="383" priority="147" operator="greaterThan">
      <formula>450000</formula>
    </cfRule>
  </conditionalFormatting>
  <conditionalFormatting sqref="J20:K24">
    <cfRule type="cellIs" dxfId="382" priority="148" operator="between">
      <formula>150000</formula>
      <formula>299999</formula>
    </cfRule>
    <cfRule type="cellIs" dxfId="381" priority="149" operator="between">
      <formula>300000</formula>
      <formula>449999</formula>
    </cfRule>
    <cfRule type="cellIs" dxfId="380" priority="150" operator="greaterThan">
      <formula>450000</formula>
    </cfRule>
  </conditionalFormatting>
  <conditionalFormatting sqref="H20:H24">
    <cfRule type="cellIs" dxfId="379" priority="153" operator="between">
      <formula>6</formula>
      <formula>$H$29</formula>
    </cfRule>
    <cfRule type="cellIs" dxfId="378" priority="154" operator="between">
      <formula>$H$29+0.01</formula>
      <formula>$H$28</formula>
    </cfRule>
    <cfRule type="cellIs" dxfId="377" priority="155" operator="greaterThan">
      <formula>$H$28+0.01</formula>
    </cfRule>
  </conditionalFormatting>
  <conditionalFormatting sqref="Y9">
    <cfRule type="cellIs" dxfId="376" priority="140" operator="lessThanOrEqual">
      <formula>J9</formula>
    </cfRule>
    <cfRule type="cellIs" dxfId="375" priority="141" operator="between">
      <formula>J9+M9</formula>
      <formula>J9+1</formula>
    </cfRule>
  </conditionalFormatting>
  <conditionalFormatting sqref="AB9:AB11 N20:V21 N25:V27 N22:U24 AB13:AB18 AB5:AB7 N5:V18 AB20:AB27">
    <cfRule type="cellIs" dxfId="374" priority="291" operator="between">
      <formula>TODAY()</formula>
      <formula>TODAY()+30</formula>
    </cfRule>
    <cfRule type="cellIs" dxfId="373" priority="292" operator="lessThanOrEqual">
      <formula>TODAY()</formula>
    </cfRule>
  </conditionalFormatting>
  <conditionalFormatting sqref="Y12">
    <cfRule type="cellIs" dxfId="372" priority="138" operator="lessThanOrEqual">
      <formula>J12</formula>
    </cfRule>
    <cfRule type="cellIs" dxfId="371" priority="139" operator="between">
      <formula>J12+M12</formula>
      <formula>J12+1</formula>
    </cfRule>
  </conditionalFormatting>
  <conditionalFormatting sqref="AB12">
    <cfRule type="cellIs" dxfId="370" priority="136" operator="between">
      <formula>TODAY()</formula>
      <formula>TODAY()+30</formula>
    </cfRule>
    <cfRule type="cellIs" dxfId="369" priority="137" operator="lessThanOrEqual">
      <formula>TODAY()</formula>
    </cfRule>
  </conditionalFormatting>
  <conditionalFormatting sqref="M3 M5:M18 M20:M26">
    <cfRule type="cellIs" dxfId="368" priority="439" operator="greaterThan">
      <formula>$M$4</formula>
    </cfRule>
  </conditionalFormatting>
  <conditionalFormatting sqref="BD22:BD24">
    <cfRule type="cellIs" dxfId="367" priority="12" operator="greaterThan">
      <formula>$AE$22</formula>
    </cfRule>
    <cfRule type="cellIs" dxfId="366" priority="135" operator="lessThan">
      <formula>$AE$21</formula>
    </cfRule>
  </conditionalFormatting>
  <conditionalFormatting sqref="BD20">
    <cfRule type="cellIs" dxfId="365" priority="132" operator="greaterThan">
      <formula>$AE$20</formula>
    </cfRule>
    <cfRule type="cellIs" dxfId="364" priority="133" operator="lessThan">
      <formula>$AE$20</formula>
    </cfRule>
  </conditionalFormatting>
  <conditionalFormatting sqref="BD18">
    <cfRule type="cellIs" dxfId="363" priority="128" operator="greaterThan">
      <formula>$AE$18</formula>
    </cfRule>
    <cfRule type="cellIs" dxfId="362" priority="129" operator="lessThan">
      <formula>$AE$18</formula>
    </cfRule>
  </conditionalFormatting>
  <conditionalFormatting sqref="BD3">
    <cfRule type="cellIs" dxfId="361" priority="92" operator="greaterThan">
      <formula>$AE$3</formula>
    </cfRule>
    <cfRule type="cellIs" dxfId="360" priority="93" operator="lessThan">
      <formula>$AE$3</formula>
    </cfRule>
  </conditionalFormatting>
  <conditionalFormatting sqref="BD17">
    <cfRule type="cellIs" dxfId="359" priority="90" operator="greaterThan">
      <formula>$AE$17</formula>
    </cfRule>
    <cfRule type="cellIs" dxfId="358" priority="91" operator="lessThan">
      <formula>$AE$17</formula>
    </cfRule>
  </conditionalFormatting>
  <conditionalFormatting sqref="BD16">
    <cfRule type="cellIs" dxfId="357" priority="86" operator="greaterThan">
      <formula>$AE$16</formula>
    </cfRule>
    <cfRule type="cellIs" dxfId="356" priority="87" operator="lessThan">
      <formula>$AE$16</formula>
    </cfRule>
  </conditionalFormatting>
  <conditionalFormatting sqref="BC31">
    <cfRule type="cellIs" dxfId="355" priority="84" operator="notEqual">
      <formula>$AM$31</formula>
    </cfRule>
    <cfRule type="cellIs" dxfId="354" priority="85" operator="equal">
      <formula>$AM$31</formula>
    </cfRule>
  </conditionalFormatting>
  <conditionalFormatting sqref="BD15">
    <cfRule type="cellIs" dxfId="353" priority="82" operator="greaterThan">
      <formula>$AE$15</formula>
    </cfRule>
    <cfRule type="cellIs" dxfId="352" priority="83" operator="lessThan">
      <formula>$AE$15</formula>
    </cfRule>
  </conditionalFormatting>
  <conditionalFormatting sqref="BD14">
    <cfRule type="cellIs" dxfId="351" priority="80" operator="greaterThan">
      <formula>$AE$14</formula>
    </cfRule>
    <cfRule type="cellIs" dxfId="350" priority="81" operator="lessThan">
      <formula>$AE$14</formula>
    </cfRule>
  </conditionalFormatting>
  <conditionalFormatting sqref="K13">
    <cfRule type="cellIs" dxfId="349" priority="77" operator="between">
      <formula>150000</formula>
      <formula>299999</formula>
    </cfRule>
    <cfRule type="cellIs" dxfId="348" priority="78" operator="between">
      <formula>300000</formula>
      <formula>449999</formula>
    </cfRule>
    <cfRule type="cellIs" dxfId="347" priority="79" operator="greaterThan">
      <formula>450000</formula>
    </cfRule>
  </conditionalFormatting>
  <conditionalFormatting sqref="BD13">
    <cfRule type="cellIs" dxfId="346" priority="75" operator="greaterThan">
      <formula>$AE$13</formula>
    </cfRule>
    <cfRule type="cellIs" dxfId="345" priority="76" operator="lessThan">
      <formula>$AE$13</formula>
    </cfRule>
  </conditionalFormatting>
  <conditionalFormatting sqref="K10">
    <cfRule type="cellIs" dxfId="344" priority="72" operator="between">
      <formula>150000</formula>
      <formula>299999</formula>
    </cfRule>
    <cfRule type="cellIs" dxfId="343" priority="73" operator="between">
      <formula>300000</formula>
      <formula>449999</formula>
    </cfRule>
    <cfRule type="cellIs" dxfId="342" priority="74" operator="greaterThan">
      <formula>450000</formula>
    </cfRule>
  </conditionalFormatting>
  <conditionalFormatting sqref="BD10:BD11">
    <cfRule type="cellIs" dxfId="341" priority="70" operator="greaterThan">
      <formula>$AE$11</formula>
    </cfRule>
    <cfRule type="cellIs" dxfId="340" priority="71" operator="lessThan">
      <formula>$AE$11</formula>
    </cfRule>
  </conditionalFormatting>
  <conditionalFormatting sqref="K11">
    <cfRule type="cellIs" dxfId="339" priority="67" operator="between">
      <formula>150000</formula>
      <formula>299999</formula>
    </cfRule>
    <cfRule type="cellIs" dxfId="338" priority="68" operator="between">
      <formula>300000</formula>
      <formula>449999</formula>
    </cfRule>
    <cfRule type="cellIs" dxfId="337" priority="69" operator="greaterThan">
      <formula>450000</formula>
    </cfRule>
  </conditionalFormatting>
  <conditionalFormatting sqref="K9">
    <cfRule type="cellIs" dxfId="336" priority="64" operator="between">
      <formula>150000</formula>
      <formula>299999</formula>
    </cfRule>
    <cfRule type="cellIs" dxfId="335" priority="65" operator="between">
      <formula>300000</formula>
      <formula>449999</formula>
    </cfRule>
    <cfRule type="cellIs" dxfId="334" priority="66" operator="greaterThan">
      <formula>450000</formula>
    </cfRule>
  </conditionalFormatting>
  <conditionalFormatting sqref="BD9">
    <cfRule type="cellIs" dxfId="333" priority="62" operator="greaterThan">
      <formula>$AE$9</formula>
    </cfRule>
    <cfRule type="cellIs" dxfId="332" priority="63" operator="lessThan">
      <formula>$AE$9</formula>
    </cfRule>
  </conditionalFormatting>
  <conditionalFormatting sqref="K26">
    <cfRule type="cellIs" dxfId="331" priority="59" operator="between">
      <formula>150000</formula>
      <formula>299999</formula>
    </cfRule>
    <cfRule type="cellIs" dxfId="330" priority="60" operator="between">
      <formula>300000</formula>
      <formula>449999</formula>
    </cfRule>
    <cfRule type="cellIs" dxfId="329" priority="61" operator="greaterThan">
      <formula>450000</formula>
    </cfRule>
  </conditionalFormatting>
  <conditionalFormatting sqref="BD26">
    <cfRule type="cellIs" dxfId="328" priority="57" operator="greaterThan">
      <formula>$AE$26</formula>
    </cfRule>
    <cfRule type="cellIs" dxfId="327" priority="58" operator="lessThan">
      <formula>$AE$26</formula>
    </cfRule>
  </conditionalFormatting>
  <conditionalFormatting sqref="K6">
    <cfRule type="cellIs" dxfId="326" priority="54" operator="between">
      <formula>150000</formula>
      <formula>299999</formula>
    </cfRule>
    <cfRule type="cellIs" dxfId="325" priority="55" operator="between">
      <formula>300000</formula>
      <formula>449999</formula>
    </cfRule>
    <cfRule type="cellIs" dxfId="324" priority="56" operator="greaterThan">
      <formula>450000</formula>
    </cfRule>
  </conditionalFormatting>
  <conditionalFormatting sqref="BD6">
    <cfRule type="cellIs" dxfId="323" priority="52" operator="greaterThan">
      <formula>$AE$6</formula>
    </cfRule>
    <cfRule type="cellIs" dxfId="322" priority="53" operator="lessThan">
      <formula>$AE$6</formula>
    </cfRule>
  </conditionalFormatting>
  <conditionalFormatting sqref="K5">
    <cfRule type="cellIs" dxfId="321" priority="49" operator="between">
      <formula>150000</formula>
      <formula>299999</formula>
    </cfRule>
    <cfRule type="cellIs" dxfId="320" priority="50" operator="between">
      <formula>300000</formula>
      <formula>449999</formula>
    </cfRule>
    <cfRule type="cellIs" dxfId="319" priority="51" operator="greaterThan">
      <formula>450000</formula>
    </cfRule>
  </conditionalFormatting>
  <conditionalFormatting sqref="BD5">
    <cfRule type="cellIs" dxfId="318" priority="47" operator="greaterThan">
      <formula>$AE$5</formula>
    </cfRule>
    <cfRule type="cellIs" dxfId="317" priority="48" operator="lessThan">
      <formula>$AE$5</formula>
    </cfRule>
  </conditionalFormatting>
  <conditionalFormatting sqref="K12">
    <cfRule type="cellIs" dxfId="316" priority="44" operator="between">
      <formula>150000</formula>
      <formula>299999</formula>
    </cfRule>
    <cfRule type="cellIs" dxfId="315" priority="45" operator="between">
      <formula>300000</formula>
      <formula>449999</formula>
    </cfRule>
    <cfRule type="cellIs" dxfId="314" priority="46" operator="greaterThan">
      <formula>450000</formula>
    </cfRule>
  </conditionalFormatting>
  <conditionalFormatting sqref="BD12">
    <cfRule type="cellIs" dxfId="313" priority="42" operator="greaterThan">
      <formula>$AE$12</formula>
    </cfRule>
    <cfRule type="cellIs" dxfId="312" priority="43" operator="lessThan">
      <formula>$AE$12</formula>
    </cfRule>
  </conditionalFormatting>
  <conditionalFormatting sqref="BD8">
    <cfRule type="cellIs" dxfId="311" priority="40" operator="greaterThan">
      <formula>$AD$8</formula>
    </cfRule>
    <cfRule type="cellIs" dxfId="310" priority="41" operator="lessThan">
      <formula>$AD$8</formula>
    </cfRule>
  </conditionalFormatting>
  <conditionalFormatting sqref="J19:K19">
    <cfRule type="cellIs" dxfId="309" priority="31" operator="between">
      <formula>150000</formula>
      <formula>299999</formula>
    </cfRule>
    <cfRule type="cellIs" dxfId="308" priority="32" operator="between">
      <formula>300000</formula>
      <formula>449999</formula>
    </cfRule>
    <cfRule type="cellIs" dxfId="307" priority="33" operator="greaterThan">
      <formula>450000</formula>
    </cfRule>
  </conditionalFormatting>
  <conditionalFormatting sqref="H19">
    <cfRule type="cellIs" dxfId="306" priority="36" operator="between">
      <formula>6</formula>
      <formula>$H$29</formula>
    </cfRule>
    <cfRule type="cellIs" dxfId="305" priority="37" operator="between">
      <formula>$H$29+0.01</formula>
      <formula>$H$28</formula>
    </cfRule>
    <cfRule type="cellIs" dxfId="304" priority="38" operator="greaterThan">
      <formula>$H$28+0.01</formula>
    </cfRule>
  </conditionalFormatting>
  <conditionalFormatting sqref="N19:V19">
    <cfRule type="cellIs" dxfId="303" priority="34" operator="between">
      <formula>TODAY()</formula>
      <formula>TODAY()+30</formula>
    </cfRule>
    <cfRule type="cellIs" dxfId="302" priority="35" operator="lessThanOrEqual">
      <formula>TODAY()</formula>
    </cfRule>
  </conditionalFormatting>
  <conditionalFormatting sqref="M19">
    <cfRule type="cellIs" dxfId="301" priority="39" operator="greaterThan">
      <formula>$M$4</formula>
    </cfRule>
  </conditionalFormatting>
  <conditionalFormatting sqref="BD19">
    <cfRule type="cellIs" dxfId="300" priority="29" operator="greaterThan">
      <formula>$AD$19</formula>
    </cfRule>
    <cfRule type="cellIs" dxfId="299" priority="30" operator="lessThan">
      <formula>$AD$19</formula>
    </cfRule>
  </conditionalFormatting>
  <conditionalFormatting sqref="W34 W36">
    <cfRule type="cellIs" dxfId="298" priority="25" operator="greaterThan">
      <formula>100</formula>
    </cfRule>
    <cfRule type="cellIs" dxfId="297" priority="26" operator="lessThan">
      <formula>-100</formula>
    </cfRule>
  </conditionalFormatting>
  <conditionalFormatting sqref="BD21">
    <cfRule type="cellIs" dxfId="296" priority="19" operator="lessThan">
      <formula>$AE$21</formula>
    </cfRule>
    <cfRule type="cellIs" dxfId="295" priority="20" operator="greaterThan">
      <formula>$AE$21</formula>
    </cfRule>
  </conditionalFormatting>
  <conditionalFormatting sqref="BE3 BE26 BE8:BE24 BE5:BE6">
    <cfRule type="cellIs" dxfId="294" priority="27" operator="lessThan">
      <formula>0.001</formula>
    </cfRule>
    <cfRule type="cellIs" dxfId="293" priority="28" operator="greaterThan">
      <formula>0.001</formula>
    </cfRule>
  </conditionalFormatting>
  <conditionalFormatting sqref="W35">
    <cfRule type="cellIs" dxfId="292" priority="4" operator="between">
      <formula>-1999</formula>
      <formula>0</formula>
    </cfRule>
    <cfRule type="cellIs" dxfId="291" priority="17" operator="greaterThanOrEqual">
      <formula>1</formula>
    </cfRule>
    <cfRule type="cellIs" dxfId="290" priority="18" operator="lessThan">
      <formula>-2000</formula>
    </cfRule>
  </conditionalFormatting>
  <conditionalFormatting sqref="W40">
    <cfRule type="cellIs" dxfId="289" priority="15" operator="greaterThan">
      <formula>100</formula>
    </cfRule>
    <cfRule type="cellIs" dxfId="288" priority="16" operator="lessThan">
      <formula>-2000</formula>
    </cfRule>
  </conditionalFormatting>
  <conditionalFormatting sqref="W41:W42">
    <cfRule type="cellIs" dxfId="287" priority="13" operator="greaterThan">
      <formula>100</formula>
    </cfRule>
    <cfRule type="cellIs" dxfId="286" priority="14" operator="lessThan">
      <formula>-2000</formula>
    </cfRule>
  </conditionalFormatting>
  <conditionalFormatting sqref="W49">
    <cfRule type="cellIs" dxfId="285" priority="8" operator="greaterThan">
      <formula>100</formula>
    </cfRule>
    <cfRule type="cellIs" dxfId="284" priority="9" operator="lessThan">
      <formula>-1000</formula>
    </cfRule>
  </conditionalFormatting>
  <conditionalFormatting sqref="W40:W41">
    <cfRule type="cellIs" dxfId="283" priority="6" operator="between">
      <formula>-1999</formula>
      <formula>99</formula>
    </cfRule>
  </conditionalFormatting>
  <conditionalFormatting sqref="W47:W48">
    <cfRule type="cellIs" dxfId="282" priority="1" operator="greaterThan">
      <formula>-99</formula>
    </cfRule>
    <cfRule type="cellIs" dxfId="281" priority="2" operator="between">
      <formula>-999</formula>
      <formula>-100</formula>
    </cfRule>
    <cfRule type="cellIs" dxfId="280" priority="3" operator="lessThan">
      <formula>-1000</formula>
    </cfRule>
  </conditionalFormatting>
  <conditionalFormatting sqref="W32:W33">
    <cfRule type="cellIs" dxfId="279" priority="7" operator="between">
      <formula>-999</formula>
      <formula>0</formula>
    </cfRule>
    <cfRule type="cellIs" dxfId="278" priority="21" operator="greaterThanOrEqual">
      <formula>1</formula>
    </cfRule>
    <cfRule type="cellIs" dxfId="277" priority="22" operator="lessThan">
      <formula>-1000</formula>
    </cfRule>
  </conditionalFormatting>
  <printOptions horizontalCentered="1"/>
  <pageMargins left="0.19685039370078741" right="0.19685039370078741" top="0.19685039370078741" bottom="0.19685039370078741" header="0" footer="0"/>
  <pageSetup paperSize="9" scale="14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3"/>
  <sheetViews>
    <sheetView tabSelected="1" topLeftCell="A640" workbookViewId="0">
      <selection activeCell="G23" sqref="G23"/>
    </sheetView>
  </sheetViews>
  <sheetFormatPr defaultColWidth="9" defaultRowHeight="15.75" x14ac:dyDescent="0.25"/>
  <cols>
    <col min="1" max="1" width="11.375" style="1" customWidth="1"/>
    <col min="2" max="2" width="31.125" style="1" customWidth="1"/>
    <col min="3" max="3" width="10.625" style="1" customWidth="1"/>
    <col min="4" max="5" width="8.625" style="1" customWidth="1"/>
    <col min="6" max="6" width="9.625" style="1" customWidth="1"/>
    <col min="7" max="7" width="12.375" style="1788" customWidth="1"/>
    <col min="8" max="8" width="9.625" style="5" customWidth="1"/>
    <col min="9" max="9" width="9.625" style="1" customWidth="1"/>
    <col min="10" max="10" width="8.625" style="1788" customWidth="1"/>
    <col min="11" max="11" width="9.625" style="1791" customWidth="1"/>
    <col min="12" max="12" width="8.625" style="1" customWidth="1"/>
    <col min="13" max="13" width="10.625" style="1791" customWidth="1"/>
    <col min="14" max="14" width="11.375" style="1" bestFit="1" customWidth="1"/>
    <col min="15" max="15" width="10.625" style="1" customWidth="1"/>
    <col min="16" max="16" width="9.125" style="1" bestFit="1" customWidth="1"/>
    <col min="17" max="17" width="11.375" style="1" customWidth="1"/>
    <col min="18" max="18" width="11" style="1" bestFit="1" customWidth="1"/>
    <col min="19" max="19" width="11.5" style="1" customWidth="1"/>
    <col min="20" max="22" width="10.625" style="1" customWidth="1"/>
    <col min="23" max="16384" width="9" style="1"/>
  </cols>
  <sheetData>
    <row r="1" spans="1:16" x14ac:dyDescent="0.25">
      <c r="A1" s="50" t="s">
        <v>1414</v>
      </c>
      <c r="B1" s="50"/>
      <c r="C1" s="1256">
        <f ca="1">D4</f>
        <v>44607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6" s="49" customFormat="1" ht="66.75" customHeight="1" x14ac:dyDescent="0.25">
      <c r="A3" s="2064" t="s">
        <v>344</v>
      </c>
      <c r="B3" s="2066" t="s">
        <v>3</v>
      </c>
      <c r="C3" s="2066" t="s">
        <v>66</v>
      </c>
      <c r="D3" s="1789" t="s">
        <v>335</v>
      </c>
      <c r="E3" s="1810" t="s">
        <v>342</v>
      </c>
      <c r="F3" s="2219" t="s">
        <v>334</v>
      </c>
      <c r="G3" s="2221" t="s">
        <v>343</v>
      </c>
      <c r="H3" s="2211" t="s">
        <v>7</v>
      </c>
      <c r="I3" s="2211" t="s">
        <v>1410</v>
      </c>
      <c r="J3" s="2010" t="s">
        <v>54</v>
      </c>
      <c r="K3" s="2213" t="s">
        <v>1444</v>
      </c>
      <c r="L3" s="2202" t="s">
        <v>1411</v>
      </c>
      <c r="M3" s="2235" t="s">
        <v>1412</v>
      </c>
      <c r="N3" s="2012" t="s">
        <v>1433</v>
      </c>
      <c r="P3" s="1912"/>
    </row>
    <row r="4" spans="1:16" s="2" customFormat="1" ht="29.25" customHeight="1" x14ac:dyDescent="0.25">
      <c r="A4" s="2065"/>
      <c r="B4" s="2067"/>
      <c r="C4" s="2067"/>
      <c r="D4" s="699">
        <f ca="1">TODAY()</f>
        <v>44607</v>
      </c>
      <c r="E4" s="1811">
        <v>365.25</v>
      </c>
      <c r="F4" s="2220"/>
      <c r="G4" s="2222"/>
      <c r="H4" s="2212"/>
      <c r="I4" s="2212"/>
      <c r="J4" s="2011"/>
      <c r="K4" s="2214"/>
      <c r="L4" s="2203"/>
      <c r="M4" s="2236"/>
      <c r="N4" s="2013"/>
    </row>
    <row r="5" spans="1:16" x14ac:dyDescent="0.25">
      <c r="A5" s="694" t="s">
        <v>336</v>
      </c>
      <c r="B5" s="196"/>
      <c r="C5" s="695"/>
      <c r="D5" s="696"/>
      <c r="E5" s="17"/>
      <c r="F5" s="1807"/>
      <c r="G5" s="1808"/>
      <c r="H5" s="17"/>
      <c r="I5" s="472"/>
      <c r="J5" s="787"/>
      <c r="K5" s="1809"/>
      <c r="L5" s="472"/>
      <c r="M5" s="1913"/>
      <c r="N5" s="458"/>
    </row>
    <row r="6" spans="1:16" s="1044" customFormat="1" x14ac:dyDescent="0.25">
      <c r="A6" s="1795" t="s">
        <v>185</v>
      </c>
      <c r="B6" s="1031" t="s">
        <v>186</v>
      </c>
      <c r="C6" s="1032">
        <v>43089</v>
      </c>
      <c r="D6" s="1033">
        <f ca="1">($D$4-C6)/365.25</f>
        <v>4.1560574948665296</v>
      </c>
      <c r="E6" s="1060">
        <v>4</v>
      </c>
      <c r="F6" s="1799">
        <f>C6+(E6*$E$4)</f>
        <v>44550</v>
      </c>
      <c r="G6" s="1800"/>
      <c r="H6" s="1060">
        <f ca="1">VLOOKUP(A6,Prehľad!$B$1:$BN$27,11,FALSE)</f>
        <v>27862.94466403162</v>
      </c>
      <c r="I6" s="1060">
        <f ca="1">H6</f>
        <v>27862.94466403162</v>
      </c>
      <c r="J6" s="1042">
        <f>VLOOKUP(A6,Prehľad!$B$1:$BN$27,28,FALSE)</f>
        <v>6.6804727110050699</v>
      </c>
      <c r="K6" s="1801">
        <f ca="1">I6/100*J6</f>
        <v>1861.3764147630754</v>
      </c>
      <c r="L6" s="1071">
        <v>8.6951668225756146E-2</v>
      </c>
      <c r="M6" s="1914">
        <f ca="1">I6*L6</f>
        <v>2422.72952021948</v>
      </c>
      <c r="N6" s="1919">
        <f ca="1">23.38*I6/1000</f>
        <v>651.43564624505916</v>
      </c>
    </row>
    <row r="7" spans="1:16" s="7" customFormat="1" x14ac:dyDescent="0.25">
      <c r="A7" s="686" t="s">
        <v>36</v>
      </c>
      <c r="B7" s="99" t="s">
        <v>1233</v>
      </c>
      <c r="C7" s="192">
        <v>37256</v>
      </c>
      <c r="D7" s="682">
        <f ca="1">($D$4-C7)/365.25</f>
        <v>20.125941136208077</v>
      </c>
      <c r="E7" s="12">
        <v>21</v>
      </c>
      <c r="F7" s="1797">
        <f>C7+(E7*$E$4)</f>
        <v>44926.25</v>
      </c>
      <c r="G7" s="1798"/>
      <c r="H7" s="1283">
        <f ca="1">VLOOKUP(A7,Prehľad!$B$1:$BN$27,11,FALSE)</f>
        <v>14925.612569718405</v>
      </c>
      <c r="I7" s="1283">
        <f t="shared" ref="I7:I19" ca="1" si="0">H7</f>
        <v>14925.612569718405</v>
      </c>
      <c r="J7" s="755">
        <f>VLOOKUP(A7,Prehľad!$B$1:$BN$27,28,FALSE)</f>
        <v>14.928273938867159</v>
      </c>
      <c r="K7" s="1802">
        <f t="shared" ref="K7:K19" ca="1" si="1">I7/100*J7</f>
        <v>2228.1363314615533</v>
      </c>
      <c r="L7" s="141">
        <v>0.19794940837378636</v>
      </c>
      <c r="M7" s="1915">
        <f t="shared" ref="M7:M19" ca="1" si="2">I7*L7</f>
        <v>2954.5161777921076</v>
      </c>
      <c r="N7" s="1920">
        <f ca="1">26.83*I7/1000</f>
        <v>400.45418524554475</v>
      </c>
    </row>
    <row r="8" spans="1:16" s="1044" customFormat="1" x14ac:dyDescent="0.25">
      <c r="A8" s="1030" t="s">
        <v>594</v>
      </c>
      <c r="B8" s="1031" t="s">
        <v>597</v>
      </c>
      <c r="C8" s="1032">
        <v>43558</v>
      </c>
      <c r="D8" s="1033">
        <f ca="1">($D$4-C8)/365.25</f>
        <v>2.8720054757015743</v>
      </c>
      <c r="E8" s="1060">
        <v>4</v>
      </c>
      <c r="F8" s="1799">
        <f>C8+(E8*$E$4)</f>
        <v>45019</v>
      </c>
      <c r="G8" s="1800"/>
      <c r="H8" s="1060">
        <f ca="1">VLOOKUP(A8,Prehľad!$B$1:$BN$27,11,FALSE)</f>
        <v>18864.866539561488</v>
      </c>
      <c r="I8" s="1060">
        <f t="shared" ca="1" si="0"/>
        <v>18864.866539561488</v>
      </c>
      <c r="J8" s="1042">
        <f>VLOOKUP(A8,Prehľad!$B$1:$BN$27,28,FALSE)</f>
        <v>6.3787370167055029</v>
      </c>
      <c r="K8" s="1801">
        <f t="shared" ca="1" si="1"/>
        <v>1203.340225111099</v>
      </c>
      <c r="L8" s="1071">
        <v>8.0192418150488221E-2</v>
      </c>
      <c r="M8" s="1914">
        <f t="shared" ca="1" si="2"/>
        <v>1512.8192658936687</v>
      </c>
      <c r="N8" s="1919">
        <f ca="1">23.38*I8/1000</f>
        <v>441.06057969494759</v>
      </c>
    </row>
    <row r="9" spans="1:16" s="7" customFormat="1" x14ac:dyDescent="0.25">
      <c r="A9" s="684" t="s">
        <v>28</v>
      </c>
      <c r="B9" s="101" t="s">
        <v>27</v>
      </c>
      <c r="C9" s="191">
        <v>39309</v>
      </c>
      <c r="D9" s="682">
        <f t="shared" ref="D9:D19" ca="1" si="3">($D$4-C9)/365.25</f>
        <v>14.505133470225873</v>
      </c>
      <c r="E9" s="1283">
        <v>16</v>
      </c>
      <c r="F9" s="1797">
        <f t="shared" ref="F9:F19" si="4">C9+(E9*$E$4)</f>
        <v>45153</v>
      </c>
      <c r="G9" s="1798"/>
      <c r="H9" s="1283">
        <f ca="1">VLOOKUP(A9,Prehľad!$B$1:$BN$27,11,FALSE)</f>
        <v>11223.957389580974</v>
      </c>
      <c r="I9" s="1283">
        <f t="shared" ca="1" si="0"/>
        <v>11223.957389580974</v>
      </c>
      <c r="J9" s="754">
        <f>VLOOKUP(A9,Prehľad!$B$1:$BN$27,28,FALSE)</f>
        <v>10.889400921658984</v>
      </c>
      <c r="K9" s="1802">
        <f t="shared" ca="1" si="1"/>
        <v>1222.2217194276423</v>
      </c>
      <c r="L9" s="141">
        <v>0.14569284434203789</v>
      </c>
      <c r="M9" s="1915">
        <f t="shared" ca="1" si="2"/>
        <v>1635.2502768618867</v>
      </c>
      <c r="N9" s="1920">
        <f t="shared" ref="N9:N19" ca="1" si="5">26.83*I9/1000</f>
        <v>301.1387767624575</v>
      </c>
    </row>
    <row r="10" spans="1:16" s="7" customFormat="1" x14ac:dyDescent="0.25">
      <c r="A10" s="684" t="s">
        <v>11</v>
      </c>
      <c r="B10" s="101" t="s">
        <v>345</v>
      </c>
      <c r="C10" s="191">
        <v>39484</v>
      </c>
      <c r="D10" s="682">
        <f t="shared" ca="1" si="3"/>
        <v>14.026009582477755</v>
      </c>
      <c r="E10" s="1283">
        <v>16</v>
      </c>
      <c r="F10" s="1797">
        <f t="shared" si="4"/>
        <v>45328</v>
      </c>
      <c r="G10" s="1798"/>
      <c r="H10" s="1283">
        <f ca="1">VLOOKUP(A10,Prehľad!$B$1:$BN$27,11,FALSE)</f>
        <v>7769.9932656646497</v>
      </c>
      <c r="I10" s="1283">
        <f t="shared" ca="1" si="0"/>
        <v>7769.9932656646497</v>
      </c>
      <c r="J10" s="754">
        <f>VLOOKUP(A10,Prehľad!$B$1:$BN$27,28,FALSE)</f>
        <v>9.4439090732465516</v>
      </c>
      <c r="K10" s="1802">
        <f t="shared" ca="1" si="1"/>
        <v>733.79109900674985</v>
      </c>
      <c r="L10" s="141">
        <v>0.11087235282688948</v>
      </c>
      <c r="M10" s="1915">
        <f t="shared" ca="1" si="2"/>
        <v>861.47743481332623</v>
      </c>
      <c r="N10" s="1920">
        <f t="shared" ca="1" si="5"/>
        <v>208.46891931778254</v>
      </c>
    </row>
    <row r="11" spans="1:16" x14ac:dyDescent="0.25">
      <c r="A11" s="684" t="s">
        <v>25</v>
      </c>
      <c r="B11" s="101" t="s">
        <v>340</v>
      </c>
      <c r="C11" s="191">
        <v>40844</v>
      </c>
      <c r="D11" s="682">
        <f t="shared" ca="1" si="3"/>
        <v>10.302532511978097</v>
      </c>
      <c r="E11" s="1283">
        <v>14</v>
      </c>
      <c r="F11" s="1797">
        <f t="shared" si="4"/>
        <v>45957.5</v>
      </c>
      <c r="G11" s="1798"/>
      <c r="H11" s="1283">
        <f ca="1">VLOOKUP(A11,Prehľad!$B$1:$BN$27,11,FALSE)</f>
        <v>13676.443130481</v>
      </c>
      <c r="I11" s="1283">
        <f t="shared" ca="1" si="0"/>
        <v>13676.443130481</v>
      </c>
      <c r="J11" s="754">
        <f>VLOOKUP(A11,Prehľad!$B$1:$BN$27,28,FALSE)</f>
        <v>7.6428602141290787</v>
      </c>
      <c r="K11" s="1802">
        <f t="shared" ca="1" si="1"/>
        <v>1045.2714307275219</v>
      </c>
      <c r="L11" s="141">
        <v>0.10165563056284127</v>
      </c>
      <c r="M11" s="1915">
        <f t="shared" ca="1" si="2"/>
        <v>1390.2874502858849</v>
      </c>
      <c r="N11" s="1920">
        <f t="shared" ca="1" si="5"/>
        <v>366.93896919080521</v>
      </c>
    </row>
    <row r="12" spans="1:16" s="7" customFormat="1" x14ac:dyDescent="0.25">
      <c r="A12" s="684" t="s">
        <v>20</v>
      </c>
      <c r="B12" s="101" t="s">
        <v>21</v>
      </c>
      <c r="C12" s="191">
        <v>40959</v>
      </c>
      <c r="D12" s="682">
        <f t="shared" ca="1" si="3"/>
        <v>9.9876796714579061</v>
      </c>
      <c r="E12" s="1283">
        <v>14</v>
      </c>
      <c r="F12" s="1797">
        <f t="shared" si="4"/>
        <v>46072.5</v>
      </c>
      <c r="G12" s="1798"/>
      <c r="H12" s="1283">
        <f ca="1">VLOOKUP(A12,Prehľad!$B$1:$BN$27,11,FALSE)</f>
        <v>26706.803659539473</v>
      </c>
      <c r="I12" s="1283">
        <f t="shared" ca="1" si="0"/>
        <v>26706.803659539473</v>
      </c>
      <c r="J12" s="754">
        <f>VLOOKUP(A12,Prehľad!$B$1:$BN$27,28,FALSE)</f>
        <v>6.4357585815355058</v>
      </c>
      <c r="K12" s="1802">
        <f t="shared" ca="1" si="1"/>
        <v>1718.7854083726502</v>
      </c>
      <c r="L12" s="141">
        <v>7.5629749323084985E-2</v>
      </c>
      <c r="M12" s="1915">
        <f t="shared" ca="1" si="2"/>
        <v>2019.8288659918192</v>
      </c>
      <c r="N12" s="1920">
        <f t="shared" ca="1" si="5"/>
        <v>716.54354218544404</v>
      </c>
    </row>
    <row r="13" spans="1:16" x14ac:dyDescent="0.25">
      <c r="A13" s="684" t="s">
        <v>30</v>
      </c>
      <c r="B13" s="101" t="s">
        <v>21</v>
      </c>
      <c r="C13" s="192">
        <v>41533</v>
      </c>
      <c r="D13" s="682">
        <f t="shared" ca="1" si="3"/>
        <v>8.4161533196440796</v>
      </c>
      <c r="E13" s="1283">
        <v>14</v>
      </c>
      <c r="F13" s="1797">
        <f t="shared" si="4"/>
        <v>46646.5</v>
      </c>
      <c r="G13" s="1798"/>
      <c r="H13" s="1283">
        <f ca="1">VLOOKUP(A13,Prehľad!$B$1:$BN$27,11,FALSE)</f>
        <v>23634.669242029926</v>
      </c>
      <c r="I13" s="1283">
        <f t="shared" ca="1" si="0"/>
        <v>23634.669242029926</v>
      </c>
      <c r="J13" s="755">
        <f>VLOOKUP(A13,Prehľad!$B$1:$BN$27,28,FALSE)</f>
        <v>6.7560932949705723</v>
      </c>
      <c r="K13" s="1802">
        <f t="shared" ca="1" si="1"/>
        <v>1596.780303949256</v>
      </c>
      <c r="L13" s="141">
        <v>8.9759066700481852E-2</v>
      </c>
      <c r="M13" s="1915">
        <f t="shared" ca="1" si="2"/>
        <v>2121.4258529391909</v>
      </c>
      <c r="N13" s="1920">
        <f t="shared" ca="1" si="5"/>
        <v>634.11817576366286</v>
      </c>
    </row>
    <row r="14" spans="1:16" x14ac:dyDescent="0.25">
      <c r="A14" s="686" t="s">
        <v>40</v>
      </c>
      <c r="B14" s="99" t="s">
        <v>338</v>
      </c>
      <c r="C14" s="192">
        <v>41992</v>
      </c>
      <c r="D14" s="682">
        <f t="shared" ca="1" si="3"/>
        <v>7.1594798083504445</v>
      </c>
      <c r="E14" s="12">
        <v>14</v>
      </c>
      <c r="F14" s="1797">
        <f t="shared" si="4"/>
        <v>47105.5</v>
      </c>
      <c r="G14" s="1798"/>
      <c r="H14" s="1283">
        <f ca="1">VLOOKUP(A14,Prehľad!$B$1:$BN$27,11,FALSE)</f>
        <v>19060.602676864244</v>
      </c>
      <c r="I14" s="1283">
        <f t="shared" ca="1" si="0"/>
        <v>19060.602676864244</v>
      </c>
      <c r="J14" s="755">
        <f>VLOOKUP(A14,Prehľad!$B$1:$BN$27,28,FALSE)</f>
        <v>5.3088211498487681</v>
      </c>
      <c r="K14" s="1802">
        <f t="shared" ca="1" si="1"/>
        <v>1011.8933061980094</v>
      </c>
      <c r="L14" s="141">
        <v>6.4418590756898722E-2</v>
      </c>
      <c r="M14" s="1915">
        <f t="shared" ca="1" si="2"/>
        <v>1227.857163420766</v>
      </c>
      <c r="N14" s="1920">
        <f t="shared" ca="1" si="5"/>
        <v>511.39596982026762</v>
      </c>
    </row>
    <row r="15" spans="1:16" x14ac:dyDescent="0.25">
      <c r="A15" s="684" t="s">
        <v>18</v>
      </c>
      <c r="B15" s="101" t="s">
        <v>17</v>
      </c>
      <c r="C15" s="192">
        <v>42356</v>
      </c>
      <c r="D15" s="682">
        <f t="shared" ca="1" si="3"/>
        <v>6.1629021218343603</v>
      </c>
      <c r="E15" s="1283">
        <v>14</v>
      </c>
      <c r="F15" s="1797">
        <f t="shared" si="4"/>
        <v>47469.5</v>
      </c>
      <c r="G15" s="1798"/>
      <c r="H15" s="1283">
        <f ca="1">VLOOKUP(A15,Prehľad!$B$1:$BN$27,11,FALSE)</f>
        <v>26724.422478898265</v>
      </c>
      <c r="I15" s="1283">
        <f t="shared" ca="1" si="0"/>
        <v>26724.422478898265</v>
      </c>
      <c r="J15" s="755">
        <f>VLOOKUP(A15,Prehľad!$B$1:$BN$27,28,FALSE)</f>
        <v>6.4805937905968545</v>
      </c>
      <c r="K15" s="1802">
        <f t="shared" ca="1" si="1"/>
        <v>1731.9012637403509</v>
      </c>
      <c r="L15" s="141">
        <v>8.6021836547023015E-2</v>
      </c>
      <c r="M15" s="1915">
        <f t="shared" ca="1" si="2"/>
        <v>2298.8839022933739</v>
      </c>
      <c r="N15" s="1920">
        <f t="shared" ca="1" si="5"/>
        <v>717.01625510884037</v>
      </c>
    </row>
    <row r="16" spans="1:16" s="7" customFormat="1" x14ac:dyDescent="0.25">
      <c r="A16" s="686" t="s">
        <v>38</v>
      </c>
      <c r="B16" s="99" t="s">
        <v>339</v>
      </c>
      <c r="C16" s="192">
        <v>42366</v>
      </c>
      <c r="D16" s="682">
        <f t="shared" ca="1" si="3"/>
        <v>6.1355236139630387</v>
      </c>
      <c r="E16" s="12">
        <v>15</v>
      </c>
      <c r="F16" s="1797">
        <f t="shared" si="4"/>
        <v>47844.75</v>
      </c>
      <c r="G16" s="1798"/>
      <c r="H16" s="1283">
        <f ca="1">VLOOKUP(A16,Prehľad!$B$1:$BN$27,11,FALSE)</f>
        <v>31085.855421686749</v>
      </c>
      <c r="I16" s="1283">
        <f t="shared" ca="1" si="0"/>
        <v>31085.855421686749</v>
      </c>
      <c r="J16" s="755">
        <f>VLOOKUP(A16,Prehľad!$B$1:$BN$27,28,FALSE)</f>
        <v>6.4512454068074572</v>
      </c>
      <c r="K16" s="1802">
        <f t="shared" ca="1" si="1"/>
        <v>2005.4248200583734</v>
      </c>
      <c r="L16" s="141">
        <v>7.9289755750232033E-2</v>
      </c>
      <c r="M16" s="1915">
        <f t="shared" ca="1" si="2"/>
        <v>2464.7898836725685</v>
      </c>
      <c r="N16" s="1920">
        <f t="shared" ca="1" si="5"/>
        <v>834.03350096385543</v>
      </c>
    </row>
    <row r="17" spans="1:14" s="1044" customFormat="1" x14ac:dyDescent="0.25">
      <c r="A17" s="684" t="s">
        <v>164</v>
      </c>
      <c r="B17" s="101" t="s">
        <v>17</v>
      </c>
      <c r="C17" s="192">
        <v>42913</v>
      </c>
      <c r="D17" s="682">
        <f t="shared" ca="1" si="3"/>
        <v>4.6379192334017798</v>
      </c>
      <c r="E17" s="1283">
        <v>14</v>
      </c>
      <c r="F17" s="1797">
        <f t="shared" si="4"/>
        <v>48026.5</v>
      </c>
      <c r="G17" s="1798"/>
      <c r="H17" s="1283">
        <f ca="1">VLOOKUP(A17,Prehľad!$B$1:$BN$27,11,FALSE)</f>
        <v>25956.036304604484</v>
      </c>
      <c r="I17" s="1283">
        <f t="shared" ca="1" si="0"/>
        <v>25956.036304604484</v>
      </c>
      <c r="J17" s="755">
        <f>VLOOKUP(A17,Prehľad!$B$1:$BN$27,28,FALSE)</f>
        <v>6.8422129340599254</v>
      </c>
      <c r="K17" s="1802">
        <f t="shared" ca="1" si="1"/>
        <v>1775.9672732029378</v>
      </c>
      <c r="L17" s="141">
        <v>9.2113292065675506E-2</v>
      </c>
      <c r="M17" s="1915">
        <f t="shared" ca="1" si="2"/>
        <v>2390.8959529933095</v>
      </c>
      <c r="N17" s="1920">
        <f t="shared" ca="1" si="5"/>
        <v>696.40045405253829</v>
      </c>
    </row>
    <row r="18" spans="1:14" s="7" customFormat="1" x14ac:dyDescent="0.25">
      <c r="A18" s="1396" t="s">
        <v>215</v>
      </c>
      <c r="B18" s="101" t="s">
        <v>218</v>
      </c>
      <c r="C18" s="192">
        <v>43160</v>
      </c>
      <c r="D18" s="682">
        <f t="shared" ca="1" si="3"/>
        <v>3.9616700889801506</v>
      </c>
      <c r="E18" s="1283">
        <v>14</v>
      </c>
      <c r="F18" s="1797">
        <f t="shared" si="4"/>
        <v>48273.5</v>
      </c>
      <c r="G18" s="1798"/>
      <c r="H18" s="1283">
        <f ca="1">VLOOKUP(A18,Prehľad!$B$1:$BN$27,11,FALSE)</f>
        <v>11260.150138217001</v>
      </c>
      <c r="I18" s="1283">
        <f t="shared" ca="1" si="0"/>
        <v>11260.150138217001</v>
      </c>
      <c r="J18" s="755">
        <f>VLOOKUP(A18,Prehľad!$B$1:$BN$27,28,FALSE)</f>
        <v>20.894241671290384</v>
      </c>
      <c r="K18" s="1802">
        <f t="shared" ca="1" si="1"/>
        <v>2352.7229824291985</v>
      </c>
      <c r="L18" s="141">
        <v>0.28791426434757439</v>
      </c>
      <c r="M18" s="1915">
        <f t="shared" ca="1" si="2"/>
        <v>3241.9578434879859</v>
      </c>
      <c r="N18" s="1920">
        <f t="shared" ca="1" si="5"/>
        <v>302.1098282083621</v>
      </c>
    </row>
    <row r="19" spans="1:14" s="7" customFormat="1" x14ac:dyDescent="0.25">
      <c r="A19" s="1396" t="s">
        <v>1139</v>
      </c>
      <c r="B19" s="101" t="s">
        <v>1137</v>
      </c>
      <c r="C19" s="192">
        <v>44004</v>
      </c>
      <c r="D19" s="682">
        <f t="shared" ca="1" si="3"/>
        <v>1.6509240246406571</v>
      </c>
      <c r="E19" s="1283">
        <v>13</v>
      </c>
      <c r="F19" s="1797">
        <f t="shared" si="4"/>
        <v>48752.25</v>
      </c>
      <c r="G19" s="1798"/>
      <c r="H19" s="1283">
        <f ca="1">VLOOKUP(A19,Prehľad!$B$1:$BN$27,11,FALSE)</f>
        <v>5976.6529850746265</v>
      </c>
      <c r="I19" s="1283">
        <f t="shared" ca="1" si="0"/>
        <v>5976.6529850746265</v>
      </c>
      <c r="J19" s="755">
        <f>VLOOKUP(A19,Prehľad!$B$1:$BN$27,28,FALSE)</f>
        <v>10.346293119878025</v>
      </c>
      <c r="K19" s="1802">
        <f t="shared" ca="1" si="1"/>
        <v>618.36203659376065</v>
      </c>
      <c r="L19" s="141">
        <v>0.13184295788069372</v>
      </c>
      <c r="M19" s="1915">
        <f t="shared" ca="1" si="2"/>
        <v>787.9796077787164</v>
      </c>
      <c r="N19" s="1920">
        <f t="shared" ca="1" si="5"/>
        <v>160.3535995895522</v>
      </c>
    </row>
    <row r="20" spans="1:14" x14ac:dyDescent="0.25">
      <c r="A20" s="700"/>
      <c r="B20" s="202"/>
      <c r="C20" s="701"/>
      <c r="D20" s="702"/>
      <c r="E20" s="1812"/>
      <c r="F20" s="1813"/>
      <c r="G20" s="1814"/>
      <c r="H20" s="1812"/>
      <c r="I20" s="1733"/>
      <c r="J20" s="1815"/>
      <c r="K20" s="1816"/>
      <c r="L20" s="1733"/>
      <c r="M20" s="1916"/>
      <c r="N20" s="1921"/>
    </row>
    <row r="21" spans="1:14" s="50" customFormat="1" ht="15.75" customHeight="1" x14ac:dyDescent="0.25">
      <c r="A21" s="2215" t="s">
        <v>85</v>
      </c>
      <c r="B21" s="2216"/>
      <c r="C21" s="1817"/>
      <c r="D21" s="1822"/>
      <c r="E21" s="1819"/>
      <c r="F21" s="1817"/>
      <c r="G21" s="1818">
        <f>SUM(G6:G20)</f>
        <v>0</v>
      </c>
      <c r="H21" s="1819">
        <f ca="1">SUM(H6:H20)</f>
        <v>264729.01046595292</v>
      </c>
      <c r="I21" s="1819">
        <f ca="1">SUM(I6:I20)</f>
        <v>264729.01046595292</v>
      </c>
      <c r="J21" s="1820"/>
      <c r="K21" s="1821">
        <f ca="1">SUM(K6:K20)</f>
        <v>21105.974615042178</v>
      </c>
      <c r="L21" s="1817"/>
      <c r="M21" s="1917">
        <f ca="1">SUM(M6:M20)</f>
        <v>27330.69919844409</v>
      </c>
      <c r="N21" s="1889">
        <f ca="1">SUM(N5:N20)</f>
        <v>6941.4684021491203</v>
      </c>
    </row>
    <row r="22" spans="1:14" s="50" customFormat="1" ht="15.75" customHeight="1" x14ac:dyDescent="0.25">
      <c r="A22" s="2217" t="s">
        <v>1413</v>
      </c>
      <c r="B22" s="2218"/>
      <c r="C22" s="1803"/>
      <c r="D22" s="1823">
        <f ca="1">AVERAGE(D6:D20)</f>
        <v>8.149995110980738</v>
      </c>
      <c r="E22" s="1805">
        <f>AVERAGE(E6:E20)</f>
        <v>13.357142857142858</v>
      </c>
      <c r="F22" s="1803"/>
      <c r="G22" s="1804" t="e">
        <f>AVERAGE(G6:G20)</f>
        <v>#DIV/0!</v>
      </c>
      <c r="H22" s="1805">
        <f t="shared" ref="G22:N22" ca="1" si="6">AVERAGE(H6:H20)</f>
        <v>18909.215033282351</v>
      </c>
      <c r="I22" s="1805">
        <f t="shared" ca="1" si="6"/>
        <v>18909.215033282351</v>
      </c>
      <c r="J22" s="1806">
        <f t="shared" si="6"/>
        <v>8.9627795588999906</v>
      </c>
      <c r="K22" s="1824">
        <f t="shared" ca="1" si="6"/>
        <v>1507.5696153601555</v>
      </c>
      <c r="L22" s="1804">
        <f t="shared" si="6"/>
        <v>0.1164502739895331</v>
      </c>
      <c r="M22" s="1918">
        <f t="shared" ca="1" si="6"/>
        <v>1952.1927998888636</v>
      </c>
      <c r="N22" s="1922">
        <f t="shared" ca="1" si="6"/>
        <v>495.81917158208</v>
      </c>
    </row>
    <row r="23" spans="1:14" ht="16.5" customHeight="1" x14ac:dyDescent="0.25"/>
    <row r="24" spans="1:14" ht="16.5" customHeight="1" x14ac:dyDescent="0.25">
      <c r="G24" s="1954"/>
      <c r="J24" s="1954"/>
    </row>
    <row r="25" spans="1:14" ht="16.5" customHeight="1" x14ac:dyDescent="0.25">
      <c r="G25" s="1954"/>
      <c r="J25" s="1954"/>
    </row>
    <row r="26" spans="1:14" ht="16.5" customHeight="1" x14ac:dyDescent="0.25">
      <c r="G26" s="1954"/>
      <c r="J26" s="1954"/>
    </row>
    <row r="27" spans="1:14" ht="16.5" customHeight="1" x14ac:dyDescent="0.25">
      <c r="G27" s="1954"/>
      <c r="J27" s="1954"/>
    </row>
    <row r="28" spans="1:14" ht="16.5" customHeight="1" x14ac:dyDescent="0.25">
      <c r="G28" s="1954"/>
      <c r="J28" s="1954"/>
    </row>
    <row r="29" spans="1:14" ht="16.5" customHeight="1" x14ac:dyDescent="0.25">
      <c r="G29" s="1954"/>
      <c r="J29" s="1954"/>
    </row>
    <row r="30" spans="1:14" ht="16.5" customHeight="1" x14ac:dyDescent="0.25">
      <c r="G30" s="1954"/>
      <c r="J30" s="1954"/>
    </row>
    <row r="31" spans="1:14" ht="16.5" customHeight="1" x14ac:dyDescent="0.25">
      <c r="G31" s="1954"/>
      <c r="J31" s="1954"/>
    </row>
    <row r="32" spans="1:14" ht="16.5" customHeight="1" x14ac:dyDescent="0.25">
      <c r="G32" s="1954"/>
      <c r="J32" s="1954"/>
    </row>
    <row r="33" spans="1:14" ht="16.5" customHeight="1" x14ac:dyDescent="0.25">
      <c r="G33" s="1954"/>
      <c r="J33" s="1954"/>
    </row>
    <row r="34" spans="1:14" ht="16.5" customHeight="1" x14ac:dyDescent="0.25">
      <c r="G34" s="1954"/>
      <c r="J34" s="1954"/>
    </row>
    <row r="35" spans="1:14" ht="16.5" customHeight="1" x14ac:dyDescent="0.25">
      <c r="G35" s="1954"/>
      <c r="J35" s="1954"/>
    </row>
    <row r="36" spans="1:14" ht="16.5" customHeight="1" x14ac:dyDescent="0.25">
      <c r="G36" s="1954"/>
      <c r="J36" s="1954"/>
    </row>
    <row r="37" spans="1:14" ht="16.5" customHeight="1" x14ac:dyDescent="0.25">
      <c r="G37" s="1954"/>
      <c r="J37" s="1954"/>
    </row>
    <row r="38" spans="1:14" ht="16.5" customHeight="1" x14ac:dyDescent="0.25">
      <c r="G38" s="1954"/>
      <c r="J38" s="1954"/>
    </row>
    <row r="39" spans="1:14" ht="16.5" customHeight="1" x14ac:dyDescent="0.25">
      <c r="G39" s="1954"/>
      <c r="J39" s="1954"/>
    </row>
    <row r="40" spans="1:14" ht="16.5" customHeight="1" x14ac:dyDescent="0.25">
      <c r="G40" s="1954"/>
      <c r="J40" s="1954"/>
    </row>
    <row r="41" spans="1:14" ht="16.5" customHeight="1" x14ac:dyDescent="0.25">
      <c r="G41" s="1954"/>
      <c r="J41" s="1954"/>
    </row>
    <row r="42" spans="1:14" ht="16.5" customHeight="1" x14ac:dyDescent="0.25">
      <c r="G42" s="1954"/>
      <c r="J42" s="1954"/>
    </row>
    <row r="43" spans="1:14" ht="16.5" customHeight="1" x14ac:dyDescent="0.25">
      <c r="G43" s="1954"/>
      <c r="J43" s="1954"/>
    </row>
    <row r="44" spans="1:14" ht="16.5" customHeight="1" x14ac:dyDescent="0.25">
      <c r="G44" s="1954"/>
      <c r="J44" s="1954"/>
    </row>
    <row r="45" spans="1:14" ht="16.5" customHeight="1" x14ac:dyDescent="0.25">
      <c r="G45" s="1954"/>
      <c r="J45" s="1954"/>
    </row>
    <row r="46" spans="1:14" x14ac:dyDescent="0.25">
      <c r="A46" s="50" t="s">
        <v>1415</v>
      </c>
      <c r="B46" s="50"/>
      <c r="C46" s="1825"/>
      <c r="D46" s="1876">
        <v>44561</v>
      </c>
      <c r="F46" s="50"/>
      <c r="G46" s="50"/>
      <c r="H46" s="50"/>
      <c r="I46" s="50"/>
      <c r="J46" s="50"/>
      <c r="K46" s="50"/>
      <c r="L46" s="50"/>
      <c r="M46" s="50"/>
    </row>
    <row r="48" spans="1:14" s="49" customFormat="1" ht="66.75" customHeight="1" x14ac:dyDescent="0.25">
      <c r="A48" s="2064" t="s">
        <v>344</v>
      </c>
      <c r="B48" s="2066" t="s">
        <v>3</v>
      </c>
      <c r="C48" s="2066" t="s">
        <v>66</v>
      </c>
      <c r="D48" s="1789" t="s">
        <v>335</v>
      </c>
      <c r="E48" s="1810" t="s">
        <v>342</v>
      </c>
      <c r="F48" s="2219" t="s">
        <v>334</v>
      </c>
      <c r="G48" s="2221" t="s">
        <v>343</v>
      </c>
      <c r="H48" s="2211" t="s">
        <v>7</v>
      </c>
      <c r="I48" s="2211" t="s">
        <v>1410</v>
      </c>
      <c r="J48" s="2010" t="s">
        <v>54</v>
      </c>
      <c r="K48" s="2213" t="s">
        <v>1444</v>
      </c>
      <c r="L48" s="2202" t="s">
        <v>1411</v>
      </c>
      <c r="M48" s="2223" t="s">
        <v>1412</v>
      </c>
      <c r="N48" s="2012" t="s">
        <v>1433</v>
      </c>
    </row>
    <row r="49" spans="1:14" s="2" customFormat="1" ht="29.25" customHeight="1" x14ac:dyDescent="0.25">
      <c r="A49" s="2065"/>
      <c r="B49" s="2067"/>
      <c r="C49" s="2067"/>
      <c r="D49" s="699">
        <f ca="1">TODAY()</f>
        <v>44607</v>
      </c>
      <c r="E49" s="1811">
        <v>365.25</v>
      </c>
      <c r="F49" s="2220"/>
      <c r="G49" s="2222"/>
      <c r="H49" s="2212"/>
      <c r="I49" s="2212"/>
      <c r="J49" s="2011"/>
      <c r="K49" s="2214"/>
      <c r="L49" s="2203"/>
      <c r="M49" s="2224"/>
      <c r="N49" s="2013"/>
    </row>
    <row r="50" spans="1:14" x14ac:dyDescent="0.25">
      <c r="A50" s="694" t="s">
        <v>336</v>
      </c>
      <c r="B50" s="196"/>
      <c r="C50" s="695"/>
      <c r="D50" s="696"/>
      <c r="E50" s="17"/>
      <c r="F50" s="1807"/>
      <c r="G50" s="1808"/>
      <c r="H50" s="17"/>
      <c r="I50" s="472"/>
      <c r="J50" s="787"/>
      <c r="K50" s="1809"/>
      <c r="L50" s="472"/>
      <c r="M50" s="1809"/>
      <c r="N50" s="458"/>
    </row>
    <row r="51" spans="1:14" s="1044" customFormat="1" x14ac:dyDescent="0.25">
      <c r="A51" s="1795" t="s">
        <v>185</v>
      </c>
      <c r="B51" s="1031" t="s">
        <v>186</v>
      </c>
      <c r="C51" s="1032">
        <v>43089</v>
      </c>
      <c r="D51" s="1033">
        <f ca="1">($D$4-C51)/365.25</f>
        <v>4.1560574948665296</v>
      </c>
      <c r="E51" s="1060">
        <v>4</v>
      </c>
      <c r="F51" s="1799">
        <f>C51+(E51*$E$4)</f>
        <v>44550</v>
      </c>
      <c r="G51" s="1826" t="s">
        <v>1416</v>
      </c>
      <c r="H51" s="1060"/>
      <c r="I51" s="1060"/>
      <c r="J51" s="1042"/>
      <c r="K51" s="1801"/>
      <c r="L51" s="1071"/>
      <c r="M51" s="1796"/>
      <c r="N51" s="1919"/>
    </row>
    <row r="52" spans="1:14" s="7" customFormat="1" x14ac:dyDescent="0.25">
      <c r="A52" s="686" t="s">
        <v>36</v>
      </c>
      <c r="B52" s="99" t="s">
        <v>1233</v>
      </c>
      <c r="C52" s="192">
        <v>37256</v>
      </c>
      <c r="D52" s="682">
        <f ca="1">($D$4-C52)/365.25</f>
        <v>20.125941136208077</v>
      </c>
      <c r="E52" s="12">
        <v>21</v>
      </c>
      <c r="F52" s="1797">
        <f>C52+(E52*$E$4)</f>
        <v>44926.25</v>
      </c>
      <c r="G52" s="1798"/>
      <c r="H52" s="1283">
        <f ca="1">VLOOKUP(A52,Prehľad!$B$1:$BN$27,11,FALSE)</f>
        <v>14925.612569718405</v>
      </c>
      <c r="I52" s="1283">
        <f t="shared" ref="I52:I64" ca="1" si="7">H52</f>
        <v>14925.612569718405</v>
      </c>
      <c r="J52" s="755">
        <f>VLOOKUP(A52,Prehľad!$B$1:$BN$27,28,FALSE)</f>
        <v>14.928273938867159</v>
      </c>
      <c r="K52" s="1802">
        <f t="shared" ref="K52:K64" ca="1" si="8">I52/100*J52</f>
        <v>2228.1363314615533</v>
      </c>
      <c r="L52" s="141">
        <v>0.19794940837378636</v>
      </c>
      <c r="M52" s="1794">
        <f t="shared" ref="M52:M64" ca="1" si="9">I52*L52</f>
        <v>2954.5161777921076</v>
      </c>
      <c r="N52" s="1920">
        <f ca="1">26.83*I52/1000</f>
        <v>400.45418524554475</v>
      </c>
    </row>
    <row r="53" spans="1:14" s="1044" customFormat="1" x14ac:dyDescent="0.25">
      <c r="A53" s="1030" t="s">
        <v>594</v>
      </c>
      <c r="B53" s="1031" t="s">
        <v>597</v>
      </c>
      <c r="C53" s="1032">
        <v>43558</v>
      </c>
      <c r="D53" s="1033">
        <f ca="1">($D$4-C53)/365.25</f>
        <v>2.8720054757015743</v>
      </c>
      <c r="E53" s="1060">
        <v>4</v>
      </c>
      <c r="F53" s="1799">
        <f>C53+(E53*$E$4)</f>
        <v>45019</v>
      </c>
      <c r="G53" s="1800"/>
      <c r="H53" s="1060">
        <f ca="1">VLOOKUP(A53,Prehľad!$B$1:$BN$27,11,FALSE)</f>
        <v>18864.866539561488</v>
      </c>
      <c r="I53" s="1060">
        <f t="shared" ca="1" si="7"/>
        <v>18864.866539561488</v>
      </c>
      <c r="J53" s="1042">
        <f>VLOOKUP(A53,Prehľad!$B$1:$BN$27,28,FALSE)</f>
        <v>6.3787370167055029</v>
      </c>
      <c r="K53" s="1801">
        <f t="shared" ca="1" si="8"/>
        <v>1203.340225111099</v>
      </c>
      <c r="L53" s="1071">
        <v>8.0192418150488221E-2</v>
      </c>
      <c r="M53" s="1796">
        <f t="shared" ca="1" si="9"/>
        <v>1512.8192658936687</v>
      </c>
      <c r="N53" s="1919">
        <f ca="1">23.38*I53/1000</f>
        <v>441.06057969494759</v>
      </c>
    </row>
    <row r="54" spans="1:14" s="7" customFormat="1" x14ac:dyDescent="0.25">
      <c r="A54" s="684" t="s">
        <v>28</v>
      </c>
      <c r="B54" s="101" t="s">
        <v>27</v>
      </c>
      <c r="C54" s="191">
        <v>39309</v>
      </c>
      <c r="D54" s="682">
        <f t="shared" ref="D54:D64" ca="1" si="10">($D$4-C54)/365.25</f>
        <v>14.505133470225873</v>
      </c>
      <c r="E54" s="1283">
        <v>16</v>
      </c>
      <c r="F54" s="1797">
        <f t="shared" ref="F54:F64" si="11">C54+(E54*$E$4)</f>
        <v>45153</v>
      </c>
      <c r="G54" s="1798"/>
      <c r="H54" s="1283">
        <f ca="1">VLOOKUP(A54,Prehľad!$B$1:$BN$27,11,FALSE)</f>
        <v>11223.957389580974</v>
      </c>
      <c r="I54" s="1283">
        <f t="shared" ca="1" si="7"/>
        <v>11223.957389580974</v>
      </c>
      <c r="J54" s="754">
        <f>VLOOKUP(A54,Prehľad!$B$1:$BN$27,28,FALSE)</f>
        <v>10.889400921658984</v>
      </c>
      <c r="K54" s="1802">
        <f t="shared" ca="1" si="8"/>
        <v>1222.2217194276423</v>
      </c>
      <c r="L54" s="141">
        <v>0.14569284434203789</v>
      </c>
      <c r="M54" s="1794">
        <f t="shared" ca="1" si="9"/>
        <v>1635.2502768618867</v>
      </c>
      <c r="N54" s="1920">
        <f t="shared" ref="N54:N64" ca="1" si="12">26.83*I54/1000</f>
        <v>301.1387767624575</v>
      </c>
    </row>
    <row r="55" spans="1:14" s="7" customFormat="1" x14ac:dyDescent="0.25">
      <c r="A55" s="684" t="s">
        <v>11</v>
      </c>
      <c r="B55" s="101" t="s">
        <v>345</v>
      </c>
      <c r="C55" s="191">
        <v>39484</v>
      </c>
      <c r="D55" s="682">
        <f t="shared" ca="1" si="10"/>
        <v>14.026009582477755</v>
      </c>
      <c r="E55" s="1283">
        <v>16</v>
      </c>
      <c r="F55" s="1797">
        <f t="shared" si="11"/>
        <v>45328</v>
      </c>
      <c r="G55" s="1798"/>
      <c r="H55" s="1283">
        <f ca="1">VLOOKUP(A55,Prehľad!$B$1:$BN$27,11,FALSE)</f>
        <v>7769.9932656646497</v>
      </c>
      <c r="I55" s="1283">
        <f t="shared" ca="1" si="7"/>
        <v>7769.9932656646497</v>
      </c>
      <c r="J55" s="754">
        <f>VLOOKUP(A55,Prehľad!$B$1:$BN$27,28,FALSE)</f>
        <v>9.4439090732465516</v>
      </c>
      <c r="K55" s="1802">
        <f t="shared" ca="1" si="8"/>
        <v>733.79109900674985</v>
      </c>
      <c r="L55" s="141">
        <v>0.11087235282688948</v>
      </c>
      <c r="M55" s="1794">
        <f t="shared" ca="1" si="9"/>
        <v>861.47743481332623</v>
      </c>
      <c r="N55" s="1920">
        <f t="shared" ca="1" si="12"/>
        <v>208.46891931778254</v>
      </c>
    </row>
    <row r="56" spans="1:14" x14ac:dyDescent="0.25">
      <c r="A56" s="684" t="s">
        <v>25</v>
      </c>
      <c r="B56" s="101" t="s">
        <v>340</v>
      </c>
      <c r="C56" s="191">
        <v>40844</v>
      </c>
      <c r="D56" s="682">
        <f t="shared" ca="1" si="10"/>
        <v>10.302532511978097</v>
      </c>
      <c r="E56" s="1283">
        <v>14</v>
      </c>
      <c r="F56" s="1797">
        <f t="shared" si="11"/>
        <v>45957.5</v>
      </c>
      <c r="G56" s="1798"/>
      <c r="H56" s="1283">
        <f ca="1">VLOOKUP(A56,Prehľad!$B$1:$BN$27,11,FALSE)</f>
        <v>13676.443130481</v>
      </c>
      <c r="I56" s="1283">
        <f t="shared" ca="1" si="7"/>
        <v>13676.443130481</v>
      </c>
      <c r="J56" s="754">
        <f>VLOOKUP(A56,Prehľad!$B$1:$BN$27,28,FALSE)</f>
        <v>7.6428602141290787</v>
      </c>
      <c r="K56" s="1802">
        <f t="shared" ca="1" si="8"/>
        <v>1045.2714307275219</v>
      </c>
      <c r="L56" s="141">
        <v>0.10165563056284127</v>
      </c>
      <c r="M56" s="1794">
        <f t="shared" ca="1" si="9"/>
        <v>1390.2874502858849</v>
      </c>
      <c r="N56" s="1920">
        <f t="shared" ca="1" si="12"/>
        <v>366.93896919080521</v>
      </c>
    </row>
    <row r="57" spans="1:14" s="7" customFormat="1" x14ac:dyDescent="0.25">
      <c r="A57" s="684" t="s">
        <v>20</v>
      </c>
      <c r="B57" s="101" t="s">
        <v>21</v>
      </c>
      <c r="C57" s="191">
        <v>40959</v>
      </c>
      <c r="D57" s="682">
        <f t="shared" ca="1" si="10"/>
        <v>9.9876796714579061</v>
      </c>
      <c r="E57" s="1283">
        <v>14</v>
      </c>
      <c r="F57" s="1797">
        <f t="shared" si="11"/>
        <v>46072.5</v>
      </c>
      <c r="G57" s="1798"/>
      <c r="H57" s="1283">
        <f ca="1">VLOOKUP(A57,Prehľad!$B$1:$BN$27,11,FALSE)</f>
        <v>26706.803659539473</v>
      </c>
      <c r="I57" s="1283">
        <f t="shared" ca="1" si="7"/>
        <v>26706.803659539473</v>
      </c>
      <c r="J57" s="754">
        <f>VLOOKUP(A57,Prehľad!$B$1:$BN$27,28,FALSE)</f>
        <v>6.4357585815355058</v>
      </c>
      <c r="K57" s="1802">
        <f t="shared" ca="1" si="8"/>
        <v>1718.7854083726502</v>
      </c>
      <c r="L57" s="141">
        <v>7.5629749323084985E-2</v>
      </c>
      <c r="M57" s="1794">
        <f t="shared" ca="1" si="9"/>
        <v>2019.8288659918192</v>
      </c>
      <c r="N57" s="1920">
        <f t="shared" ca="1" si="12"/>
        <v>716.54354218544404</v>
      </c>
    </row>
    <row r="58" spans="1:14" x14ac:dyDescent="0.25">
      <c r="A58" s="684" t="s">
        <v>30</v>
      </c>
      <c r="B58" s="101" t="s">
        <v>21</v>
      </c>
      <c r="C58" s="192">
        <v>41533</v>
      </c>
      <c r="D58" s="682">
        <f t="shared" ca="1" si="10"/>
        <v>8.4161533196440796</v>
      </c>
      <c r="E58" s="1283">
        <v>14</v>
      </c>
      <c r="F58" s="1797">
        <f t="shared" si="11"/>
        <v>46646.5</v>
      </c>
      <c r="G58" s="1798"/>
      <c r="H58" s="1283">
        <f ca="1">VLOOKUP(A58,Prehľad!$B$1:$BN$27,11,FALSE)</f>
        <v>23634.669242029926</v>
      </c>
      <c r="I58" s="1283">
        <f t="shared" ca="1" si="7"/>
        <v>23634.669242029926</v>
      </c>
      <c r="J58" s="755">
        <f>VLOOKUP(A58,Prehľad!$B$1:$BN$27,28,FALSE)</f>
        <v>6.7560932949705723</v>
      </c>
      <c r="K58" s="1802">
        <f t="shared" ca="1" si="8"/>
        <v>1596.780303949256</v>
      </c>
      <c r="L58" s="141">
        <v>8.9759066700481852E-2</v>
      </c>
      <c r="M58" s="1794">
        <f t="shared" ca="1" si="9"/>
        <v>2121.4258529391909</v>
      </c>
      <c r="N58" s="1920">
        <f t="shared" ca="1" si="12"/>
        <v>634.11817576366286</v>
      </c>
    </row>
    <row r="59" spans="1:14" x14ac:dyDescent="0.25">
      <c r="A59" s="686" t="s">
        <v>40</v>
      </c>
      <c r="B59" s="99" t="s">
        <v>338</v>
      </c>
      <c r="C59" s="192">
        <v>41992</v>
      </c>
      <c r="D59" s="682">
        <f t="shared" ca="1" si="10"/>
        <v>7.1594798083504445</v>
      </c>
      <c r="E59" s="12">
        <v>14</v>
      </c>
      <c r="F59" s="1797">
        <f t="shared" si="11"/>
        <v>47105.5</v>
      </c>
      <c r="G59" s="1798"/>
      <c r="H59" s="1283">
        <f ca="1">VLOOKUP(A59,Prehľad!$B$1:$BN$27,11,FALSE)</f>
        <v>19060.602676864244</v>
      </c>
      <c r="I59" s="1283">
        <f t="shared" ca="1" si="7"/>
        <v>19060.602676864244</v>
      </c>
      <c r="J59" s="755">
        <f>VLOOKUP(A59,Prehľad!$B$1:$BN$27,28,FALSE)</f>
        <v>5.3088211498487681</v>
      </c>
      <c r="K59" s="1802">
        <f t="shared" ca="1" si="8"/>
        <v>1011.8933061980094</v>
      </c>
      <c r="L59" s="141">
        <v>6.4418590756898722E-2</v>
      </c>
      <c r="M59" s="1794">
        <f t="shared" ca="1" si="9"/>
        <v>1227.857163420766</v>
      </c>
      <c r="N59" s="1920">
        <f t="shared" ca="1" si="12"/>
        <v>511.39596982026762</v>
      </c>
    </row>
    <row r="60" spans="1:14" x14ac:dyDescent="0.25">
      <c r="A60" s="684" t="s">
        <v>18</v>
      </c>
      <c r="B60" s="101" t="s">
        <v>17</v>
      </c>
      <c r="C60" s="192">
        <v>42356</v>
      </c>
      <c r="D60" s="682">
        <f t="shared" ca="1" si="10"/>
        <v>6.1629021218343603</v>
      </c>
      <c r="E60" s="1283">
        <v>14</v>
      </c>
      <c r="F60" s="1797">
        <f t="shared" si="11"/>
        <v>47469.5</v>
      </c>
      <c r="G60" s="1798"/>
      <c r="H60" s="1283">
        <f ca="1">VLOOKUP(A60,Prehľad!$B$1:$BN$27,11,FALSE)</f>
        <v>26724.422478898265</v>
      </c>
      <c r="I60" s="1283">
        <f t="shared" ca="1" si="7"/>
        <v>26724.422478898265</v>
      </c>
      <c r="J60" s="755">
        <f>VLOOKUP(A60,Prehľad!$B$1:$BN$27,28,FALSE)</f>
        <v>6.4805937905968545</v>
      </c>
      <c r="K60" s="1802">
        <f t="shared" ca="1" si="8"/>
        <v>1731.9012637403509</v>
      </c>
      <c r="L60" s="141">
        <v>8.6021836547023015E-2</v>
      </c>
      <c r="M60" s="1794">
        <f t="shared" ca="1" si="9"/>
        <v>2298.8839022933739</v>
      </c>
      <c r="N60" s="1920">
        <f t="shared" ca="1" si="12"/>
        <v>717.01625510884037</v>
      </c>
    </row>
    <row r="61" spans="1:14" s="7" customFormat="1" x14ac:dyDescent="0.25">
      <c r="A61" s="686" t="s">
        <v>38</v>
      </c>
      <c r="B61" s="99" t="s">
        <v>339</v>
      </c>
      <c r="C61" s="192">
        <v>42366</v>
      </c>
      <c r="D61" s="682">
        <f t="shared" ca="1" si="10"/>
        <v>6.1355236139630387</v>
      </c>
      <c r="E61" s="12">
        <v>15</v>
      </c>
      <c r="F61" s="1797">
        <f t="shared" si="11"/>
        <v>47844.75</v>
      </c>
      <c r="G61" s="1798"/>
      <c r="H61" s="1283">
        <f ca="1">VLOOKUP(A61,Prehľad!$B$1:$BN$27,11,FALSE)</f>
        <v>31085.855421686749</v>
      </c>
      <c r="I61" s="1283">
        <f t="shared" ca="1" si="7"/>
        <v>31085.855421686749</v>
      </c>
      <c r="J61" s="755">
        <f>VLOOKUP(A61,Prehľad!$B$1:$BN$27,28,FALSE)</f>
        <v>6.4512454068074572</v>
      </c>
      <c r="K61" s="1802">
        <f t="shared" ca="1" si="8"/>
        <v>2005.4248200583734</v>
      </c>
      <c r="L61" s="141">
        <v>7.9289755750232033E-2</v>
      </c>
      <c r="M61" s="1794">
        <f t="shared" ca="1" si="9"/>
        <v>2464.7898836725685</v>
      </c>
      <c r="N61" s="1920">
        <f t="shared" ca="1" si="12"/>
        <v>834.03350096385543</v>
      </c>
    </row>
    <row r="62" spans="1:14" s="1044" customFormat="1" x14ac:dyDescent="0.25">
      <c r="A62" s="684" t="s">
        <v>164</v>
      </c>
      <c r="B62" s="101" t="s">
        <v>17</v>
      </c>
      <c r="C62" s="192">
        <v>42913</v>
      </c>
      <c r="D62" s="682">
        <f t="shared" ca="1" si="10"/>
        <v>4.6379192334017798</v>
      </c>
      <c r="E62" s="1283">
        <v>14</v>
      </c>
      <c r="F62" s="1797">
        <f t="shared" si="11"/>
        <v>48026.5</v>
      </c>
      <c r="G62" s="1798"/>
      <c r="H62" s="1283">
        <f ca="1">VLOOKUP(A62,Prehľad!$B$1:$BN$27,11,FALSE)</f>
        <v>25956.036304604484</v>
      </c>
      <c r="I62" s="1283">
        <f t="shared" ca="1" si="7"/>
        <v>25956.036304604484</v>
      </c>
      <c r="J62" s="755">
        <f>VLOOKUP(A62,Prehľad!$B$1:$BN$27,28,FALSE)</f>
        <v>6.8422129340599254</v>
      </c>
      <c r="K62" s="1802">
        <f t="shared" ca="1" si="8"/>
        <v>1775.9672732029378</v>
      </c>
      <c r="L62" s="141">
        <v>9.2113292065675506E-2</v>
      </c>
      <c r="M62" s="1794">
        <f t="shared" ca="1" si="9"/>
        <v>2390.8959529933095</v>
      </c>
      <c r="N62" s="1920">
        <f t="shared" ca="1" si="12"/>
        <v>696.40045405253829</v>
      </c>
    </row>
    <row r="63" spans="1:14" s="7" customFormat="1" x14ac:dyDescent="0.25">
      <c r="A63" s="1396" t="s">
        <v>215</v>
      </c>
      <c r="B63" s="101" t="s">
        <v>218</v>
      </c>
      <c r="C63" s="192">
        <v>43160</v>
      </c>
      <c r="D63" s="682">
        <f t="shared" ca="1" si="10"/>
        <v>3.9616700889801506</v>
      </c>
      <c r="E63" s="1283">
        <v>14</v>
      </c>
      <c r="F63" s="1797">
        <f t="shared" si="11"/>
        <v>48273.5</v>
      </c>
      <c r="G63" s="1798"/>
      <c r="H63" s="1283">
        <f ca="1">VLOOKUP(A63,Prehľad!$B$1:$BN$27,11,FALSE)</f>
        <v>11260.150138217001</v>
      </c>
      <c r="I63" s="1283">
        <f t="shared" ca="1" si="7"/>
        <v>11260.150138217001</v>
      </c>
      <c r="J63" s="755">
        <f>VLOOKUP(A63,Prehľad!$B$1:$BN$27,28,FALSE)</f>
        <v>20.894241671290384</v>
      </c>
      <c r="K63" s="1802">
        <f t="shared" ca="1" si="8"/>
        <v>2352.7229824291985</v>
      </c>
      <c r="L63" s="141">
        <v>0.28791426434757439</v>
      </c>
      <c r="M63" s="1794">
        <f t="shared" ca="1" si="9"/>
        <v>3241.9578434879859</v>
      </c>
      <c r="N63" s="1920">
        <f t="shared" ca="1" si="12"/>
        <v>302.1098282083621</v>
      </c>
    </row>
    <row r="64" spans="1:14" s="7" customFormat="1" x14ac:dyDescent="0.25">
      <c r="A64" s="1396" t="s">
        <v>1139</v>
      </c>
      <c r="B64" s="101" t="s">
        <v>1137</v>
      </c>
      <c r="C64" s="192">
        <v>44004</v>
      </c>
      <c r="D64" s="682">
        <f t="shared" ca="1" si="10"/>
        <v>1.6509240246406571</v>
      </c>
      <c r="E64" s="1283">
        <v>13</v>
      </c>
      <c r="F64" s="1797">
        <f t="shared" si="11"/>
        <v>48752.25</v>
      </c>
      <c r="G64" s="1798"/>
      <c r="H64" s="1283">
        <f ca="1">VLOOKUP(A64,Prehľad!$B$1:$BN$27,11,FALSE)</f>
        <v>5976.6529850746265</v>
      </c>
      <c r="I64" s="1283">
        <f t="shared" ca="1" si="7"/>
        <v>5976.6529850746265</v>
      </c>
      <c r="J64" s="755">
        <f>VLOOKUP(A64,Prehľad!$B$1:$BN$27,28,FALSE)</f>
        <v>10.346293119878025</v>
      </c>
      <c r="K64" s="1802">
        <f t="shared" ca="1" si="8"/>
        <v>618.36203659376065</v>
      </c>
      <c r="L64" s="141">
        <v>0.13184295788069372</v>
      </c>
      <c r="M64" s="1794">
        <f t="shared" ca="1" si="9"/>
        <v>787.9796077787164</v>
      </c>
      <c r="N64" s="1920">
        <f t="shared" ca="1" si="12"/>
        <v>160.3535995895522</v>
      </c>
    </row>
    <row r="65" spans="1:14" x14ac:dyDescent="0.25">
      <c r="A65" s="700"/>
      <c r="B65" s="202"/>
      <c r="C65" s="701"/>
      <c r="D65" s="702"/>
      <c r="E65" s="1812"/>
      <c r="F65" s="1813"/>
      <c r="G65" s="1814"/>
      <c r="H65" s="1812"/>
      <c r="I65" s="1733"/>
      <c r="J65" s="1815"/>
      <c r="K65" s="1816"/>
      <c r="L65" s="1733"/>
      <c r="M65" s="1816"/>
      <c r="N65" s="1921"/>
    </row>
    <row r="66" spans="1:14" s="50" customFormat="1" ht="15.75" customHeight="1" x14ac:dyDescent="0.25">
      <c r="A66" s="2215" t="s">
        <v>85</v>
      </c>
      <c r="B66" s="2216"/>
      <c r="C66" s="1817"/>
      <c r="D66" s="1822"/>
      <c r="E66" s="1819"/>
      <c r="F66" s="1817"/>
      <c r="G66" s="1818">
        <f>SUM(G51:G65)</f>
        <v>0</v>
      </c>
      <c r="H66" s="1819">
        <f ca="1">SUM(H51:H65)</f>
        <v>236866.06580192127</v>
      </c>
      <c r="I66" s="1819">
        <f ca="1">SUM(I51:I65)</f>
        <v>236866.06580192127</v>
      </c>
      <c r="J66" s="1820"/>
      <c r="K66" s="1821">
        <f ca="1">SUM(K51:K65)</f>
        <v>19244.598200279102</v>
      </c>
      <c r="L66" s="1817"/>
      <c r="M66" s="1924">
        <f ca="1">SUM(M51:M65)</f>
        <v>24907.969678224603</v>
      </c>
      <c r="N66" s="1889">
        <f ca="1">SUM(N50:N65)</f>
        <v>6290.0327559040607</v>
      </c>
    </row>
    <row r="67" spans="1:14" s="50" customFormat="1" ht="15.75" customHeight="1" x14ac:dyDescent="0.25">
      <c r="A67" s="2217" t="s">
        <v>1413</v>
      </c>
      <c r="B67" s="2218"/>
      <c r="C67" s="1803"/>
      <c r="D67" s="1823">
        <f ca="1">AVERAGE(D51:D65)</f>
        <v>8.149995110980738</v>
      </c>
      <c r="E67" s="1805">
        <f>AVERAGE(E51:E65)</f>
        <v>13.357142857142858</v>
      </c>
      <c r="F67" s="1803"/>
      <c r="G67" s="1804" t="e">
        <f t="shared" ref="G67:N67" si="13">AVERAGE(G51:G65)</f>
        <v>#DIV/0!</v>
      </c>
      <c r="H67" s="1805">
        <f t="shared" ca="1" si="13"/>
        <v>18220.466600147789</v>
      </c>
      <c r="I67" s="1805">
        <f t="shared" ca="1" si="13"/>
        <v>18220.466600147789</v>
      </c>
      <c r="J67" s="1806">
        <f t="shared" si="13"/>
        <v>9.1383416241226758</v>
      </c>
      <c r="K67" s="1824">
        <f t="shared" ca="1" si="13"/>
        <v>1480.3537077137771</v>
      </c>
      <c r="L67" s="1804">
        <f t="shared" si="13"/>
        <v>0.11871939750982365</v>
      </c>
      <c r="M67" s="1925">
        <f t="shared" ca="1" si="13"/>
        <v>1915.9976675557386</v>
      </c>
      <c r="N67" s="1922">
        <f t="shared" ca="1" si="13"/>
        <v>483.8486735310816</v>
      </c>
    </row>
    <row r="68" spans="1:14" s="617" customFormat="1" x14ac:dyDescent="0.25">
      <c r="G68" s="1793"/>
      <c r="H68" s="612"/>
      <c r="J68" s="1793"/>
      <c r="K68" s="1792"/>
      <c r="M68" s="1792"/>
    </row>
    <row r="69" spans="1:14" s="617" customFormat="1" x14ac:dyDescent="0.25">
      <c r="G69" s="1793"/>
      <c r="H69" s="612"/>
      <c r="J69" s="1793"/>
      <c r="K69" s="1792"/>
      <c r="M69" s="1792"/>
    </row>
    <row r="70" spans="1:14" s="617" customFormat="1" x14ac:dyDescent="0.25">
      <c r="G70" s="1793"/>
      <c r="H70" s="612"/>
      <c r="J70" s="1793"/>
      <c r="K70" s="1792"/>
      <c r="M70" s="1792"/>
    </row>
    <row r="71" spans="1:14" s="617" customFormat="1" x14ac:dyDescent="0.25">
      <c r="G71" s="1793"/>
      <c r="H71" s="612"/>
      <c r="J71" s="1793"/>
      <c r="K71" s="1792"/>
      <c r="M71" s="1792"/>
    </row>
    <row r="72" spans="1:14" s="617" customFormat="1" x14ac:dyDescent="0.25">
      <c r="G72" s="1793"/>
      <c r="H72" s="612"/>
      <c r="J72" s="1793"/>
      <c r="K72" s="1792"/>
      <c r="M72" s="1792"/>
    </row>
    <row r="73" spans="1:14" s="617" customFormat="1" x14ac:dyDescent="0.25">
      <c r="G73" s="1793"/>
      <c r="H73" s="612"/>
      <c r="J73" s="1793"/>
      <c r="K73" s="1792"/>
      <c r="M73" s="1792"/>
    </row>
    <row r="74" spans="1:14" s="617" customFormat="1" x14ac:dyDescent="0.25">
      <c r="G74" s="1793"/>
      <c r="H74" s="612"/>
      <c r="J74" s="1793"/>
      <c r="K74" s="1792"/>
      <c r="M74" s="1792"/>
    </row>
    <row r="75" spans="1:14" s="617" customFormat="1" x14ac:dyDescent="0.25">
      <c r="G75" s="1793"/>
      <c r="H75" s="612"/>
      <c r="J75" s="1793"/>
      <c r="K75" s="1792"/>
      <c r="M75" s="1792"/>
    </row>
    <row r="76" spans="1:14" s="617" customFormat="1" x14ac:dyDescent="0.25">
      <c r="G76" s="1793"/>
      <c r="H76" s="612"/>
      <c r="J76" s="1793"/>
      <c r="K76" s="1792"/>
      <c r="M76" s="1792"/>
    </row>
    <row r="77" spans="1:14" s="617" customFormat="1" x14ac:dyDescent="0.25">
      <c r="G77" s="1793"/>
      <c r="H77" s="612"/>
      <c r="J77" s="1793"/>
      <c r="K77" s="1792"/>
      <c r="M77" s="1792"/>
    </row>
    <row r="78" spans="1:14" s="617" customFormat="1" x14ac:dyDescent="0.25">
      <c r="G78" s="1793"/>
      <c r="H78" s="612"/>
      <c r="J78" s="1793"/>
      <c r="K78" s="1792"/>
      <c r="M78" s="1792"/>
    </row>
    <row r="79" spans="1:14" s="617" customFormat="1" x14ac:dyDescent="0.25">
      <c r="G79" s="1793"/>
      <c r="H79" s="612"/>
      <c r="J79" s="1793"/>
      <c r="K79" s="1792"/>
      <c r="M79" s="1792"/>
    </row>
    <row r="80" spans="1:14" s="617" customFormat="1" x14ac:dyDescent="0.25">
      <c r="G80" s="1793"/>
      <c r="H80" s="612"/>
      <c r="J80" s="1793"/>
      <c r="K80" s="1792"/>
      <c r="M80" s="1792"/>
    </row>
    <row r="81" spans="1:14" s="617" customFormat="1" x14ac:dyDescent="0.25">
      <c r="G81" s="1793"/>
      <c r="H81" s="612"/>
      <c r="J81" s="1793"/>
      <c r="K81" s="1792"/>
      <c r="M81" s="1792"/>
    </row>
    <row r="82" spans="1:14" s="617" customFormat="1" x14ac:dyDescent="0.25">
      <c r="G82" s="1793"/>
      <c r="H82" s="612"/>
      <c r="J82" s="1793"/>
      <c r="K82" s="1792"/>
      <c r="M82" s="1792"/>
    </row>
    <row r="83" spans="1:14" s="617" customFormat="1" x14ac:dyDescent="0.25">
      <c r="G83" s="1793"/>
      <c r="H83" s="612"/>
      <c r="J83" s="1793"/>
      <c r="K83" s="1792"/>
      <c r="M83" s="1792"/>
    </row>
    <row r="84" spans="1:14" s="617" customFormat="1" x14ac:dyDescent="0.25">
      <c r="G84" s="1793"/>
      <c r="H84" s="612"/>
      <c r="J84" s="1793"/>
      <c r="K84" s="1792"/>
      <c r="M84" s="1792"/>
    </row>
    <row r="85" spans="1:14" s="617" customFormat="1" x14ac:dyDescent="0.25">
      <c r="G85" s="1793"/>
      <c r="H85" s="612"/>
      <c r="J85" s="1793"/>
      <c r="K85" s="1792"/>
      <c r="M85" s="1792"/>
    </row>
    <row r="86" spans="1:14" s="617" customFormat="1" x14ac:dyDescent="0.25">
      <c r="G86" s="1793"/>
      <c r="H86" s="612"/>
      <c r="J86" s="1793"/>
      <c r="K86" s="1792"/>
      <c r="M86" s="1792"/>
    </row>
    <row r="87" spans="1:14" s="617" customFormat="1" x14ac:dyDescent="0.25">
      <c r="G87" s="1793"/>
      <c r="H87" s="612"/>
      <c r="J87" s="1793"/>
      <c r="K87" s="1792"/>
      <c r="M87" s="1792"/>
    </row>
    <row r="88" spans="1:14" s="617" customFormat="1" x14ac:dyDescent="0.25">
      <c r="G88" s="1793"/>
      <c r="H88" s="612"/>
      <c r="J88" s="1793"/>
      <c r="K88" s="1792"/>
      <c r="M88" s="1792"/>
    </row>
    <row r="89" spans="1:14" s="617" customFormat="1" x14ac:dyDescent="0.25">
      <c r="G89" s="1793"/>
      <c r="H89" s="612"/>
      <c r="J89" s="1793"/>
      <c r="K89" s="1792"/>
      <c r="M89" s="1792"/>
    </row>
    <row r="90" spans="1:14" s="617" customFormat="1" x14ac:dyDescent="0.25">
      <c r="G90" s="1793"/>
      <c r="H90" s="612"/>
      <c r="J90" s="1793"/>
      <c r="K90" s="1792"/>
      <c r="M90" s="1792"/>
    </row>
    <row r="91" spans="1:14" s="617" customFormat="1" x14ac:dyDescent="0.25">
      <c r="G91" s="1793"/>
      <c r="H91" s="612"/>
      <c r="J91" s="1793"/>
      <c r="K91" s="1792"/>
      <c r="M91" s="1792"/>
    </row>
    <row r="92" spans="1:14" x14ac:dyDescent="0.25">
      <c r="A92" s="50" t="s">
        <v>1415</v>
      </c>
      <c r="B92" s="50"/>
      <c r="C92" s="1825"/>
      <c r="D92" s="1876">
        <v>44926</v>
      </c>
      <c r="F92" s="50"/>
      <c r="G92" s="50"/>
      <c r="H92" s="50"/>
      <c r="I92" s="50"/>
      <c r="J92" s="50"/>
      <c r="K92" s="50"/>
      <c r="L92" s="50"/>
      <c r="M92" s="50"/>
    </row>
    <row r="94" spans="1:14" s="49" customFormat="1" ht="66.75" customHeight="1" x14ac:dyDescent="0.25">
      <c r="A94" s="2064" t="s">
        <v>344</v>
      </c>
      <c r="B94" s="2066" t="s">
        <v>3</v>
      </c>
      <c r="C94" s="2066" t="s">
        <v>66</v>
      </c>
      <c r="D94" s="1789" t="s">
        <v>335</v>
      </c>
      <c r="E94" s="1810" t="s">
        <v>342</v>
      </c>
      <c r="F94" s="2219" t="s">
        <v>334</v>
      </c>
      <c r="G94" s="2221" t="s">
        <v>343</v>
      </c>
      <c r="H94" s="2211" t="s">
        <v>7</v>
      </c>
      <c r="I94" s="2211" t="s">
        <v>1410</v>
      </c>
      <c r="J94" s="2010" t="s">
        <v>54</v>
      </c>
      <c r="K94" s="2213" t="s">
        <v>1444</v>
      </c>
      <c r="L94" s="2202" t="s">
        <v>1411</v>
      </c>
      <c r="M94" s="2223" t="s">
        <v>1412</v>
      </c>
      <c r="N94" s="2012" t="s">
        <v>1433</v>
      </c>
    </row>
    <row r="95" spans="1:14" s="2" customFormat="1" ht="29.25" customHeight="1" x14ac:dyDescent="0.25">
      <c r="A95" s="2065"/>
      <c r="B95" s="2067"/>
      <c r="C95" s="2067"/>
      <c r="D95" s="699">
        <f ca="1">TODAY()</f>
        <v>44607</v>
      </c>
      <c r="E95" s="1811">
        <v>365.25</v>
      </c>
      <c r="F95" s="2220"/>
      <c r="G95" s="2222"/>
      <c r="H95" s="2212"/>
      <c r="I95" s="2212"/>
      <c r="J95" s="2011"/>
      <c r="K95" s="2214"/>
      <c r="L95" s="2203"/>
      <c r="M95" s="2224"/>
      <c r="N95" s="2013"/>
    </row>
    <row r="96" spans="1:14" x14ac:dyDescent="0.25">
      <c r="A96" s="694" t="s">
        <v>336</v>
      </c>
      <c r="B96" s="196"/>
      <c r="C96" s="695"/>
      <c r="D96" s="696"/>
      <c r="E96" s="17"/>
      <c r="F96" s="1807"/>
      <c r="G96" s="1808"/>
      <c r="H96" s="17"/>
      <c r="I96" s="472"/>
      <c r="J96" s="787"/>
      <c r="K96" s="1809"/>
      <c r="L96" s="472"/>
      <c r="M96" s="1809"/>
      <c r="N96" s="458"/>
    </row>
    <row r="97" spans="1:14" s="7" customFormat="1" x14ac:dyDescent="0.25">
      <c r="A97" s="686" t="s">
        <v>36</v>
      </c>
      <c r="B97" s="99" t="s">
        <v>1233</v>
      </c>
      <c r="C97" s="192">
        <v>37256</v>
      </c>
      <c r="D97" s="682">
        <f ca="1">($D$4-C97)/365.25</f>
        <v>20.125941136208077</v>
      </c>
      <c r="E97" s="12">
        <v>21</v>
      </c>
      <c r="F97" s="1797">
        <f>C97+(E97*$E$4)</f>
        <v>44926.25</v>
      </c>
      <c r="G97" s="1827" t="s">
        <v>1416</v>
      </c>
      <c r="H97" s="1283"/>
      <c r="I97" s="1283"/>
      <c r="J97" s="755"/>
      <c r="K97" s="1802"/>
      <c r="L97" s="141"/>
      <c r="M97" s="1794"/>
      <c r="N97" s="1919"/>
    </row>
    <row r="98" spans="1:14" s="1044" customFormat="1" x14ac:dyDescent="0.25">
      <c r="A98" s="1030" t="s">
        <v>594</v>
      </c>
      <c r="B98" s="1031" t="s">
        <v>597</v>
      </c>
      <c r="C98" s="1032">
        <v>43558</v>
      </c>
      <c r="D98" s="1033">
        <f ca="1">($D$4-C98)/365.25</f>
        <v>2.8720054757015743</v>
      </c>
      <c r="E98" s="1060">
        <v>4</v>
      </c>
      <c r="F98" s="1799">
        <f>C98+(E98*$E$4)</f>
        <v>45019</v>
      </c>
      <c r="G98" s="1800"/>
      <c r="H98" s="1060">
        <f ca="1">VLOOKUP(A98,Prehľad!$B$1:$BN$27,11,FALSE)</f>
        <v>18864.866539561488</v>
      </c>
      <c r="I98" s="1060">
        <f t="shared" ref="I98:I109" ca="1" si="14">H98</f>
        <v>18864.866539561488</v>
      </c>
      <c r="J98" s="1042">
        <f>VLOOKUP(A98,Prehľad!$B$1:$BN$27,28,FALSE)</f>
        <v>6.3787370167055029</v>
      </c>
      <c r="K98" s="1801">
        <f t="shared" ref="K98:K109" ca="1" si="15">I98/100*J98</f>
        <v>1203.340225111099</v>
      </c>
      <c r="L98" s="1071">
        <v>8.0192418150488221E-2</v>
      </c>
      <c r="M98" s="1796">
        <f t="shared" ref="M98:M109" ca="1" si="16">I98*L98</f>
        <v>1512.8192658936687</v>
      </c>
      <c r="N98" s="1919">
        <f ca="1">23.38*I98/1000</f>
        <v>441.06057969494759</v>
      </c>
    </row>
    <row r="99" spans="1:14" s="7" customFormat="1" x14ac:dyDescent="0.25">
      <c r="A99" s="684" t="s">
        <v>28</v>
      </c>
      <c r="B99" s="101" t="s">
        <v>27</v>
      </c>
      <c r="C99" s="191">
        <v>39309</v>
      </c>
      <c r="D99" s="682">
        <f t="shared" ref="D99:D110" ca="1" si="17">($D$4-C99)/365.25</f>
        <v>14.505133470225873</v>
      </c>
      <c r="E99" s="1283">
        <v>16</v>
      </c>
      <c r="F99" s="1797">
        <f t="shared" ref="F99:F110" si="18">C99+(E99*$E$4)</f>
        <v>45153</v>
      </c>
      <c r="G99" s="1798"/>
      <c r="H99" s="1283">
        <f ca="1">VLOOKUP(A99,Prehľad!$B$1:$BN$27,11,FALSE)</f>
        <v>11223.957389580974</v>
      </c>
      <c r="I99" s="1283">
        <f t="shared" ca="1" si="14"/>
        <v>11223.957389580974</v>
      </c>
      <c r="J99" s="754">
        <f>VLOOKUP(A99,Prehľad!$B$1:$BN$27,28,FALSE)</f>
        <v>10.889400921658984</v>
      </c>
      <c r="K99" s="1802">
        <f t="shared" ca="1" si="15"/>
        <v>1222.2217194276423</v>
      </c>
      <c r="L99" s="141">
        <v>0.14569284434203789</v>
      </c>
      <c r="M99" s="1794">
        <f t="shared" ca="1" si="16"/>
        <v>1635.2502768618867</v>
      </c>
      <c r="N99" s="1920">
        <f t="shared" ref="N99:N110" ca="1" si="19">26.83*I99/1000</f>
        <v>301.1387767624575</v>
      </c>
    </row>
    <row r="100" spans="1:14" s="7" customFormat="1" x14ac:dyDescent="0.25">
      <c r="A100" s="684" t="s">
        <v>11</v>
      </c>
      <c r="B100" s="101" t="s">
        <v>345</v>
      </c>
      <c r="C100" s="191">
        <v>39484</v>
      </c>
      <c r="D100" s="682">
        <f t="shared" ca="1" si="17"/>
        <v>14.026009582477755</v>
      </c>
      <c r="E100" s="1283">
        <v>16</v>
      </c>
      <c r="F100" s="1797">
        <f t="shared" si="18"/>
        <v>45328</v>
      </c>
      <c r="G100" s="1798"/>
      <c r="H100" s="1283">
        <f ca="1">VLOOKUP(A100,Prehľad!$B$1:$BN$27,11,FALSE)</f>
        <v>7769.9932656646497</v>
      </c>
      <c r="I100" s="1283">
        <f t="shared" ca="1" si="14"/>
        <v>7769.9932656646497</v>
      </c>
      <c r="J100" s="754">
        <f>VLOOKUP(A100,Prehľad!$B$1:$BN$27,28,FALSE)</f>
        <v>9.4439090732465516</v>
      </c>
      <c r="K100" s="1802">
        <f t="shared" ca="1" si="15"/>
        <v>733.79109900674985</v>
      </c>
      <c r="L100" s="141">
        <v>0.11087235282688948</v>
      </c>
      <c r="M100" s="1794">
        <f t="shared" ca="1" si="16"/>
        <v>861.47743481332623</v>
      </c>
      <c r="N100" s="1920">
        <f t="shared" ca="1" si="19"/>
        <v>208.46891931778254</v>
      </c>
    </row>
    <row r="101" spans="1:14" x14ac:dyDescent="0.25">
      <c r="A101" s="684" t="s">
        <v>25</v>
      </c>
      <c r="B101" s="101" t="s">
        <v>340</v>
      </c>
      <c r="C101" s="191">
        <v>40844</v>
      </c>
      <c r="D101" s="682">
        <f t="shared" ca="1" si="17"/>
        <v>10.302532511978097</v>
      </c>
      <c r="E101" s="1283">
        <v>14</v>
      </c>
      <c r="F101" s="1797">
        <f t="shared" si="18"/>
        <v>45957.5</v>
      </c>
      <c r="G101" s="1798"/>
      <c r="H101" s="1283">
        <f ca="1">VLOOKUP(A101,Prehľad!$B$1:$BN$27,11,FALSE)</f>
        <v>13676.443130481</v>
      </c>
      <c r="I101" s="1283">
        <f t="shared" ca="1" si="14"/>
        <v>13676.443130481</v>
      </c>
      <c r="J101" s="754">
        <f>VLOOKUP(A101,Prehľad!$B$1:$BN$27,28,FALSE)</f>
        <v>7.6428602141290787</v>
      </c>
      <c r="K101" s="1802">
        <f t="shared" ca="1" si="15"/>
        <v>1045.2714307275219</v>
      </c>
      <c r="L101" s="141">
        <v>0.10165563056284127</v>
      </c>
      <c r="M101" s="1794">
        <f t="shared" ca="1" si="16"/>
        <v>1390.2874502858849</v>
      </c>
      <c r="N101" s="1920">
        <f t="shared" ca="1" si="19"/>
        <v>366.93896919080521</v>
      </c>
    </row>
    <row r="102" spans="1:14" s="7" customFormat="1" x14ac:dyDescent="0.25">
      <c r="A102" s="684" t="s">
        <v>20</v>
      </c>
      <c r="B102" s="101" t="s">
        <v>21</v>
      </c>
      <c r="C102" s="191">
        <v>40959</v>
      </c>
      <c r="D102" s="682">
        <f t="shared" ca="1" si="17"/>
        <v>9.9876796714579061</v>
      </c>
      <c r="E102" s="1283">
        <v>14</v>
      </c>
      <c r="F102" s="1797">
        <f t="shared" si="18"/>
        <v>46072.5</v>
      </c>
      <c r="G102" s="1798"/>
      <c r="H102" s="1283">
        <f ca="1">VLOOKUP(A102,Prehľad!$B$1:$BN$27,11,FALSE)</f>
        <v>26706.803659539473</v>
      </c>
      <c r="I102" s="1283">
        <f t="shared" ca="1" si="14"/>
        <v>26706.803659539473</v>
      </c>
      <c r="J102" s="754">
        <f>VLOOKUP(A102,Prehľad!$B$1:$BN$27,28,FALSE)</f>
        <v>6.4357585815355058</v>
      </c>
      <c r="K102" s="1802">
        <f t="shared" ca="1" si="15"/>
        <v>1718.7854083726502</v>
      </c>
      <c r="L102" s="141">
        <v>7.5629749323084985E-2</v>
      </c>
      <c r="M102" s="1794">
        <f t="shared" ca="1" si="16"/>
        <v>2019.8288659918192</v>
      </c>
      <c r="N102" s="1920">
        <f t="shared" ca="1" si="19"/>
        <v>716.54354218544404</v>
      </c>
    </row>
    <row r="103" spans="1:14" x14ac:dyDescent="0.25">
      <c r="A103" s="684" t="s">
        <v>30</v>
      </c>
      <c r="B103" s="101" t="s">
        <v>21</v>
      </c>
      <c r="C103" s="192">
        <v>41533</v>
      </c>
      <c r="D103" s="682">
        <f t="shared" ca="1" si="17"/>
        <v>8.4161533196440796</v>
      </c>
      <c r="E103" s="1283">
        <v>14</v>
      </c>
      <c r="F103" s="1797">
        <f t="shared" si="18"/>
        <v>46646.5</v>
      </c>
      <c r="G103" s="1798"/>
      <c r="H103" s="1283">
        <f ca="1">VLOOKUP(A103,Prehľad!$B$1:$BN$27,11,FALSE)</f>
        <v>23634.669242029926</v>
      </c>
      <c r="I103" s="1283">
        <f t="shared" ca="1" si="14"/>
        <v>23634.669242029926</v>
      </c>
      <c r="J103" s="755">
        <f>VLOOKUP(A103,Prehľad!$B$1:$BN$27,28,FALSE)</f>
        <v>6.7560932949705723</v>
      </c>
      <c r="K103" s="1802">
        <f t="shared" ca="1" si="15"/>
        <v>1596.780303949256</v>
      </c>
      <c r="L103" s="141">
        <v>8.9759066700481852E-2</v>
      </c>
      <c r="M103" s="1794">
        <f t="shared" ca="1" si="16"/>
        <v>2121.4258529391909</v>
      </c>
      <c r="N103" s="1920">
        <f t="shared" ca="1" si="19"/>
        <v>634.11817576366286</v>
      </c>
    </row>
    <row r="104" spans="1:14" x14ac:dyDescent="0.25">
      <c r="A104" s="686" t="s">
        <v>40</v>
      </c>
      <c r="B104" s="99" t="s">
        <v>338</v>
      </c>
      <c r="C104" s="192">
        <v>41992</v>
      </c>
      <c r="D104" s="682">
        <f t="shared" ca="1" si="17"/>
        <v>7.1594798083504445</v>
      </c>
      <c r="E104" s="12">
        <v>14</v>
      </c>
      <c r="F104" s="1797">
        <f t="shared" si="18"/>
        <v>47105.5</v>
      </c>
      <c r="G104" s="1798"/>
      <c r="H104" s="1283">
        <f ca="1">VLOOKUP(A104,Prehľad!$B$1:$BN$27,11,FALSE)</f>
        <v>19060.602676864244</v>
      </c>
      <c r="I104" s="1283">
        <f t="shared" ca="1" si="14"/>
        <v>19060.602676864244</v>
      </c>
      <c r="J104" s="755">
        <f>VLOOKUP(A104,Prehľad!$B$1:$BN$27,28,FALSE)</f>
        <v>5.3088211498487681</v>
      </c>
      <c r="K104" s="1802">
        <f t="shared" ca="1" si="15"/>
        <v>1011.8933061980094</v>
      </c>
      <c r="L104" s="141">
        <v>6.4418590756898722E-2</v>
      </c>
      <c r="M104" s="1794">
        <f t="shared" ca="1" si="16"/>
        <v>1227.857163420766</v>
      </c>
      <c r="N104" s="1920">
        <f t="shared" ca="1" si="19"/>
        <v>511.39596982026762</v>
      </c>
    </row>
    <row r="105" spans="1:14" x14ac:dyDescent="0.25">
      <c r="A105" s="684" t="s">
        <v>18</v>
      </c>
      <c r="B105" s="101" t="s">
        <v>17</v>
      </c>
      <c r="C105" s="192">
        <v>42356</v>
      </c>
      <c r="D105" s="682">
        <f t="shared" ca="1" si="17"/>
        <v>6.1629021218343603</v>
      </c>
      <c r="E105" s="1283">
        <v>14</v>
      </c>
      <c r="F105" s="1797">
        <f t="shared" si="18"/>
        <v>47469.5</v>
      </c>
      <c r="G105" s="1798"/>
      <c r="H105" s="1283">
        <f ca="1">VLOOKUP(A105,Prehľad!$B$1:$BN$27,11,FALSE)</f>
        <v>26724.422478898265</v>
      </c>
      <c r="I105" s="1283">
        <f t="shared" ca="1" si="14"/>
        <v>26724.422478898265</v>
      </c>
      <c r="J105" s="755">
        <f>VLOOKUP(A105,Prehľad!$B$1:$BN$27,28,FALSE)</f>
        <v>6.4805937905968545</v>
      </c>
      <c r="K105" s="1802">
        <f t="shared" ca="1" si="15"/>
        <v>1731.9012637403509</v>
      </c>
      <c r="L105" s="141">
        <v>8.6021836547023015E-2</v>
      </c>
      <c r="M105" s="1794">
        <f t="shared" ca="1" si="16"/>
        <v>2298.8839022933739</v>
      </c>
      <c r="N105" s="1920">
        <f t="shared" ca="1" si="19"/>
        <v>717.01625510884037</v>
      </c>
    </row>
    <row r="106" spans="1:14" s="7" customFormat="1" x14ac:dyDescent="0.25">
      <c r="A106" s="686" t="s">
        <v>38</v>
      </c>
      <c r="B106" s="99" t="s">
        <v>339</v>
      </c>
      <c r="C106" s="192">
        <v>42366</v>
      </c>
      <c r="D106" s="682">
        <f t="shared" ca="1" si="17"/>
        <v>6.1355236139630387</v>
      </c>
      <c r="E106" s="12">
        <v>15</v>
      </c>
      <c r="F106" s="1797">
        <f t="shared" si="18"/>
        <v>47844.75</v>
      </c>
      <c r="G106" s="1798"/>
      <c r="H106" s="1283">
        <f ca="1">VLOOKUP(A106,Prehľad!$B$1:$BN$27,11,FALSE)</f>
        <v>31085.855421686749</v>
      </c>
      <c r="I106" s="1283">
        <f t="shared" ca="1" si="14"/>
        <v>31085.855421686749</v>
      </c>
      <c r="J106" s="755">
        <f>VLOOKUP(A106,Prehľad!$B$1:$BN$27,28,FALSE)</f>
        <v>6.4512454068074572</v>
      </c>
      <c r="K106" s="1802">
        <f t="shared" ca="1" si="15"/>
        <v>2005.4248200583734</v>
      </c>
      <c r="L106" s="141">
        <v>7.9289755750232033E-2</v>
      </c>
      <c r="M106" s="1794">
        <f t="shared" ca="1" si="16"/>
        <v>2464.7898836725685</v>
      </c>
      <c r="N106" s="1920">
        <f t="shared" ca="1" si="19"/>
        <v>834.03350096385543</v>
      </c>
    </row>
    <row r="107" spans="1:14" s="1044" customFormat="1" x14ac:dyDescent="0.25">
      <c r="A107" s="684" t="s">
        <v>164</v>
      </c>
      <c r="B107" s="101" t="s">
        <v>17</v>
      </c>
      <c r="C107" s="192">
        <v>42913</v>
      </c>
      <c r="D107" s="682">
        <f t="shared" ca="1" si="17"/>
        <v>4.6379192334017798</v>
      </c>
      <c r="E107" s="1283">
        <v>14</v>
      </c>
      <c r="F107" s="1797">
        <f t="shared" si="18"/>
        <v>48026.5</v>
      </c>
      <c r="G107" s="1798"/>
      <c r="H107" s="1283">
        <f ca="1">VLOOKUP(A107,Prehľad!$B$1:$BN$27,11,FALSE)</f>
        <v>25956.036304604484</v>
      </c>
      <c r="I107" s="1283">
        <f t="shared" ca="1" si="14"/>
        <v>25956.036304604484</v>
      </c>
      <c r="J107" s="755">
        <f>VLOOKUP(A107,Prehľad!$B$1:$BN$27,28,FALSE)</f>
        <v>6.8422129340599254</v>
      </c>
      <c r="K107" s="1802">
        <f t="shared" ca="1" si="15"/>
        <v>1775.9672732029378</v>
      </c>
      <c r="L107" s="141">
        <v>9.2113292065675506E-2</v>
      </c>
      <c r="M107" s="1794">
        <f t="shared" ca="1" si="16"/>
        <v>2390.8959529933095</v>
      </c>
      <c r="N107" s="1920">
        <f t="shared" ca="1" si="19"/>
        <v>696.40045405253829</v>
      </c>
    </row>
    <row r="108" spans="1:14" s="7" customFormat="1" x14ac:dyDescent="0.25">
      <c r="A108" s="1396" t="s">
        <v>215</v>
      </c>
      <c r="B108" s="101" t="s">
        <v>218</v>
      </c>
      <c r="C108" s="192">
        <v>43160</v>
      </c>
      <c r="D108" s="682">
        <f t="shared" ca="1" si="17"/>
        <v>3.9616700889801506</v>
      </c>
      <c r="E108" s="1283">
        <v>14</v>
      </c>
      <c r="F108" s="1797">
        <f t="shared" si="18"/>
        <v>48273.5</v>
      </c>
      <c r="G108" s="1798"/>
      <c r="H108" s="1283">
        <f ca="1">VLOOKUP(A108,Prehľad!$B$1:$BN$27,11,FALSE)</f>
        <v>11260.150138217001</v>
      </c>
      <c r="I108" s="1283">
        <f t="shared" ca="1" si="14"/>
        <v>11260.150138217001</v>
      </c>
      <c r="J108" s="755">
        <f>VLOOKUP(A108,Prehľad!$B$1:$BN$27,28,FALSE)</f>
        <v>20.894241671290384</v>
      </c>
      <c r="K108" s="1802">
        <f t="shared" ca="1" si="15"/>
        <v>2352.7229824291985</v>
      </c>
      <c r="L108" s="141">
        <v>0.28791426434757439</v>
      </c>
      <c r="M108" s="1794">
        <f t="shared" ca="1" si="16"/>
        <v>3241.9578434879859</v>
      </c>
      <c r="N108" s="1920">
        <f t="shared" ca="1" si="19"/>
        <v>302.1098282083621</v>
      </c>
    </row>
    <row r="109" spans="1:14" s="7" customFormat="1" x14ac:dyDescent="0.25">
      <c r="A109" s="1396" t="s">
        <v>1139</v>
      </c>
      <c r="B109" s="101" t="s">
        <v>1137</v>
      </c>
      <c r="C109" s="192">
        <v>44004</v>
      </c>
      <c r="D109" s="682">
        <f t="shared" ca="1" si="17"/>
        <v>1.6509240246406571</v>
      </c>
      <c r="E109" s="1283">
        <v>13</v>
      </c>
      <c r="F109" s="1797">
        <f t="shared" si="18"/>
        <v>48752.25</v>
      </c>
      <c r="G109" s="1798"/>
      <c r="H109" s="1283">
        <f ca="1">VLOOKUP(A109,Prehľad!$B$1:$BN$27,11,FALSE)</f>
        <v>5976.6529850746265</v>
      </c>
      <c r="I109" s="1283">
        <f t="shared" ca="1" si="14"/>
        <v>5976.6529850746265</v>
      </c>
      <c r="J109" s="755">
        <f>VLOOKUP(A109,Prehľad!$B$1:$BN$27,28,FALSE)</f>
        <v>10.346293119878025</v>
      </c>
      <c r="K109" s="1802">
        <f t="shared" ca="1" si="15"/>
        <v>618.36203659376065</v>
      </c>
      <c r="L109" s="141">
        <v>0.13184295788069372</v>
      </c>
      <c r="M109" s="1794">
        <f t="shared" ca="1" si="16"/>
        <v>787.9796077787164</v>
      </c>
      <c r="N109" s="1920">
        <f t="shared" ca="1" si="19"/>
        <v>160.3535995895522</v>
      </c>
    </row>
    <row r="110" spans="1:14" s="1838" customFormat="1" x14ac:dyDescent="0.25">
      <c r="A110" s="1828" t="s">
        <v>1417</v>
      </c>
      <c r="B110" s="1829" t="s">
        <v>1418</v>
      </c>
      <c r="C110" s="1839">
        <v>44926</v>
      </c>
      <c r="D110" s="1831">
        <f t="shared" ca="1" si="17"/>
        <v>-0.87337440109514031</v>
      </c>
      <c r="E110" s="1832">
        <v>12</v>
      </c>
      <c r="F110" s="1833">
        <f t="shared" si="18"/>
        <v>49309</v>
      </c>
      <c r="G110" s="1834">
        <v>50000</v>
      </c>
      <c r="H110" s="1832">
        <f ca="1">$H$52</f>
        <v>14925.612569718405</v>
      </c>
      <c r="I110" s="1832">
        <v>0</v>
      </c>
      <c r="J110" s="1835">
        <v>0</v>
      </c>
      <c r="K110" s="1836">
        <v>0</v>
      </c>
      <c r="L110" s="1837">
        <v>0</v>
      </c>
      <c r="M110" s="1926">
        <v>0</v>
      </c>
      <c r="N110" s="1923">
        <f t="shared" si="19"/>
        <v>0</v>
      </c>
    </row>
    <row r="111" spans="1:14" x14ac:dyDescent="0.25">
      <c r="A111" s="700"/>
      <c r="B111" s="202"/>
      <c r="C111" s="701"/>
      <c r="D111" s="702"/>
      <c r="E111" s="1812"/>
      <c r="F111" s="1813"/>
      <c r="G111" s="1814"/>
      <c r="H111" s="1812"/>
      <c r="I111" s="1733"/>
      <c r="J111" s="1815"/>
      <c r="K111" s="1816"/>
      <c r="L111" s="1733"/>
      <c r="M111" s="1816"/>
      <c r="N111" s="1921"/>
    </row>
    <row r="112" spans="1:14" s="50" customFormat="1" ht="15.75" customHeight="1" x14ac:dyDescent="0.25">
      <c r="A112" s="2215" t="s">
        <v>85</v>
      </c>
      <c r="B112" s="2216"/>
      <c r="C112" s="1817"/>
      <c r="D112" s="1822"/>
      <c r="E112" s="1819"/>
      <c r="F112" s="1817"/>
      <c r="G112" s="1818">
        <f>SUM(G97:G111)</f>
        <v>50000</v>
      </c>
      <c r="H112" s="1819">
        <f ca="1">SUM(H97:H111)</f>
        <v>236866.06580192127</v>
      </c>
      <c r="I112" s="1819">
        <f ca="1">SUM(I97:I111)</f>
        <v>221940.45323220285</v>
      </c>
      <c r="J112" s="1820"/>
      <c r="K112" s="1821">
        <f ca="1">SUM(K97:K111)</f>
        <v>17016.461868817547</v>
      </c>
      <c r="L112" s="1817"/>
      <c r="M112" s="1924">
        <f ca="1">SUM(M97:M111)</f>
        <v>21953.453500432501</v>
      </c>
      <c r="N112" s="1889">
        <f ca="1">SUM(N96:N111)</f>
        <v>5889.5785706585157</v>
      </c>
    </row>
    <row r="113" spans="1:14" s="50" customFormat="1" ht="15.75" customHeight="1" x14ac:dyDescent="0.25">
      <c r="A113" s="2217" t="s">
        <v>1413</v>
      </c>
      <c r="B113" s="2218"/>
      <c r="C113" s="1803"/>
      <c r="D113" s="1823">
        <f ca="1">AVERAGE(D97:D111)</f>
        <v>7.7907499755549052</v>
      </c>
      <c r="E113" s="1805">
        <f>AVERAGE(E97:E111)</f>
        <v>13.928571428571429</v>
      </c>
      <c r="F113" s="1803"/>
      <c r="G113" s="1804">
        <f t="shared" ref="G113:N113" si="20">AVERAGE(G97:G111)</f>
        <v>50000</v>
      </c>
      <c r="H113" s="1805">
        <f t="shared" ca="1" si="20"/>
        <v>18220.466600147789</v>
      </c>
      <c r="I113" s="1805">
        <f t="shared" ca="1" si="20"/>
        <v>17072.342556323296</v>
      </c>
      <c r="J113" s="1806">
        <f t="shared" si="20"/>
        <v>7.9900128595944313</v>
      </c>
      <c r="K113" s="1824">
        <f t="shared" ca="1" si="20"/>
        <v>1308.9586052936575</v>
      </c>
      <c r="L113" s="1804">
        <f t="shared" si="20"/>
        <v>0.10349251994260932</v>
      </c>
      <c r="M113" s="1925">
        <f t="shared" ca="1" si="20"/>
        <v>1688.7271923409617</v>
      </c>
      <c r="N113" s="1922">
        <f t="shared" ca="1" si="20"/>
        <v>453.04450543527042</v>
      </c>
    </row>
    <row r="115" spans="1:14" x14ac:dyDescent="0.25">
      <c r="G115" s="1954"/>
      <c r="J115" s="1954"/>
    </row>
    <row r="116" spans="1:14" x14ac:dyDescent="0.25">
      <c r="G116" s="1954"/>
      <c r="J116" s="1954"/>
    </row>
    <row r="117" spans="1:14" x14ac:dyDescent="0.25">
      <c r="G117" s="1954"/>
      <c r="J117" s="1954"/>
    </row>
    <row r="118" spans="1:14" x14ac:dyDescent="0.25">
      <c r="G118" s="1954"/>
      <c r="J118" s="1954"/>
    </row>
    <row r="119" spans="1:14" x14ac:dyDescent="0.25">
      <c r="G119" s="1954"/>
      <c r="J119" s="1954"/>
    </row>
    <row r="120" spans="1:14" x14ac:dyDescent="0.25">
      <c r="G120" s="1954"/>
      <c r="J120" s="1954"/>
    </row>
    <row r="121" spans="1:14" x14ac:dyDescent="0.25">
      <c r="G121" s="1954"/>
      <c r="J121" s="1954"/>
    </row>
    <row r="122" spans="1:14" x14ac:dyDescent="0.25">
      <c r="G122" s="1954"/>
      <c r="J122" s="1954"/>
    </row>
    <row r="123" spans="1:14" x14ac:dyDescent="0.25">
      <c r="G123" s="1954"/>
      <c r="J123" s="1954"/>
    </row>
    <row r="124" spans="1:14" x14ac:dyDescent="0.25">
      <c r="G124" s="1954"/>
      <c r="J124" s="1954"/>
    </row>
    <row r="125" spans="1:14" x14ac:dyDescent="0.25">
      <c r="G125" s="1954"/>
      <c r="J125" s="1954"/>
    </row>
    <row r="126" spans="1:14" x14ac:dyDescent="0.25">
      <c r="G126" s="1954"/>
      <c r="J126" s="1954"/>
    </row>
    <row r="127" spans="1:14" x14ac:dyDescent="0.25">
      <c r="G127" s="1954"/>
      <c r="J127" s="1954"/>
    </row>
    <row r="128" spans="1:14" x14ac:dyDescent="0.25">
      <c r="G128" s="1954"/>
      <c r="J128" s="1954"/>
    </row>
    <row r="129" spans="1:14" x14ac:dyDescent="0.25">
      <c r="G129" s="1954"/>
      <c r="J129" s="1954"/>
    </row>
    <row r="130" spans="1:14" x14ac:dyDescent="0.25">
      <c r="G130" s="1954"/>
      <c r="J130" s="1954"/>
    </row>
    <row r="131" spans="1:14" x14ac:dyDescent="0.25">
      <c r="G131" s="1954"/>
      <c r="J131" s="1954"/>
    </row>
    <row r="132" spans="1:14" x14ac:dyDescent="0.25">
      <c r="G132" s="1954"/>
      <c r="J132" s="1954"/>
    </row>
    <row r="133" spans="1:14" x14ac:dyDescent="0.25">
      <c r="G133" s="1954"/>
      <c r="J133" s="1954"/>
    </row>
    <row r="134" spans="1:14" x14ac:dyDescent="0.25">
      <c r="G134" s="1954"/>
      <c r="J134" s="1954"/>
    </row>
    <row r="135" spans="1:14" x14ac:dyDescent="0.25">
      <c r="G135" s="1954"/>
      <c r="J135" s="1954"/>
    </row>
    <row r="136" spans="1:14" x14ac:dyDescent="0.25">
      <c r="G136" s="1954"/>
      <c r="J136" s="1954"/>
    </row>
    <row r="137" spans="1:14" x14ac:dyDescent="0.25">
      <c r="G137" s="1954"/>
      <c r="J137" s="1954"/>
    </row>
    <row r="138" spans="1:14" x14ac:dyDescent="0.25">
      <c r="A138" s="50" t="s">
        <v>1415</v>
      </c>
      <c r="B138" s="50"/>
      <c r="C138" s="1825"/>
      <c r="D138" s="1876">
        <v>45291</v>
      </c>
      <c r="F138" s="50"/>
      <c r="G138" s="50"/>
      <c r="H138" s="50"/>
      <c r="I138" s="50"/>
      <c r="J138" s="50"/>
      <c r="K138" s="50"/>
      <c r="L138" s="50"/>
      <c r="M138" s="50"/>
    </row>
    <row r="140" spans="1:14" s="49" customFormat="1" ht="66.75" customHeight="1" x14ac:dyDescent="0.25">
      <c r="A140" s="2064" t="s">
        <v>344</v>
      </c>
      <c r="B140" s="2066" t="s">
        <v>3</v>
      </c>
      <c r="C140" s="2066" t="s">
        <v>66</v>
      </c>
      <c r="D140" s="1789" t="s">
        <v>335</v>
      </c>
      <c r="E140" s="1810" t="s">
        <v>342</v>
      </c>
      <c r="F140" s="2219" t="s">
        <v>334</v>
      </c>
      <c r="G140" s="2221" t="s">
        <v>343</v>
      </c>
      <c r="H140" s="2211" t="s">
        <v>7</v>
      </c>
      <c r="I140" s="2211" t="s">
        <v>1410</v>
      </c>
      <c r="J140" s="2010" t="s">
        <v>54</v>
      </c>
      <c r="K140" s="2213" t="s">
        <v>1444</v>
      </c>
      <c r="L140" s="2202" t="s">
        <v>1411</v>
      </c>
      <c r="M140" s="2223" t="s">
        <v>1412</v>
      </c>
      <c r="N140" s="2012" t="s">
        <v>1433</v>
      </c>
    </row>
    <row r="141" spans="1:14" s="2" customFormat="1" ht="29.25" customHeight="1" x14ac:dyDescent="0.25">
      <c r="A141" s="2065"/>
      <c r="B141" s="2067"/>
      <c r="C141" s="2067"/>
      <c r="D141" s="699">
        <f ca="1">TODAY()</f>
        <v>44607</v>
      </c>
      <c r="E141" s="1811">
        <v>365.25</v>
      </c>
      <c r="F141" s="2220"/>
      <c r="G141" s="2222"/>
      <c r="H141" s="2212"/>
      <c r="I141" s="2212"/>
      <c r="J141" s="2011"/>
      <c r="K141" s="2214"/>
      <c r="L141" s="2203"/>
      <c r="M141" s="2224"/>
      <c r="N141" s="2013"/>
    </row>
    <row r="142" spans="1:14" x14ac:dyDescent="0.25">
      <c r="A142" s="694" t="s">
        <v>336</v>
      </c>
      <c r="B142" s="196"/>
      <c r="C142" s="695"/>
      <c r="D142" s="696"/>
      <c r="E142" s="17"/>
      <c r="F142" s="1807"/>
      <c r="G142" s="1808"/>
      <c r="H142" s="17"/>
      <c r="I142" s="472"/>
      <c r="J142" s="787"/>
      <c r="K142" s="1809"/>
      <c r="L142" s="472"/>
      <c r="M142" s="1809"/>
      <c r="N142" s="458"/>
    </row>
    <row r="143" spans="1:14" s="1044" customFormat="1" x14ac:dyDescent="0.25">
      <c r="A143" s="1030" t="s">
        <v>594</v>
      </c>
      <c r="B143" s="1031" t="s">
        <v>597</v>
      </c>
      <c r="C143" s="1032">
        <v>43558</v>
      </c>
      <c r="D143" s="1033">
        <f ca="1">($D$4-C143)/365.25</f>
        <v>2.8720054757015743</v>
      </c>
      <c r="E143" s="1060">
        <v>4</v>
      </c>
      <c r="F143" s="1799">
        <f>C143+(E143*$E$4)</f>
        <v>45019</v>
      </c>
      <c r="G143" s="1826" t="s">
        <v>1416</v>
      </c>
      <c r="H143" s="1060"/>
      <c r="I143" s="1060"/>
      <c r="J143" s="1042"/>
      <c r="K143" s="1801"/>
      <c r="L143" s="1071"/>
      <c r="M143" s="1796"/>
      <c r="N143" s="1919"/>
    </row>
    <row r="144" spans="1:14" s="7" customFormat="1" x14ac:dyDescent="0.25">
      <c r="A144" s="684" t="s">
        <v>28</v>
      </c>
      <c r="B144" s="101" t="s">
        <v>27</v>
      </c>
      <c r="C144" s="191">
        <v>39309</v>
      </c>
      <c r="D144" s="682">
        <f t="shared" ref="D144:D156" ca="1" si="21">($D$4-C144)/365.25</f>
        <v>14.505133470225873</v>
      </c>
      <c r="E144" s="1283">
        <v>16</v>
      </c>
      <c r="F144" s="1797">
        <f t="shared" ref="F144:F156" si="22">C144+(E144*$E$4)</f>
        <v>45153</v>
      </c>
      <c r="G144" s="1827" t="s">
        <v>1416</v>
      </c>
      <c r="H144" s="1283"/>
      <c r="I144" s="1283"/>
      <c r="J144" s="754"/>
      <c r="K144" s="1802"/>
      <c r="L144" s="141"/>
      <c r="M144" s="1794"/>
      <c r="N144" s="1919"/>
    </row>
    <row r="145" spans="1:14" s="7" customFormat="1" x14ac:dyDescent="0.25">
      <c r="A145" s="684" t="s">
        <v>11</v>
      </c>
      <c r="B145" s="101" t="s">
        <v>345</v>
      </c>
      <c r="C145" s="191">
        <v>39484</v>
      </c>
      <c r="D145" s="682">
        <f t="shared" ca="1" si="21"/>
        <v>14.026009582477755</v>
      </c>
      <c r="E145" s="1283">
        <v>16</v>
      </c>
      <c r="F145" s="1797">
        <f t="shared" si="22"/>
        <v>45328</v>
      </c>
      <c r="G145" s="1798"/>
      <c r="H145" s="1283">
        <f ca="1">VLOOKUP(A145,Prehľad!$B$1:$BN$27,11,FALSE)</f>
        <v>7769.9932656646497</v>
      </c>
      <c r="I145" s="1283">
        <f t="shared" ref="I145:I154" ca="1" si="23">H145</f>
        <v>7769.9932656646497</v>
      </c>
      <c r="J145" s="754">
        <f>VLOOKUP(A145,Prehľad!$B$1:$BN$27,28,FALSE)</f>
        <v>9.4439090732465516</v>
      </c>
      <c r="K145" s="1802">
        <f t="shared" ref="K145:K154" ca="1" si="24">I145/100*J145</f>
        <v>733.79109900674985</v>
      </c>
      <c r="L145" s="141">
        <v>0.11087235282688948</v>
      </c>
      <c r="M145" s="1794">
        <f t="shared" ref="M145:M154" ca="1" si="25">I145*L145</f>
        <v>861.47743481332623</v>
      </c>
      <c r="N145" s="1920">
        <f ca="1">26.83*I145/1000</f>
        <v>208.46891931778254</v>
      </c>
    </row>
    <row r="146" spans="1:14" x14ac:dyDescent="0.25">
      <c r="A146" s="684" t="s">
        <v>25</v>
      </c>
      <c r="B146" s="101" t="s">
        <v>340</v>
      </c>
      <c r="C146" s="191">
        <v>40844</v>
      </c>
      <c r="D146" s="682">
        <f t="shared" ca="1" si="21"/>
        <v>10.302532511978097</v>
      </c>
      <c r="E146" s="1283">
        <v>14</v>
      </c>
      <c r="F146" s="1797">
        <f t="shared" si="22"/>
        <v>45957.5</v>
      </c>
      <c r="G146" s="1798"/>
      <c r="H146" s="1283">
        <f ca="1">VLOOKUP(A146,Prehľad!$B$1:$BN$27,11,FALSE)</f>
        <v>13676.443130481</v>
      </c>
      <c r="I146" s="1283">
        <f t="shared" ca="1" si="23"/>
        <v>13676.443130481</v>
      </c>
      <c r="J146" s="754">
        <f>VLOOKUP(A146,Prehľad!$B$1:$BN$27,28,FALSE)</f>
        <v>7.6428602141290787</v>
      </c>
      <c r="K146" s="1802">
        <f t="shared" ca="1" si="24"/>
        <v>1045.2714307275219</v>
      </c>
      <c r="L146" s="141">
        <v>0.10165563056284127</v>
      </c>
      <c r="M146" s="1794">
        <f t="shared" ca="1" si="25"/>
        <v>1390.2874502858849</v>
      </c>
      <c r="N146" s="1920">
        <f t="shared" ref="N146:N154" ca="1" si="26">26.83*I146/1000</f>
        <v>366.93896919080521</v>
      </c>
    </row>
    <row r="147" spans="1:14" s="7" customFormat="1" x14ac:dyDescent="0.25">
      <c r="A147" s="684" t="s">
        <v>20</v>
      </c>
      <c r="B147" s="101" t="s">
        <v>21</v>
      </c>
      <c r="C147" s="191">
        <v>40959</v>
      </c>
      <c r="D147" s="682">
        <f t="shared" ca="1" si="21"/>
        <v>9.9876796714579061</v>
      </c>
      <c r="E147" s="1283">
        <v>14</v>
      </c>
      <c r="F147" s="1797">
        <f t="shared" si="22"/>
        <v>46072.5</v>
      </c>
      <c r="G147" s="1798"/>
      <c r="H147" s="1283">
        <f ca="1">VLOOKUP(A147,Prehľad!$B$1:$BN$27,11,FALSE)</f>
        <v>26706.803659539473</v>
      </c>
      <c r="I147" s="1283">
        <f t="shared" ca="1" si="23"/>
        <v>26706.803659539473</v>
      </c>
      <c r="J147" s="754">
        <f>VLOOKUP(A147,Prehľad!$B$1:$BN$27,28,FALSE)</f>
        <v>6.4357585815355058</v>
      </c>
      <c r="K147" s="1802">
        <f t="shared" ca="1" si="24"/>
        <v>1718.7854083726502</v>
      </c>
      <c r="L147" s="141">
        <v>7.5629749323084985E-2</v>
      </c>
      <c r="M147" s="1794">
        <f t="shared" ca="1" si="25"/>
        <v>2019.8288659918192</v>
      </c>
      <c r="N147" s="1920">
        <f t="shared" ca="1" si="26"/>
        <v>716.54354218544404</v>
      </c>
    </row>
    <row r="148" spans="1:14" x14ac:dyDescent="0.25">
      <c r="A148" s="684" t="s">
        <v>30</v>
      </c>
      <c r="B148" s="101" t="s">
        <v>21</v>
      </c>
      <c r="C148" s="192">
        <v>41533</v>
      </c>
      <c r="D148" s="682">
        <f t="shared" ca="1" si="21"/>
        <v>8.4161533196440796</v>
      </c>
      <c r="E148" s="1283">
        <v>14</v>
      </c>
      <c r="F148" s="1797">
        <f t="shared" si="22"/>
        <v>46646.5</v>
      </c>
      <c r="G148" s="1798"/>
      <c r="H148" s="1283">
        <f ca="1">VLOOKUP(A148,Prehľad!$B$1:$BN$27,11,FALSE)</f>
        <v>23634.669242029926</v>
      </c>
      <c r="I148" s="1283">
        <f t="shared" ca="1" si="23"/>
        <v>23634.669242029926</v>
      </c>
      <c r="J148" s="755">
        <f>VLOOKUP(A148,Prehľad!$B$1:$BN$27,28,FALSE)</f>
        <v>6.7560932949705723</v>
      </c>
      <c r="K148" s="1802">
        <f t="shared" ca="1" si="24"/>
        <v>1596.780303949256</v>
      </c>
      <c r="L148" s="141">
        <v>8.9759066700481852E-2</v>
      </c>
      <c r="M148" s="1794">
        <f t="shared" ca="1" si="25"/>
        <v>2121.4258529391909</v>
      </c>
      <c r="N148" s="1920">
        <f t="shared" ca="1" si="26"/>
        <v>634.11817576366286</v>
      </c>
    </row>
    <row r="149" spans="1:14" x14ac:dyDescent="0.25">
      <c r="A149" s="686" t="s">
        <v>40</v>
      </c>
      <c r="B149" s="99" t="s">
        <v>338</v>
      </c>
      <c r="C149" s="192">
        <v>41992</v>
      </c>
      <c r="D149" s="682">
        <f t="shared" ca="1" si="21"/>
        <v>7.1594798083504445</v>
      </c>
      <c r="E149" s="12">
        <v>14</v>
      </c>
      <c r="F149" s="1797">
        <f t="shared" si="22"/>
        <v>47105.5</v>
      </c>
      <c r="G149" s="1798"/>
      <c r="H149" s="1283">
        <f ca="1">VLOOKUP(A149,Prehľad!$B$1:$BN$27,11,FALSE)</f>
        <v>19060.602676864244</v>
      </c>
      <c r="I149" s="1283">
        <f t="shared" ca="1" si="23"/>
        <v>19060.602676864244</v>
      </c>
      <c r="J149" s="755">
        <f>VLOOKUP(A149,Prehľad!$B$1:$BN$27,28,FALSE)</f>
        <v>5.3088211498487681</v>
      </c>
      <c r="K149" s="1802">
        <f t="shared" ca="1" si="24"/>
        <v>1011.8933061980094</v>
      </c>
      <c r="L149" s="141">
        <v>6.4418590756898722E-2</v>
      </c>
      <c r="M149" s="1794">
        <f t="shared" ca="1" si="25"/>
        <v>1227.857163420766</v>
      </c>
      <c r="N149" s="1920">
        <f t="shared" ca="1" si="26"/>
        <v>511.39596982026762</v>
      </c>
    </row>
    <row r="150" spans="1:14" x14ac:dyDescent="0.25">
      <c r="A150" s="684" t="s">
        <v>18</v>
      </c>
      <c r="B150" s="101" t="s">
        <v>17</v>
      </c>
      <c r="C150" s="192">
        <v>42356</v>
      </c>
      <c r="D150" s="682">
        <f t="shared" ca="1" si="21"/>
        <v>6.1629021218343603</v>
      </c>
      <c r="E150" s="1283">
        <v>14</v>
      </c>
      <c r="F150" s="1797">
        <f t="shared" si="22"/>
        <v>47469.5</v>
      </c>
      <c r="G150" s="1798"/>
      <c r="H150" s="1283">
        <f ca="1">VLOOKUP(A150,Prehľad!$B$1:$BN$27,11,FALSE)</f>
        <v>26724.422478898265</v>
      </c>
      <c r="I150" s="1283">
        <f t="shared" ca="1" si="23"/>
        <v>26724.422478898265</v>
      </c>
      <c r="J150" s="755">
        <f>VLOOKUP(A150,Prehľad!$B$1:$BN$27,28,FALSE)</f>
        <v>6.4805937905968545</v>
      </c>
      <c r="K150" s="1802">
        <f t="shared" ca="1" si="24"/>
        <v>1731.9012637403509</v>
      </c>
      <c r="L150" s="141">
        <v>8.6021836547023015E-2</v>
      </c>
      <c r="M150" s="1794">
        <f t="shared" ca="1" si="25"/>
        <v>2298.8839022933739</v>
      </c>
      <c r="N150" s="1920">
        <f t="shared" ca="1" si="26"/>
        <v>717.01625510884037</v>
      </c>
    </row>
    <row r="151" spans="1:14" s="7" customFormat="1" x14ac:dyDescent="0.25">
      <c r="A151" s="686" t="s">
        <v>38</v>
      </c>
      <c r="B151" s="99" t="s">
        <v>339</v>
      </c>
      <c r="C151" s="192">
        <v>42366</v>
      </c>
      <c r="D151" s="682">
        <f t="shared" ca="1" si="21"/>
        <v>6.1355236139630387</v>
      </c>
      <c r="E151" s="12">
        <v>15</v>
      </c>
      <c r="F151" s="1797">
        <f t="shared" si="22"/>
        <v>47844.75</v>
      </c>
      <c r="G151" s="1798"/>
      <c r="H151" s="1283">
        <f ca="1">VLOOKUP(A151,Prehľad!$B$1:$BN$27,11,FALSE)</f>
        <v>31085.855421686749</v>
      </c>
      <c r="I151" s="1283">
        <f t="shared" ca="1" si="23"/>
        <v>31085.855421686749</v>
      </c>
      <c r="J151" s="755">
        <f>VLOOKUP(A151,Prehľad!$B$1:$BN$27,28,FALSE)</f>
        <v>6.4512454068074572</v>
      </c>
      <c r="K151" s="1802">
        <f t="shared" ca="1" si="24"/>
        <v>2005.4248200583734</v>
      </c>
      <c r="L151" s="141">
        <v>7.9289755750232033E-2</v>
      </c>
      <c r="M151" s="1794">
        <f t="shared" ca="1" si="25"/>
        <v>2464.7898836725685</v>
      </c>
      <c r="N151" s="1920">
        <f t="shared" ca="1" si="26"/>
        <v>834.03350096385543</v>
      </c>
    </row>
    <row r="152" spans="1:14" s="1044" customFormat="1" x14ac:dyDescent="0.25">
      <c r="A152" s="684" t="s">
        <v>164</v>
      </c>
      <c r="B152" s="101" t="s">
        <v>17</v>
      </c>
      <c r="C152" s="192">
        <v>42913</v>
      </c>
      <c r="D152" s="682">
        <f t="shared" ca="1" si="21"/>
        <v>4.6379192334017798</v>
      </c>
      <c r="E152" s="1283">
        <v>14</v>
      </c>
      <c r="F152" s="1797">
        <f t="shared" si="22"/>
        <v>48026.5</v>
      </c>
      <c r="G152" s="1798"/>
      <c r="H152" s="1283">
        <f ca="1">VLOOKUP(A152,Prehľad!$B$1:$BN$27,11,FALSE)</f>
        <v>25956.036304604484</v>
      </c>
      <c r="I152" s="1283">
        <f t="shared" ca="1" si="23"/>
        <v>25956.036304604484</v>
      </c>
      <c r="J152" s="755">
        <f>VLOOKUP(A152,Prehľad!$B$1:$BN$27,28,FALSE)</f>
        <v>6.8422129340599254</v>
      </c>
      <c r="K152" s="1802">
        <f t="shared" ca="1" si="24"/>
        <v>1775.9672732029378</v>
      </c>
      <c r="L152" s="141">
        <v>9.2113292065675506E-2</v>
      </c>
      <c r="M152" s="1794">
        <f t="shared" ca="1" si="25"/>
        <v>2390.8959529933095</v>
      </c>
      <c r="N152" s="1920">
        <f t="shared" ca="1" si="26"/>
        <v>696.40045405253829</v>
      </c>
    </row>
    <row r="153" spans="1:14" s="7" customFormat="1" x14ac:dyDescent="0.25">
      <c r="A153" s="1396" t="s">
        <v>215</v>
      </c>
      <c r="B153" s="101" t="s">
        <v>218</v>
      </c>
      <c r="C153" s="192">
        <v>43160</v>
      </c>
      <c r="D153" s="682">
        <f t="shared" ca="1" si="21"/>
        <v>3.9616700889801506</v>
      </c>
      <c r="E153" s="1283">
        <v>14</v>
      </c>
      <c r="F153" s="1797">
        <f t="shared" si="22"/>
        <v>48273.5</v>
      </c>
      <c r="G153" s="1798"/>
      <c r="H153" s="1283">
        <f ca="1">VLOOKUP(A153,Prehľad!$B$1:$BN$27,11,FALSE)</f>
        <v>11260.150138217001</v>
      </c>
      <c r="I153" s="1283">
        <f t="shared" ca="1" si="23"/>
        <v>11260.150138217001</v>
      </c>
      <c r="J153" s="755">
        <f>VLOOKUP(A153,Prehľad!$B$1:$BN$27,28,FALSE)</f>
        <v>20.894241671290384</v>
      </c>
      <c r="K153" s="1802">
        <f t="shared" ca="1" si="24"/>
        <v>2352.7229824291985</v>
      </c>
      <c r="L153" s="141">
        <v>0.28791426434757439</v>
      </c>
      <c r="M153" s="1794">
        <f t="shared" ca="1" si="25"/>
        <v>3241.9578434879859</v>
      </c>
      <c r="N153" s="1920">
        <f t="shared" ca="1" si="26"/>
        <v>302.1098282083621</v>
      </c>
    </row>
    <row r="154" spans="1:14" s="7" customFormat="1" x14ac:dyDescent="0.25">
      <c r="A154" s="1396" t="s">
        <v>1139</v>
      </c>
      <c r="B154" s="101" t="s">
        <v>1137</v>
      </c>
      <c r="C154" s="192">
        <v>44004</v>
      </c>
      <c r="D154" s="682">
        <f t="shared" ca="1" si="21"/>
        <v>1.6509240246406571</v>
      </c>
      <c r="E154" s="1283">
        <v>13</v>
      </c>
      <c r="F154" s="1797">
        <f t="shared" si="22"/>
        <v>48752.25</v>
      </c>
      <c r="G154" s="1798"/>
      <c r="H154" s="1283">
        <f ca="1">VLOOKUP(A154,Prehľad!$B$1:$BN$27,11,FALSE)</f>
        <v>5976.6529850746265</v>
      </c>
      <c r="I154" s="1283">
        <f t="shared" ca="1" si="23"/>
        <v>5976.6529850746265</v>
      </c>
      <c r="J154" s="755">
        <f>VLOOKUP(A154,Prehľad!$B$1:$BN$27,28,FALSE)</f>
        <v>10.346293119878025</v>
      </c>
      <c r="K154" s="1802">
        <f t="shared" ca="1" si="24"/>
        <v>618.36203659376065</v>
      </c>
      <c r="L154" s="141">
        <v>0.13184295788069372</v>
      </c>
      <c r="M154" s="1794">
        <f t="shared" ca="1" si="25"/>
        <v>787.9796077787164</v>
      </c>
      <c r="N154" s="1920">
        <f t="shared" ca="1" si="26"/>
        <v>160.3535995895522</v>
      </c>
    </row>
    <row r="155" spans="1:14" s="1838" customFormat="1" x14ac:dyDescent="0.25">
      <c r="A155" s="1828" t="s">
        <v>1417</v>
      </c>
      <c r="B155" s="1829" t="s">
        <v>1418</v>
      </c>
      <c r="C155" s="1839">
        <v>44926</v>
      </c>
      <c r="D155" s="1831">
        <f t="shared" ca="1" si="21"/>
        <v>-0.87337440109514031</v>
      </c>
      <c r="E155" s="1832">
        <v>12</v>
      </c>
      <c r="F155" s="1833">
        <f t="shared" si="22"/>
        <v>49309</v>
      </c>
      <c r="G155" s="1834"/>
      <c r="H155" s="1832">
        <f ca="1">$H$110</f>
        <v>14925.612569718405</v>
      </c>
      <c r="I155" s="1832">
        <v>0</v>
      </c>
      <c r="J155" s="1835">
        <v>0</v>
      </c>
      <c r="K155" s="1836">
        <v>0</v>
      </c>
      <c r="L155" s="1837">
        <v>0</v>
      </c>
      <c r="M155" s="1926">
        <v>0</v>
      </c>
      <c r="N155" s="1923">
        <f>26.83*I155/1000</f>
        <v>0</v>
      </c>
    </row>
    <row r="156" spans="1:14" s="1838" customFormat="1" x14ac:dyDescent="0.25">
      <c r="A156" s="1828" t="s">
        <v>1417</v>
      </c>
      <c r="B156" s="1829" t="s">
        <v>1419</v>
      </c>
      <c r="C156" s="1839">
        <v>45291</v>
      </c>
      <c r="D156" s="1831">
        <f t="shared" ca="1" si="21"/>
        <v>-1.8726899383983573</v>
      </c>
      <c r="E156" s="1832">
        <v>12</v>
      </c>
      <c r="F156" s="1833">
        <f t="shared" si="22"/>
        <v>49674</v>
      </c>
      <c r="G156" s="1834">
        <v>40000</v>
      </c>
      <c r="H156" s="1832">
        <f ca="1">$H$99</f>
        <v>11223.957389580974</v>
      </c>
      <c r="I156" s="1832">
        <v>0</v>
      </c>
      <c r="J156" s="1835">
        <v>0</v>
      </c>
      <c r="K156" s="1836">
        <v>0</v>
      </c>
      <c r="L156" s="1837">
        <v>0</v>
      </c>
      <c r="M156" s="1926">
        <v>0</v>
      </c>
      <c r="N156" s="1923">
        <f>26.83*I156/1000</f>
        <v>0</v>
      </c>
    </row>
    <row r="157" spans="1:14" x14ac:dyDescent="0.25">
      <c r="A157" s="700"/>
      <c r="B157" s="202"/>
      <c r="C157" s="701"/>
      <c r="D157" s="702"/>
      <c r="E157" s="1812"/>
      <c r="F157" s="1813"/>
      <c r="G157" s="1814"/>
      <c r="H157" s="1812"/>
      <c r="I157" s="1733"/>
      <c r="J157" s="1815"/>
      <c r="K157" s="1816"/>
      <c r="L157" s="1733"/>
      <c r="M157" s="1816"/>
      <c r="N157" s="1921"/>
    </row>
    <row r="158" spans="1:14" s="50" customFormat="1" ht="15.75" customHeight="1" x14ac:dyDescent="0.25">
      <c r="A158" s="2215" t="s">
        <v>85</v>
      </c>
      <c r="B158" s="2216"/>
      <c r="C158" s="1817"/>
      <c r="D158" s="1822"/>
      <c r="E158" s="1819"/>
      <c r="F158" s="1817"/>
      <c r="G158" s="1818">
        <f>SUM(G143:G157)</f>
        <v>40000</v>
      </c>
      <c r="H158" s="1819">
        <f ca="1">SUM(H143:H157)</f>
        <v>218001.19926235982</v>
      </c>
      <c r="I158" s="1819">
        <f ca="1">SUM(I143:I157)</f>
        <v>191851.62930306041</v>
      </c>
      <c r="J158" s="1820"/>
      <c r="K158" s="1821">
        <f ca="1">SUM(K143:K157)</f>
        <v>14590.899924278809</v>
      </c>
      <c r="L158" s="1817"/>
      <c r="M158" s="1924">
        <f ca="1">SUM(M143:M157)</f>
        <v>18805.383957676942</v>
      </c>
      <c r="N158" s="1889">
        <f ca="1">SUM(N142:N157)</f>
        <v>5147.3792142011107</v>
      </c>
    </row>
    <row r="159" spans="1:14" s="50" customFormat="1" ht="15.75" customHeight="1" x14ac:dyDescent="0.25">
      <c r="A159" s="2217" t="s">
        <v>1413</v>
      </c>
      <c r="B159" s="2218"/>
      <c r="C159" s="1803"/>
      <c r="D159" s="1823">
        <f ca="1">AVERAGE(D143:D157)</f>
        <v>6.2194191845115885</v>
      </c>
      <c r="E159" s="1805">
        <f>AVERAGE(E143:E157)</f>
        <v>13.285714285714286</v>
      </c>
      <c r="F159" s="1803"/>
      <c r="G159" s="1804">
        <f t="shared" ref="G159:N159" si="27">AVERAGE(G143:G157)</f>
        <v>40000</v>
      </c>
      <c r="H159" s="1805">
        <f t="shared" ca="1" si="27"/>
        <v>18166.766605196652</v>
      </c>
      <c r="I159" s="1805">
        <f t="shared" ca="1" si="27"/>
        <v>15987.635775255034</v>
      </c>
      <c r="J159" s="1806">
        <f t="shared" si="27"/>
        <v>7.2168357696969272</v>
      </c>
      <c r="K159" s="1824">
        <f t="shared" ca="1" si="27"/>
        <v>1215.9083270232341</v>
      </c>
      <c r="L159" s="1804">
        <f t="shared" si="27"/>
        <v>9.329312473011625E-2</v>
      </c>
      <c r="M159" s="1925">
        <f t="shared" ca="1" si="27"/>
        <v>1567.1153298064119</v>
      </c>
      <c r="N159" s="1922">
        <f t="shared" ca="1" si="27"/>
        <v>428.94826785009258</v>
      </c>
    </row>
    <row r="161" spans="7:10" x14ac:dyDescent="0.25">
      <c r="G161" s="1954"/>
      <c r="J161" s="1954"/>
    </row>
    <row r="162" spans="7:10" x14ac:dyDescent="0.25">
      <c r="G162" s="1954"/>
      <c r="J162" s="1954"/>
    </row>
    <row r="163" spans="7:10" x14ac:dyDescent="0.25">
      <c r="G163" s="1954"/>
      <c r="J163" s="1954"/>
    </row>
    <row r="164" spans="7:10" x14ac:dyDescent="0.25">
      <c r="G164" s="1954"/>
      <c r="J164" s="1954"/>
    </row>
    <row r="165" spans="7:10" x14ac:dyDescent="0.25">
      <c r="G165" s="1954"/>
      <c r="J165" s="1954"/>
    </row>
    <row r="166" spans="7:10" x14ac:dyDescent="0.25">
      <c r="G166" s="1954"/>
      <c r="J166" s="1954"/>
    </row>
    <row r="167" spans="7:10" x14ac:dyDescent="0.25">
      <c r="G167" s="1954"/>
      <c r="J167" s="1954"/>
    </row>
    <row r="168" spans="7:10" x14ac:dyDescent="0.25">
      <c r="G168" s="1954"/>
      <c r="J168" s="1954"/>
    </row>
    <row r="169" spans="7:10" x14ac:dyDescent="0.25">
      <c r="G169" s="1954"/>
      <c r="J169" s="1954"/>
    </row>
    <row r="170" spans="7:10" x14ac:dyDescent="0.25">
      <c r="G170" s="1954"/>
      <c r="J170" s="1954"/>
    </row>
    <row r="171" spans="7:10" x14ac:dyDescent="0.25">
      <c r="G171" s="1954"/>
      <c r="J171" s="1954"/>
    </row>
    <row r="172" spans="7:10" x14ac:dyDescent="0.25">
      <c r="G172" s="1954"/>
      <c r="J172" s="1954"/>
    </row>
    <row r="173" spans="7:10" x14ac:dyDescent="0.25">
      <c r="G173" s="1954"/>
      <c r="J173" s="1954"/>
    </row>
    <row r="174" spans="7:10" x14ac:dyDescent="0.25">
      <c r="G174" s="1954"/>
      <c r="J174" s="1954"/>
    </row>
    <row r="175" spans="7:10" x14ac:dyDescent="0.25">
      <c r="G175" s="1954"/>
      <c r="J175" s="1954"/>
    </row>
    <row r="176" spans="7:10" x14ac:dyDescent="0.25">
      <c r="G176" s="1954"/>
      <c r="J176" s="1954"/>
    </row>
    <row r="177" spans="1:14" x14ac:dyDescent="0.25">
      <c r="G177" s="1954"/>
      <c r="J177" s="1954"/>
    </row>
    <row r="178" spans="1:14" x14ac:dyDescent="0.25">
      <c r="G178" s="1954"/>
      <c r="J178" s="1954"/>
    </row>
    <row r="179" spans="1:14" x14ac:dyDescent="0.25">
      <c r="G179" s="1954"/>
      <c r="J179" s="1954"/>
    </row>
    <row r="180" spans="1:14" x14ac:dyDescent="0.25">
      <c r="G180" s="1954"/>
      <c r="J180" s="1954"/>
    </row>
    <row r="181" spans="1:14" x14ac:dyDescent="0.25">
      <c r="G181" s="1954"/>
      <c r="J181" s="1954"/>
    </row>
    <row r="182" spans="1:14" x14ac:dyDescent="0.25">
      <c r="G182" s="1954"/>
      <c r="J182" s="1954"/>
    </row>
    <row r="183" spans="1:14" x14ac:dyDescent="0.25">
      <c r="G183" s="1954"/>
      <c r="J183" s="1954"/>
    </row>
    <row r="184" spans="1:14" x14ac:dyDescent="0.25">
      <c r="A184" s="50" t="s">
        <v>1415</v>
      </c>
      <c r="B184" s="50"/>
      <c r="C184" s="1825"/>
      <c r="D184" s="1876">
        <v>45657</v>
      </c>
      <c r="F184" s="50"/>
      <c r="G184" s="50"/>
      <c r="H184" s="50"/>
      <c r="I184" s="50"/>
      <c r="J184" s="50"/>
      <c r="K184" s="50"/>
      <c r="L184" s="50"/>
      <c r="M184" s="50"/>
    </row>
    <row r="186" spans="1:14" s="49" customFormat="1" ht="66.75" customHeight="1" x14ac:dyDescent="0.25">
      <c r="A186" s="2064" t="s">
        <v>344</v>
      </c>
      <c r="B186" s="2066" t="s">
        <v>3</v>
      </c>
      <c r="C186" s="2066" t="s">
        <v>66</v>
      </c>
      <c r="D186" s="1789" t="s">
        <v>335</v>
      </c>
      <c r="E186" s="1810" t="s">
        <v>342</v>
      </c>
      <c r="F186" s="2219" t="s">
        <v>334</v>
      </c>
      <c r="G186" s="2221" t="s">
        <v>343</v>
      </c>
      <c r="H186" s="2211" t="s">
        <v>7</v>
      </c>
      <c r="I186" s="2211" t="s">
        <v>1410</v>
      </c>
      <c r="J186" s="2010" t="s">
        <v>54</v>
      </c>
      <c r="K186" s="2213" t="s">
        <v>1444</v>
      </c>
      <c r="L186" s="2202" t="s">
        <v>1411</v>
      </c>
      <c r="M186" s="2223" t="s">
        <v>1412</v>
      </c>
      <c r="N186" s="2012" t="s">
        <v>1433</v>
      </c>
    </row>
    <row r="187" spans="1:14" s="2" customFormat="1" ht="29.25" customHeight="1" x14ac:dyDescent="0.25">
      <c r="A187" s="2065"/>
      <c r="B187" s="2067"/>
      <c r="C187" s="2067"/>
      <c r="D187" s="699">
        <f ca="1">TODAY()</f>
        <v>44607</v>
      </c>
      <c r="E187" s="1811">
        <v>365.25</v>
      </c>
      <c r="F187" s="2220"/>
      <c r="G187" s="2222"/>
      <c r="H187" s="2212"/>
      <c r="I187" s="2212"/>
      <c r="J187" s="2011"/>
      <c r="K187" s="2214"/>
      <c r="L187" s="2203"/>
      <c r="M187" s="2224"/>
      <c r="N187" s="2013"/>
    </row>
    <row r="188" spans="1:14" x14ac:dyDescent="0.25">
      <c r="A188" s="694" t="s">
        <v>336</v>
      </c>
      <c r="B188" s="196"/>
      <c r="C188" s="695"/>
      <c r="D188" s="696"/>
      <c r="E188" s="17"/>
      <c r="F188" s="1807"/>
      <c r="G188" s="1808"/>
      <c r="H188" s="17"/>
      <c r="I188" s="472"/>
      <c r="J188" s="787"/>
      <c r="K188" s="1809"/>
      <c r="L188" s="472"/>
      <c r="M188" s="1809"/>
      <c r="N188" s="458"/>
    </row>
    <row r="189" spans="1:14" s="7" customFormat="1" x14ac:dyDescent="0.25">
      <c r="A189" s="684" t="s">
        <v>11</v>
      </c>
      <c r="B189" s="101" t="s">
        <v>345</v>
      </c>
      <c r="C189" s="191">
        <v>39484</v>
      </c>
      <c r="D189" s="682">
        <f t="shared" ref="D189:D201" ca="1" si="28">($D$4-C189)/365.25</f>
        <v>14.026009582477755</v>
      </c>
      <c r="E189" s="1283">
        <v>16</v>
      </c>
      <c r="F189" s="1797">
        <f t="shared" ref="F189:F201" si="29">C189+(E189*$E$4)</f>
        <v>45328</v>
      </c>
      <c r="G189" s="1827" t="s">
        <v>1416</v>
      </c>
      <c r="H189" s="1283"/>
      <c r="I189" s="1283"/>
      <c r="J189" s="754"/>
      <c r="K189" s="1802"/>
      <c r="L189" s="141"/>
      <c r="M189" s="1794"/>
      <c r="N189" s="1919"/>
    </row>
    <row r="190" spans="1:14" x14ac:dyDescent="0.25">
      <c r="A190" s="684" t="s">
        <v>25</v>
      </c>
      <c r="B190" s="101" t="s">
        <v>340</v>
      </c>
      <c r="C190" s="191">
        <v>40844</v>
      </c>
      <c r="D190" s="682">
        <f t="shared" ca="1" si="28"/>
        <v>10.302532511978097</v>
      </c>
      <c r="E190" s="1283">
        <v>14</v>
      </c>
      <c r="F190" s="1797">
        <f t="shared" si="29"/>
        <v>45957.5</v>
      </c>
      <c r="G190" s="1798"/>
      <c r="H190" s="1283">
        <f ca="1">VLOOKUP(A190,Prehľad!$B$1:$BN$27,11,FALSE)</f>
        <v>13676.443130481</v>
      </c>
      <c r="I190" s="1283">
        <f t="shared" ref="I190:I198" ca="1" si="30">H190</f>
        <v>13676.443130481</v>
      </c>
      <c r="J190" s="754">
        <f>VLOOKUP(A190,Prehľad!$B$1:$BN$27,28,FALSE)</f>
        <v>7.6428602141290787</v>
      </c>
      <c r="K190" s="1802">
        <f t="shared" ref="K190:K198" ca="1" si="31">I190/100*J190</f>
        <v>1045.2714307275219</v>
      </c>
      <c r="L190" s="141">
        <v>0.10165563056284127</v>
      </c>
      <c r="M190" s="1794">
        <f t="shared" ref="M190:M198" ca="1" si="32">I190*L190</f>
        <v>1390.2874502858849</v>
      </c>
      <c r="N190" s="1920">
        <f t="shared" ref="N190:N198" ca="1" si="33">26.83*I190/1000</f>
        <v>366.93896919080521</v>
      </c>
    </row>
    <row r="191" spans="1:14" s="7" customFormat="1" x14ac:dyDescent="0.25">
      <c r="A191" s="684" t="s">
        <v>20</v>
      </c>
      <c r="B191" s="101" t="s">
        <v>21</v>
      </c>
      <c r="C191" s="191">
        <v>40959</v>
      </c>
      <c r="D191" s="682">
        <f t="shared" ca="1" si="28"/>
        <v>9.9876796714579061</v>
      </c>
      <c r="E191" s="1283">
        <v>14</v>
      </c>
      <c r="F191" s="1797">
        <f t="shared" si="29"/>
        <v>46072.5</v>
      </c>
      <c r="G191" s="1798"/>
      <c r="H191" s="1283">
        <f ca="1">VLOOKUP(A191,Prehľad!$B$1:$BN$27,11,FALSE)</f>
        <v>26706.803659539473</v>
      </c>
      <c r="I191" s="1283">
        <f t="shared" ca="1" si="30"/>
        <v>26706.803659539473</v>
      </c>
      <c r="J191" s="754">
        <f>VLOOKUP(A191,Prehľad!$B$1:$BN$27,28,FALSE)</f>
        <v>6.4357585815355058</v>
      </c>
      <c r="K191" s="1802">
        <f t="shared" ca="1" si="31"/>
        <v>1718.7854083726502</v>
      </c>
      <c r="L191" s="141">
        <v>7.5629749323084985E-2</v>
      </c>
      <c r="M191" s="1794">
        <f t="shared" ca="1" si="32"/>
        <v>2019.8288659918192</v>
      </c>
      <c r="N191" s="1920">
        <f t="shared" ca="1" si="33"/>
        <v>716.54354218544404</v>
      </c>
    </row>
    <row r="192" spans="1:14" x14ac:dyDescent="0.25">
      <c r="A192" s="684" t="s">
        <v>30</v>
      </c>
      <c r="B192" s="101" t="s">
        <v>21</v>
      </c>
      <c r="C192" s="192">
        <v>41533</v>
      </c>
      <c r="D192" s="682">
        <f t="shared" ca="1" si="28"/>
        <v>8.4161533196440796</v>
      </c>
      <c r="E192" s="1283">
        <v>14</v>
      </c>
      <c r="F192" s="1797">
        <f t="shared" si="29"/>
        <v>46646.5</v>
      </c>
      <c r="G192" s="1798"/>
      <c r="H192" s="1283">
        <f ca="1">VLOOKUP(A192,Prehľad!$B$1:$BN$27,11,FALSE)</f>
        <v>23634.669242029926</v>
      </c>
      <c r="I192" s="1283">
        <f t="shared" ca="1" si="30"/>
        <v>23634.669242029926</v>
      </c>
      <c r="J192" s="755">
        <f>VLOOKUP(A192,Prehľad!$B$1:$BN$27,28,FALSE)</f>
        <v>6.7560932949705723</v>
      </c>
      <c r="K192" s="1802">
        <f t="shared" ca="1" si="31"/>
        <v>1596.780303949256</v>
      </c>
      <c r="L192" s="141">
        <v>8.9759066700481852E-2</v>
      </c>
      <c r="M192" s="1794">
        <f t="shared" ca="1" si="32"/>
        <v>2121.4258529391909</v>
      </c>
      <c r="N192" s="1920">
        <f t="shared" ca="1" si="33"/>
        <v>634.11817576366286</v>
      </c>
    </row>
    <row r="193" spans="1:14" x14ac:dyDescent="0.25">
      <c r="A193" s="686" t="s">
        <v>40</v>
      </c>
      <c r="B193" s="99" t="s">
        <v>338</v>
      </c>
      <c r="C193" s="192">
        <v>41992</v>
      </c>
      <c r="D193" s="682">
        <f t="shared" ca="1" si="28"/>
        <v>7.1594798083504445</v>
      </c>
      <c r="E193" s="12">
        <v>14</v>
      </c>
      <c r="F193" s="1797">
        <f t="shared" si="29"/>
        <v>47105.5</v>
      </c>
      <c r="G193" s="1798"/>
      <c r="H193" s="1283">
        <f ca="1">VLOOKUP(A193,Prehľad!$B$1:$BN$27,11,FALSE)</f>
        <v>19060.602676864244</v>
      </c>
      <c r="I193" s="1283">
        <f t="shared" ca="1" si="30"/>
        <v>19060.602676864244</v>
      </c>
      <c r="J193" s="755">
        <f>VLOOKUP(A193,Prehľad!$B$1:$BN$27,28,FALSE)</f>
        <v>5.3088211498487681</v>
      </c>
      <c r="K193" s="1802">
        <f t="shared" ca="1" si="31"/>
        <v>1011.8933061980094</v>
      </c>
      <c r="L193" s="141">
        <v>6.4418590756898722E-2</v>
      </c>
      <c r="M193" s="1794">
        <f t="shared" ca="1" si="32"/>
        <v>1227.857163420766</v>
      </c>
      <c r="N193" s="1920">
        <f t="shared" ca="1" si="33"/>
        <v>511.39596982026762</v>
      </c>
    </row>
    <row r="194" spans="1:14" x14ac:dyDescent="0.25">
      <c r="A194" s="684" t="s">
        <v>18</v>
      </c>
      <c r="B194" s="101" t="s">
        <v>17</v>
      </c>
      <c r="C194" s="192">
        <v>42356</v>
      </c>
      <c r="D194" s="682">
        <f t="shared" ca="1" si="28"/>
        <v>6.1629021218343603</v>
      </c>
      <c r="E194" s="1283">
        <v>14</v>
      </c>
      <c r="F194" s="1797">
        <f t="shared" si="29"/>
        <v>47469.5</v>
      </c>
      <c r="G194" s="1798"/>
      <c r="H194" s="1283">
        <f ca="1">VLOOKUP(A194,Prehľad!$B$1:$BN$27,11,FALSE)</f>
        <v>26724.422478898265</v>
      </c>
      <c r="I194" s="1283">
        <f t="shared" ca="1" si="30"/>
        <v>26724.422478898265</v>
      </c>
      <c r="J194" s="755">
        <f>VLOOKUP(A194,Prehľad!$B$1:$BN$27,28,FALSE)</f>
        <v>6.4805937905968545</v>
      </c>
      <c r="K194" s="1802">
        <f t="shared" ca="1" si="31"/>
        <v>1731.9012637403509</v>
      </c>
      <c r="L194" s="141">
        <v>8.6021836547023015E-2</v>
      </c>
      <c r="M194" s="1794">
        <f t="shared" ca="1" si="32"/>
        <v>2298.8839022933739</v>
      </c>
      <c r="N194" s="1920">
        <f t="shared" ca="1" si="33"/>
        <v>717.01625510884037</v>
      </c>
    </row>
    <row r="195" spans="1:14" s="7" customFormat="1" x14ac:dyDescent="0.25">
      <c r="A195" s="686" t="s">
        <v>38</v>
      </c>
      <c r="B195" s="99" t="s">
        <v>339</v>
      </c>
      <c r="C195" s="192">
        <v>42366</v>
      </c>
      <c r="D195" s="682">
        <f t="shared" ca="1" si="28"/>
        <v>6.1355236139630387</v>
      </c>
      <c r="E195" s="12">
        <v>15</v>
      </c>
      <c r="F195" s="1797">
        <f t="shared" si="29"/>
        <v>47844.75</v>
      </c>
      <c r="G195" s="1798"/>
      <c r="H195" s="1283">
        <f ca="1">VLOOKUP(A195,Prehľad!$B$1:$BN$27,11,FALSE)</f>
        <v>31085.855421686749</v>
      </c>
      <c r="I195" s="1283">
        <f t="shared" ca="1" si="30"/>
        <v>31085.855421686749</v>
      </c>
      <c r="J195" s="755">
        <f>VLOOKUP(A195,Prehľad!$B$1:$BN$27,28,FALSE)</f>
        <v>6.4512454068074572</v>
      </c>
      <c r="K195" s="1802">
        <f t="shared" ca="1" si="31"/>
        <v>2005.4248200583734</v>
      </c>
      <c r="L195" s="141">
        <v>7.9289755750232033E-2</v>
      </c>
      <c r="M195" s="1794">
        <f t="shared" ca="1" si="32"/>
        <v>2464.7898836725685</v>
      </c>
      <c r="N195" s="1920">
        <f t="shared" ca="1" si="33"/>
        <v>834.03350096385543</v>
      </c>
    </row>
    <row r="196" spans="1:14" s="1044" customFormat="1" x14ac:dyDescent="0.25">
      <c r="A196" s="684" t="s">
        <v>164</v>
      </c>
      <c r="B196" s="101" t="s">
        <v>17</v>
      </c>
      <c r="C196" s="192">
        <v>42913</v>
      </c>
      <c r="D196" s="682">
        <f t="shared" ca="1" si="28"/>
        <v>4.6379192334017798</v>
      </c>
      <c r="E196" s="1283">
        <v>14</v>
      </c>
      <c r="F196" s="1797">
        <f t="shared" si="29"/>
        <v>48026.5</v>
      </c>
      <c r="G196" s="1798"/>
      <c r="H196" s="1283">
        <f ca="1">VLOOKUP(A196,Prehľad!$B$1:$BN$27,11,FALSE)</f>
        <v>25956.036304604484</v>
      </c>
      <c r="I196" s="1283">
        <f t="shared" ca="1" si="30"/>
        <v>25956.036304604484</v>
      </c>
      <c r="J196" s="755">
        <f>VLOOKUP(A196,Prehľad!$B$1:$BN$27,28,FALSE)</f>
        <v>6.8422129340599254</v>
      </c>
      <c r="K196" s="1802">
        <f t="shared" ca="1" si="31"/>
        <v>1775.9672732029378</v>
      </c>
      <c r="L196" s="141">
        <v>9.2113292065675506E-2</v>
      </c>
      <c r="M196" s="1794">
        <f t="shared" ca="1" si="32"/>
        <v>2390.8959529933095</v>
      </c>
      <c r="N196" s="1920">
        <f t="shared" ca="1" si="33"/>
        <v>696.40045405253829</v>
      </c>
    </row>
    <row r="197" spans="1:14" s="7" customFormat="1" x14ac:dyDescent="0.25">
      <c r="A197" s="1396" t="s">
        <v>215</v>
      </c>
      <c r="B197" s="101" t="s">
        <v>218</v>
      </c>
      <c r="C197" s="192">
        <v>43160</v>
      </c>
      <c r="D197" s="682">
        <f t="shared" ca="1" si="28"/>
        <v>3.9616700889801506</v>
      </c>
      <c r="E197" s="1283">
        <v>14</v>
      </c>
      <c r="F197" s="1797">
        <f t="shared" si="29"/>
        <v>48273.5</v>
      </c>
      <c r="G197" s="1798"/>
      <c r="H197" s="1283">
        <f ca="1">VLOOKUP(A197,Prehľad!$B$1:$BN$27,11,FALSE)</f>
        <v>11260.150138217001</v>
      </c>
      <c r="I197" s="1283">
        <f t="shared" ca="1" si="30"/>
        <v>11260.150138217001</v>
      </c>
      <c r="J197" s="755">
        <f>VLOOKUP(A197,Prehľad!$B$1:$BN$27,28,FALSE)</f>
        <v>20.894241671290384</v>
      </c>
      <c r="K197" s="1802">
        <f t="shared" ca="1" si="31"/>
        <v>2352.7229824291985</v>
      </c>
      <c r="L197" s="141">
        <v>0.28791426434757439</v>
      </c>
      <c r="M197" s="1794">
        <f t="shared" ca="1" si="32"/>
        <v>3241.9578434879859</v>
      </c>
      <c r="N197" s="1920">
        <f t="shared" ca="1" si="33"/>
        <v>302.1098282083621</v>
      </c>
    </row>
    <row r="198" spans="1:14" s="7" customFormat="1" x14ac:dyDescent="0.25">
      <c r="A198" s="1396" t="s">
        <v>1139</v>
      </c>
      <c r="B198" s="101" t="s">
        <v>1137</v>
      </c>
      <c r="C198" s="192">
        <v>44004</v>
      </c>
      <c r="D198" s="682">
        <f t="shared" ca="1" si="28"/>
        <v>1.6509240246406571</v>
      </c>
      <c r="E198" s="1283">
        <v>13</v>
      </c>
      <c r="F198" s="1797">
        <f t="shared" si="29"/>
        <v>48752.25</v>
      </c>
      <c r="G198" s="1798"/>
      <c r="H198" s="1283">
        <f ca="1">VLOOKUP(A198,Prehľad!$B$1:$BN$27,11,FALSE)</f>
        <v>5976.6529850746265</v>
      </c>
      <c r="I198" s="1283">
        <f t="shared" ca="1" si="30"/>
        <v>5976.6529850746265</v>
      </c>
      <c r="J198" s="755">
        <f>VLOOKUP(A198,Prehľad!$B$1:$BN$27,28,FALSE)</f>
        <v>10.346293119878025</v>
      </c>
      <c r="K198" s="1802">
        <f t="shared" ca="1" si="31"/>
        <v>618.36203659376065</v>
      </c>
      <c r="L198" s="141">
        <v>0.13184295788069372</v>
      </c>
      <c r="M198" s="1794">
        <f t="shared" ca="1" si="32"/>
        <v>787.9796077787164</v>
      </c>
      <c r="N198" s="1920">
        <f t="shared" ca="1" si="33"/>
        <v>160.3535995895522</v>
      </c>
    </row>
    <row r="199" spans="1:14" s="1838" customFormat="1" x14ac:dyDescent="0.25">
      <c r="A199" s="1828" t="s">
        <v>1417</v>
      </c>
      <c r="B199" s="1829" t="s">
        <v>1418</v>
      </c>
      <c r="C199" s="1839">
        <v>44926</v>
      </c>
      <c r="D199" s="1831">
        <f t="shared" ca="1" si="28"/>
        <v>-0.87337440109514031</v>
      </c>
      <c r="E199" s="1832">
        <v>12</v>
      </c>
      <c r="F199" s="1833">
        <f t="shared" si="29"/>
        <v>49309</v>
      </c>
      <c r="G199" s="1834"/>
      <c r="H199" s="1832">
        <f ca="1">$H$52</f>
        <v>14925.612569718405</v>
      </c>
      <c r="I199" s="1832">
        <v>0</v>
      </c>
      <c r="J199" s="1835">
        <v>0</v>
      </c>
      <c r="K199" s="1836">
        <v>0</v>
      </c>
      <c r="L199" s="1837">
        <v>0</v>
      </c>
      <c r="M199" s="1926">
        <v>0</v>
      </c>
      <c r="N199" s="1923">
        <v>0</v>
      </c>
    </row>
    <row r="200" spans="1:14" s="1838" customFormat="1" x14ac:dyDescent="0.25">
      <c r="A200" s="1828" t="s">
        <v>1417</v>
      </c>
      <c r="B200" s="1829" t="s">
        <v>1419</v>
      </c>
      <c r="C200" s="1839">
        <v>45291</v>
      </c>
      <c r="D200" s="1831">
        <f t="shared" ca="1" si="28"/>
        <v>-1.8726899383983573</v>
      </c>
      <c r="E200" s="1832">
        <v>12</v>
      </c>
      <c r="F200" s="1833">
        <f t="shared" si="29"/>
        <v>49674</v>
      </c>
      <c r="G200" s="1834"/>
      <c r="H200" s="1832">
        <f ca="1">$H$99</f>
        <v>11223.957389580974</v>
      </c>
      <c r="I200" s="1832">
        <v>0</v>
      </c>
      <c r="J200" s="1835">
        <v>0</v>
      </c>
      <c r="K200" s="1836">
        <v>0</v>
      </c>
      <c r="L200" s="1837">
        <v>0</v>
      </c>
      <c r="M200" s="1926">
        <v>0</v>
      </c>
      <c r="N200" s="1923">
        <v>0</v>
      </c>
    </row>
    <row r="201" spans="1:14" s="1838" customFormat="1" x14ac:dyDescent="0.25">
      <c r="A201" s="1828" t="s">
        <v>1417</v>
      </c>
      <c r="B201" s="1829" t="s">
        <v>1427</v>
      </c>
      <c r="C201" s="1839">
        <v>45657</v>
      </c>
      <c r="D201" s="1831">
        <f t="shared" ca="1" si="28"/>
        <v>-2.8747433264887063</v>
      </c>
      <c r="E201" s="1832">
        <v>12</v>
      </c>
      <c r="F201" s="1833">
        <f t="shared" si="29"/>
        <v>50040</v>
      </c>
      <c r="G201" s="1834">
        <v>50000</v>
      </c>
      <c r="H201" s="1832">
        <f ca="1">$H$145</f>
        <v>7769.9932656646497</v>
      </c>
      <c r="I201" s="1832">
        <v>0</v>
      </c>
      <c r="J201" s="1835">
        <v>0</v>
      </c>
      <c r="K201" s="1836">
        <v>0</v>
      </c>
      <c r="L201" s="1837">
        <v>0</v>
      </c>
      <c r="M201" s="1926">
        <v>0</v>
      </c>
      <c r="N201" s="1923">
        <v>0</v>
      </c>
    </row>
    <row r="202" spans="1:14" x14ac:dyDescent="0.25">
      <c r="A202" s="700"/>
      <c r="B202" s="202"/>
      <c r="C202" s="701"/>
      <c r="D202" s="702"/>
      <c r="E202" s="1812"/>
      <c r="F202" s="1813"/>
      <c r="G202" s="1814"/>
      <c r="H202" s="1812"/>
      <c r="I202" s="1733"/>
      <c r="J202" s="1815"/>
      <c r="K202" s="1816"/>
      <c r="L202" s="1733"/>
      <c r="M202" s="1816"/>
      <c r="N202" s="1921"/>
    </row>
    <row r="203" spans="1:14" s="50" customFormat="1" ht="15.75" customHeight="1" x14ac:dyDescent="0.25">
      <c r="A203" s="2215" t="s">
        <v>85</v>
      </c>
      <c r="B203" s="2216"/>
      <c r="C203" s="1817"/>
      <c r="D203" s="1822"/>
      <c r="E203" s="1819"/>
      <c r="F203" s="1817"/>
      <c r="G203" s="1818">
        <f>SUM(G189:G202)</f>
        <v>50000</v>
      </c>
      <c r="H203" s="1819">
        <f ca="1">SUM(H189:H202)</f>
        <v>218001.19926235979</v>
      </c>
      <c r="I203" s="1819">
        <f ca="1">SUM(I189:I202)</f>
        <v>184081.63603739577</v>
      </c>
      <c r="J203" s="1820"/>
      <c r="K203" s="1821">
        <f ca="1">SUM(K189:K202)</f>
        <v>13857.108825272058</v>
      </c>
      <c r="L203" s="1817"/>
      <c r="M203" s="1924">
        <f ca="1">SUM(M189:M202)</f>
        <v>17943.906522863617</v>
      </c>
      <c r="N203" s="1889">
        <f ca="1">SUM(N188:N202)</f>
        <v>4938.9102948833279</v>
      </c>
    </row>
    <row r="204" spans="1:14" s="50" customFormat="1" ht="15.75" customHeight="1" x14ac:dyDescent="0.25">
      <c r="A204" s="2217" t="s">
        <v>1413</v>
      </c>
      <c r="B204" s="2218"/>
      <c r="C204" s="1803"/>
      <c r="D204" s="1823">
        <f ca="1">AVERAGE(D189:D202)</f>
        <v>5.1399989469804686</v>
      </c>
      <c r="E204" s="1805">
        <f>AVERAGE(E189:E202)</f>
        <v>13.692307692307692</v>
      </c>
      <c r="F204" s="1803"/>
      <c r="G204" s="1804">
        <f t="shared" ref="G204:N204" si="34">AVERAGE(G189:G202)</f>
        <v>50000</v>
      </c>
      <c r="H204" s="1805">
        <f t="shared" ca="1" si="34"/>
        <v>18166.766605196648</v>
      </c>
      <c r="I204" s="1805">
        <f t="shared" ca="1" si="34"/>
        <v>15340.136336449648</v>
      </c>
      <c r="J204" s="1806">
        <f t="shared" si="34"/>
        <v>6.4298433469263818</v>
      </c>
      <c r="K204" s="1824">
        <f t="shared" ca="1" si="34"/>
        <v>1154.7590687726715</v>
      </c>
      <c r="L204" s="1804">
        <f t="shared" si="34"/>
        <v>8.405376199454212E-2</v>
      </c>
      <c r="M204" s="1925">
        <f t="shared" ca="1" si="34"/>
        <v>1495.3255435719682</v>
      </c>
      <c r="N204" s="1922">
        <f t="shared" ca="1" si="34"/>
        <v>411.57585790694401</v>
      </c>
    </row>
    <row r="206" spans="1:14" x14ac:dyDescent="0.25">
      <c r="G206" s="1954"/>
      <c r="J206" s="1954"/>
    </row>
    <row r="207" spans="1:14" x14ac:dyDescent="0.25">
      <c r="G207" s="1954"/>
      <c r="J207" s="1954"/>
    </row>
    <row r="208" spans="1:14" x14ac:dyDescent="0.25">
      <c r="G208" s="1954"/>
      <c r="J208" s="1954"/>
    </row>
    <row r="209" spans="7:10" x14ac:dyDescent="0.25">
      <c r="G209" s="1954"/>
      <c r="J209" s="1954"/>
    </row>
    <row r="210" spans="7:10" x14ac:dyDescent="0.25">
      <c r="G210" s="1954"/>
      <c r="J210" s="1954"/>
    </row>
    <row r="211" spans="7:10" x14ac:dyDescent="0.25">
      <c r="G211" s="1954"/>
      <c r="J211" s="1954"/>
    </row>
    <row r="212" spans="7:10" x14ac:dyDescent="0.25">
      <c r="G212" s="1954"/>
      <c r="J212" s="1954"/>
    </row>
    <row r="213" spans="7:10" x14ac:dyDescent="0.25">
      <c r="G213" s="1954"/>
      <c r="J213" s="1954"/>
    </row>
    <row r="214" spans="7:10" x14ac:dyDescent="0.25">
      <c r="G214" s="1954"/>
      <c r="J214" s="1954"/>
    </row>
    <row r="215" spans="7:10" x14ac:dyDescent="0.25">
      <c r="G215" s="1954"/>
      <c r="J215" s="1954"/>
    </row>
    <row r="216" spans="7:10" x14ac:dyDescent="0.25">
      <c r="G216" s="1954"/>
      <c r="J216" s="1954"/>
    </row>
    <row r="217" spans="7:10" x14ac:dyDescent="0.25">
      <c r="G217" s="1954"/>
      <c r="J217" s="1954"/>
    </row>
    <row r="218" spans="7:10" x14ac:dyDescent="0.25">
      <c r="G218" s="1954"/>
      <c r="J218" s="1954"/>
    </row>
    <row r="219" spans="7:10" x14ac:dyDescent="0.25">
      <c r="G219" s="1954"/>
      <c r="J219" s="1954"/>
    </row>
    <row r="220" spans="7:10" x14ac:dyDescent="0.25">
      <c r="G220" s="1954"/>
      <c r="J220" s="1954"/>
    </row>
    <row r="221" spans="7:10" x14ac:dyDescent="0.25">
      <c r="G221" s="1954"/>
      <c r="J221" s="1954"/>
    </row>
    <row r="222" spans="7:10" x14ac:dyDescent="0.25">
      <c r="G222" s="1954"/>
      <c r="J222" s="1954"/>
    </row>
    <row r="223" spans="7:10" x14ac:dyDescent="0.25">
      <c r="G223" s="1954"/>
      <c r="J223" s="1954"/>
    </row>
    <row r="224" spans="7:10" x14ac:dyDescent="0.25">
      <c r="G224" s="1954"/>
      <c r="J224" s="1954"/>
    </row>
    <row r="225" spans="1:14" x14ac:dyDescent="0.25">
      <c r="G225" s="1954"/>
      <c r="J225" s="1954"/>
    </row>
    <row r="226" spans="1:14" x14ac:dyDescent="0.25">
      <c r="G226" s="1954"/>
      <c r="J226" s="1954"/>
    </row>
    <row r="227" spans="1:14" x14ac:dyDescent="0.25">
      <c r="G227" s="1954"/>
      <c r="J227" s="1954"/>
    </row>
    <row r="228" spans="1:14" x14ac:dyDescent="0.25">
      <c r="G228" s="1954"/>
      <c r="J228" s="1954"/>
    </row>
    <row r="229" spans="1:14" x14ac:dyDescent="0.25">
      <c r="G229" s="1954"/>
      <c r="J229" s="1954"/>
    </row>
    <row r="230" spans="1:14" x14ac:dyDescent="0.25">
      <c r="A230" s="50" t="s">
        <v>1415</v>
      </c>
      <c r="B230" s="50"/>
      <c r="C230" s="1825"/>
      <c r="D230" s="1876">
        <v>46022</v>
      </c>
      <c r="F230" s="50"/>
      <c r="G230" s="50"/>
      <c r="H230" s="50"/>
      <c r="I230" s="50"/>
      <c r="J230" s="50"/>
      <c r="K230" s="50"/>
      <c r="L230" s="50"/>
      <c r="M230" s="50"/>
    </row>
    <row r="231" spans="1:14" x14ac:dyDescent="0.25">
      <c r="N231" s="49"/>
    </row>
    <row r="232" spans="1:14" s="49" customFormat="1" ht="66.75" customHeight="1" x14ac:dyDescent="0.25">
      <c r="A232" s="2064" t="s">
        <v>344</v>
      </c>
      <c r="B232" s="2066" t="s">
        <v>3</v>
      </c>
      <c r="C232" s="2066" t="s">
        <v>66</v>
      </c>
      <c r="D232" s="1789" t="s">
        <v>335</v>
      </c>
      <c r="E232" s="1810" t="s">
        <v>342</v>
      </c>
      <c r="F232" s="2219" t="s">
        <v>334</v>
      </c>
      <c r="G232" s="2221" t="s">
        <v>343</v>
      </c>
      <c r="H232" s="2211" t="s">
        <v>7</v>
      </c>
      <c r="I232" s="2211" t="s">
        <v>1410</v>
      </c>
      <c r="J232" s="2010" t="s">
        <v>54</v>
      </c>
      <c r="K232" s="2213" t="s">
        <v>1444</v>
      </c>
      <c r="L232" s="2202" t="s">
        <v>1411</v>
      </c>
      <c r="M232" s="2223" t="s">
        <v>1412</v>
      </c>
      <c r="N232" s="2012" t="s">
        <v>1433</v>
      </c>
    </row>
    <row r="233" spans="1:14" s="2" customFormat="1" ht="29.25" customHeight="1" x14ac:dyDescent="0.25">
      <c r="A233" s="2065"/>
      <c r="B233" s="2067"/>
      <c r="C233" s="2067"/>
      <c r="D233" s="699">
        <f ca="1">TODAY()</f>
        <v>44607</v>
      </c>
      <c r="E233" s="1811">
        <v>365.25</v>
      </c>
      <c r="F233" s="2220"/>
      <c r="G233" s="2222"/>
      <c r="H233" s="2212"/>
      <c r="I233" s="2212"/>
      <c r="J233" s="2011"/>
      <c r="K233" s="2214"/>
      <c r="L233" s="2203"/>
      <c r="M233" s="2224"/>
      <c r="N233" s="2013"/>
    </row>
    <row r="234" spans="1:14" x14ac:dyDescent="0.25">
      <c r="A234" s="694" t="s">
        <v>336</v>
      </c>
      <c r="B234" s="196"/>
      <c r="C234" s="695"/>
      <c r="D234" s="696"/>
      <c r="E234" s="17"/>
      <c r="F234" s="1807"/>
      <c r="G234" s="1808"/>
      <c r="H234" s="17"/>
      <c r="I234" s="472"/>
      <c r="J234" s="787"/>
      <c r="K234" s="1809"/>
      <c r="L234" s="472"/>
      <c r="M234" s="1809"/>
      <c r="N234" s="458"/>
    </row>
    <row r="235" spans="1:14" x14ac:dyDescent="0.25">
      <c r="A235" s="684" t="s">
        <v>25</v>
      </c>
      <c r="B235" s="101" t="s">
        <v>340</v>
      </c>
      <c r="C235" s="191">
        <v>40844</v>
      </c>
      <c r="D235" s="682">
        <f t="shared" ref="D235:D247" ca="1" si="35">($D$4-C235)/365.25</f>
        <v>10.302532511978097</v>
      </c>
      <c r="E235" s="1283">
        <v>14</v>
      </c>
      <c r="F235" s="1797">
        <f t="shared" ref="F235:F247" si="36">C235+(E235*$E$4)</f>
        <v>45957.5</v>
      </c>
      <c r="G235" s="1827" t="s">
        <v>1416</v>
      </c>
      <c r="H235" s="1283"/>
      <c r="I235" s="1283"/>
      <c r="J235" s="754"/>
      <c r="K235" s="1802"/>
      <c r="L235" s="141"/>
      <c r="M235" s="1794"/>
      <c r="N235" s="1919"/>
    </row>
    <row r="236" spans="1:14" s="7" customFormat="1" x14ac:dyDescent="0.25">
      <c r="A236" s="684" t="s">
        <v>20</v>
      </c>
      <c r="B236" s="101" t="s">
        <v>21</v>
      </c>
      <c r="C236" s="191">
        <v>40959</v>
      </c>
      <c r="D236" s="682">
        <f t="shared" ca="1" si="35"/>
        <v>9.9876796714579061</v>
      </c>
      <c r="E236" s="1283">
        <v>14</v>
      </c>
      <c r="F236" s="1797">
        <f t="shared" si="36"/>
        <v>46072.5</v>
      </c>
      <c r="G236" s="1798"/>
      <c r="H236" s="1283">
        <f ca="1">VLOOKUP(A236,Prehľad!$B$1:$BN$27,11,FALSE)</f>
        <v>26706.803659539473</v>
      </c>
      <c r="I236" s="1283">
        <f t="shared" ref="I236:I243" ca="1" si="37">H236</f>
        <v>26706.803659539473</v>
      </c>
      <c r="J236" s="754">
        <f>VLOOKUP(A236,Prehľad!$B$1:$BN$27,28,FALSE)</f>
        <v>6.4357585815355058</v>
      </c>
      <c r="K236" s="1802">
        <f t="shared" ref="K236:K243" ca="1" si="38">I236/100*J236</f>
        <v>1718.7854083726502</v>
      </c>
      <c r="L236" s="141">
        <v>7.5629749323084985E-2</v>
      </c>
      <c r="M236" s="1794">
        <f t="shared" ref="M236:M243" ca="1" si="39">I236*L236</f>
        <v>2019.8288659918192</v>
      </c>
      <c r="N236" s="1920">
        <f t="shared" ref="N236:N243" ca="1" si="40">26.83*I236/1000</f>
        <v>716.54354218544404</v>
      </c>
    </row>
    <row r="237" spans="1:14" x14ac:dyDescent="0.25">
      <c r="A237" s="684" t="s">
        <v>30</v>
      </c>
      <c r="B237" s="101" t="s">
        <v>21</v>
      </c>
      <c r="C237" s="192">
        <v>41533</v>
      </c>
      <c r="D237" s="682">
        <f t="shared" ca="1" si="35"/>
        <v>8.4161533196440796</v>
      </c>
      <c r="E237" s="1283">
        <v>14</v>
      </c>
      <c r="F237" s="1797">
        <f t="shared" si="36"/>
        <v>46646.5</v>
      </c>
      <c r="G237" s="1798"/>
      <c r="H237" s="1283">
        <f ca="1">VLOOKUP(A237,Prehľad!$B$1:$BN$27,11,FALSE)</f>
        <v>23634.669242029926</v>
      </c>
      <c r="I237" s="1283">
        <f t="shared" ca="1" si="37"/>
        <v>23634.669242029926</v>
      </c>
      <c r="J237" s="755">
        <f>VLOOKUP(A237,Prehľad!$B$1:$BN$27,28,FALSE)</f>
        <v>6.7560932949705723</v>
      </c>
      <c r="K237" s="1802">
        <f t="shared" ca="1" si="38"/>
        <v>1596.780303949256</v>
      </c>
      <c r="L237" s="141">
        <v>8.9759066700481852E-2</v>
      </c>
      <c r="M237" s="1794">
        <f t="shared" ca="1" si="39"/>
        <v>2121.4258529391909</v>
      </c>
      <c r="N237" s="1920">
        <f t="shared" ca="1" si="40"/>
        <v>634.11817576366286</v>
      </c>
    </row>
    <row r="238" spans="1:14" x14ac:dyDescent="0.25">
      <c r="A238" s="686" t="s">
        <v>40</v>
      </c>
      <c r="B238" s="99" t="s">
        <v>338</v>
      </c>
      <c r="C238" s="192">
        <v>41992</v>
      </c>
      <c r="D238" s="682">
        <f t="shared" ca="1" si="35"/>
        <v>7.1594798083504445</v>
      </c>
      <c r="E238" s="12">
        <v>14</v>
      </c>
      <c r="F238" s="1797">
        <f t="shared" si="36"/>
        <v>47105.5</v>
      </c>
      <c r="G238" s="1798"/>
      <c r="H238" s="1283">
        <f ca="1">VLOOKUP(A238,Prehľad!$B$1:$BN$27,11,FALSE)</f>
        <v>19060.602676864244</v>
      </c>
      <c r="I238" s="1283">
        <f t="shared" ca="1" si="37"/>
        <v>19060.602676864244</v>
      </c>
      <c r="J238" s="755">
        <f>VLOOKUP(A238,Prehľad!$B$1:$BN$27,28,FALSE)</f>
        <v>5.3088211498487681</v>
      </c>
      <c r="K238" s="1802">
        <f t="shared" ca="1" si="38"/>
        <v>1011.8933061980094</v>
      </c>
      <c r="L238" s="141">
        <v>6.4418590756898722E-2</v>
      </c>
      <c r="M238" s="1794">
        <f t="shared" ca="1" si="39"/>
        <v>1227.857163420766</v>
      </c>
      <c r="N238" s="1920">
        <f t="shared" ca="1" si="40"/>
        <v>511.39596982026762</v>
      </c>
    </row>
    <row r="239" spans="1:14" x14ac:dyDescent="0.25">
      <c r="A239" s="684" t="s">
        <v>18</v>
      </c>
      <c r="B239" s="101" t="s">
        <v>17</v>
      </c>
      <c r="C239" s="192">
        <v>42356</v>
      </c>
      <c r="D239" s="682">
        <f t="shared" ca="1" si="35"/>
        <v>6.1629021218343603</v>
      </c>
      <c r="E239" s="1283">
        <v>14</v>
      </c>
      <c r="F239" s="1797">
        <f t="shared" si="36"/>
        <v>47469.5</v>
      </c>
      <c r="G239" s="1798"/>
      <c r="H239" s="1283">
        <f ca="1">VLOOKUP(A239,Prehľad!$B$1:$BN$27,11,FALSE)</f>
        <v>26724.422478898265</v>
      </c>
      <c r="I239" s="1283">
        <f t="shared" ca="1" si="37"/>
        <v>26724.422478898265</v>
      </c>
      <c r="J239" s="755">
        <f>VLOOKUP(A239,Prehľad!$B$1:$BN$27,28,FALSE)</f>
        <v>6.4805937905968545</v>
      </c>
      <c r="K239" s="1802">
        <f t="shared" ca="1" si="38"/>
        <v>1731.9012637403509</v>
      </c>
      <c r="L239" s="141">
        <v>8.6021836547023015E-2</v>
      </c>
      <c r="M239" s="1794">
        <f t="shared" ca="1" si="39"/>
        <v>2298.8839022933739</v>
      </c>
      <c r="N239" s="1920">
        <f t="shared" ca="1" si="40"/>
        <v>717.01625510884037</v>
      </c>
    </row>
    <row r="240" spans="1:14" s="7" customFormat="1" x14ac:dyDescent="0.25">
      <c r="A240" s="686" t="s">
        <v>38</v>
      </c>
      <c r="B240" s="99" t="s">
        <v>339</v>
      </c>
      <c r="C240" s="192">
        <v>42366</v>
      </c>
      <c r="D240" s="682">
        <f t="shared" ca="1" si="35"/>
        <v>6.1355236139630387</v>
      </c>
      <c r="E240" s="12">
        <v>15</v>
      </c>
      <c r="F240" s="1797">
        <f t="shared" si="36"/>
        <v>47844.75</v>
      </c>
      <c r="G240" s="1798"/>
      <c r="H240" s="1283">
        <f ca="1">VLOOKUP(A240,Prehľad!$B$1:$BN$27,11,FALSE)</f>
        <v>31085.855421686749</v>
      </c>
      <c r="I240" s="1283">
        <f t="shared" ca="1" si="37"/>
        <v>31085.855421686749</v>
      </c>
      <c r="J240" s="755">
        <f>VLOOKUP(A240,Prehľad!$B$1:$BN$27,28,FALSE)</f>
        <v>6.4512454068074572</v>
      </c>
      <c r="K240" s="1802">
        <f t="shared" ca="1" si="38"/>
        <v>2005.4248200583734</v>
      </c>
      <c r="L240" s="141">
        <v>7.9289755750232033E-2</v>
      </c>
      <c r="M240" s="1794">
        <f t="shared" ca="1" si="39"/>
        <v>2464.7898836725685</v>
      </c>
      <c r="N240" s="1920">
        <f t="shared" ca="1" si="40"/>
        <v>834.03350096385543</v>
      </c>
    </row>
    <row r="241" spans="1:14" s="1044" customFormat="1" x14ac:dyDescent="0.25">
      <c r="A241" s="684" t="s">
        <v>164</v>
      </c>
      <c r="B241" s="101" t="s">
        <v>17</v>
      </c>
      <c r="C241" s="192">
        <v>42913</v>
      </c>
      <c r="D241" s="682">
        <f t="shared" ca="1" si="35"/>
        <v>4.6379192334017798</v>
      </c>
      <c r="E241" s="1283">
        <v>14</v>
      </c>
      <c r="F241" s="1797">
        <f t="shared" si="36"/>
        <v>48026.5</v>
      </c>
      <c r="G241" s="1798"/>
      <c r="H241" s="1283">
        <f ca="1">VLOOKUP(A241,Prehľad!$B$1:$BN$27,11,FALSE)</f>
        <v>25956.036304604484</v>
      </c>
      <c r="I241" s="1283">
        <f t="shared" ca="1" si="37"/>
        <v>25956.036304604484</v>
      </c>
      <c r="J241" s="755">
        <f>VLOOKUP(A241,Prehľad!$B$1:$BN$27,28,FALSE)</f>
        <v>6.8422129340599254</v>
      </c>
      <c r="K241" s="1802">
        <f t="shared" ca="1" si="38"/>
        <v>1775.9672732029378</v>
      </c>
      <c r="L241" s="141">
        <v>9.2113292065675506E-2</v>
      </c>
      <c r="M241" s="1794">
        <f t="shared" ca="1" si="39"/>
        <v>2390.8959529933095</v>
      </c>
      <c r="N241" s="1920">
        <f t="shared" ca="1" si="40"/>
        <v>696.40045405253829</v>
      </c>
    </row>
    <row r="242" spans="1:14" s="7" customFormat="1" x14ac:dyDescent="0.25">
      <c r="A242" s="1396" t="s">
        <v>215</v>
      </c>
      <c r="B242" s="101" t="s">
        <v>218</v>
      </c>
      <c r="C242" s="192">
        <v>43160</v>
      </c>
      <c r="D242" s="682">
        <f t="shared" ca="1" si="35"/>
        <v>3.9616700889801506</v>
      </c>
      <c r="E242" s="1283">
        <v>14</v>
      </c>
      <c r="F242" s="1797">
        <f t="shared" si="36"/>
        <v>48273.5</v>
      </c>
      <c r="G242" s="1798"/>
      <c r="H242" s="1283">
        <f ca="1">VLOOKUP(A242,Prehľad!$B$1:$BN$27,11,FALSE)</f>
        <v>11260.150138217001</v>
      </c>
      <c r="I242" s="1283">
        <f t="shared" ca="1" si="37"/>
        <v>11260.150138217001</v>
      </c>
      <c r="J242" s="755">
        <f>VLOOKUP(A242,Prehľad!$B$1:$BN$27,28,FALSE)</f>
        <v>20.894241671290384</v>
      </c>
      <c r="K242" s="1802">
        <f t="shared" ca="1" si="38"/>
        <v>2352.7229824291985</v>
      </c>
      <c r="L242" s="141">
        <v>0.28791426434757439</v>
      </c>
      <c r="M242" s="1794">
        <f t="shared" ca="1" si="39"/>
        <v>3241.9578434879859</v>
      </c>
      <c r="N242" s="1920">
        <f t="shared" ca="1" si="40"/>
        <v>302.1098282083621</v>
      </c>
    </row>
    <row r="243" spans="1:14" s="7" customFormat="1" x14ac:dyDescent="0.25">
      <c r="A243" s="1396" t="s">
        <v>1139</v>
      </c>
      <c r="B243" s="101" t="s">
        <v>1137</v>
      </c>
      <c r="C243" s="192">
        <v>44004</v>
      </c>
      <c r="D243" s="682">
        <f t="shared" ca="1" si="35"/>
        <v>1.6509240246406571</v>
      </c>
      <c r="E243" s="1283">
        <v>13</v>
      </c>
      <c r="F243" s="1797">
        <f t="shared" si="36"/>
        <v>48752.25</v>
      </c>
      <c r="G243" s="1798"/>
      <c r="H243" s="1283">
        <f ca="1">VLOOKUP(A243,Prehľad!$B$1:$BN$27,11,FALSE)</f>
        <v>5976.6529850746265</v>
      </c>
      <c r="I243" s="1283">
        <f t="shared" ca="1" si="37"/>
        <v>5976.6529850746265</v>
      </c>
      <c r="J243" s="755">
        <f>VLOOKUP(A243,Prehľad!$B$1:$BN$27,28,FALSE)</f>
        <v>10.346293119878025</v>
      </c>
      <c r="K243" s="1802">
        <f t="shared" ca="1" si="38"/>
        <v>618.36203659376065</v>
      </c>
      <c r="L243" s="141">
        <v>0.13184295788069372</v>
      </c>
      <c r="M243" s="1794">
        <f t="shared" ca="1" si="39"/>
        <v>787.9796077787164</v>
      </c>
      <c r="N243" s="1920">
        <f t="shared" ca="1" si="40"/>
        <v>160.3535995895522</v>
      </c>
    </row>
    <row r="244" spans="1:14" s="1838" customFormat="1" x14ac:dyDescent="0.25">
      <c r="A244" s="1828" t="s">
        <v>1417</v>
      </c>
      <c r="B244" s="1829" t="s">
        <v>1418</v>
      </c>
      <c r="C244" s="1839">
        <v>44926</v>
      </c>
      <c r="D244" s="1831">
        <f t="shared" ca="1" si="35"/>
        <v>-0.87337440109514031</v>
      </c>
      <c r="E244" s="1832">
        <v>12</v>
      </c>
      <c r="F244" s="1833">
        <f t="shared" si="36"/>
        <v>49309</v>
      </c>
      <c r="G244" s="1834"/>
      <c r="H244" s="1832">
        <f ca="1">$H$52</f>
        <v>14925.612569718405</v>
      </c>
      <c r="I244" s="1832">
        <v>0</v>
      </c>
      <c r="J244" s="1835">
        <v>0</v>
      </c>
      <c r="K244" s="1836">
        <v>0</v>
      </c>
      <c r="L244" s="1837">
        <v>0</v>
      </c>
      <c r="M244" s="1926">
        <v>0</v>
      </c>
      <c r="N244" s="1923">
        <v>0</v>
      </c>
    </row>
    <row r="245" spans="1:14" s="1838" customFormat="1" x14ac:dyDescent="0.25">
      <c r="A245" s="1828" t="s">
        <v>1417</v>
      </c>
      <c r="B245" s="1829" t="s">
        <v>1419</v>
      </c>
      <c r="C245" s="1839">
        <v>45291</v>
      </c>
      <c r="D245" s="1831">
        <f t="shared" ca="1" si="35"/>
        <v>-1.8726899383983573</v>
      </c>
      <c r="E245" s="1832">
        <v>12</v>
      </c>
      <c r="F245" s="1833">
        <f t="shared" si="36"/>
        <v>49674</v>
      </c>
      <c r="G245" s="1834"/>
      <c r="H245" s="1832">
        <f ca="1">$H$99</f>
        <v>11223.957389580974</v>
      </c>
      <c r="I245" s="1832">
        <v>0</v>
      </c>
      <c r="J245" s="1835">
        <v>0</v>
      </c>
      <c r="K245" s="1836">
        <v>0</v>
      </c>
      <c r="L245" s="1837">
        <v>0</v>
      </c>
      <c r="M245" s="1926">
        <v>0</v>
      </c>
      <c r="N245" s="1923">
        <v>0</v>
      </c>
    </row>
    <row r="246" spans="1:14" s="1838" customFormat="1" x14ac:dyDescent="0.25">
      <c r="A246" s="1828" t="s">
        <v>1417</v>
      </c>
      <c r="B246" s="1829" t="s">
        <v>1427</v>
      </c>
      <c r="C246" s="1839">
        <v>45657</v>
      </c>
      <c r="D246" s="1831">
        <f t="shared" ca="1" si="35"/>
        <v>-2.8747433264887063</v>
      </c>
      <c r="E246" s="1832">
        <v>12</v>
      </c>
      <c r="F246" s="1833">
        <f t="shared" si="36"/>
        <v>50040</v>
      </c>
      <c r="G246" s="1834"/>
      <c r="H246" s="1832">
        <f ca="1">$H$145</f>
        <v>7769.9932656646497</v>
      </c>
      <c r="I246" s="1832">
        <v>0</v>
      </c>
      <c r="J246" s="1835">
        <v>0</v>
      </c>
      <c r="K246" s="1836">
        <v>0</v>
      </c>
      <c r="L246" s="1837">
        <v>0</v>
      </c>
      <c r="M246" s="1926">
        <v>0</v>
      </c>
      <c r="N246" s="1923">
        <v>0</v>
      </c>
    </row>
    <row r="247" spans="1:14" s="1838" customFormat="1" x14ac:dyDescent="0.25">
      <c r="A247" s="1828" t="s">
        <v>1417</v>
      </c>
      <c r="B247" s="1829" t="s">
        <v>1428</v>
      </c>
      <c r="C247" s="1839">
        <v>46022</v>
      </c>
      <c r="D247" s="1831">
        <f t="shared" ca="1" si="35"/>
        <v>-3.8740588637919235</v>
      </c>
      <c r="E247" s="1832">
        <v>12</v>
      </c>
      <c r="F247" s="1833">
        <f t="shared" si="36"/>
        <v>50405</v>
      </c>
      <c r="G247" s="1834">
        <v>40000</v>
      </c>
      <c r="H247" s="1832">
        <f ca="1">$H$190</f>
        <v>13676.443130481</v>
      </c>
      <c r="I247" s="1832">
        <v>0</v>
      </c>
      <c r="J247" s="1835">
        <v>0</v>
      </c>
      <c r="K247" s="1836">
        <v>0</v>
      </c>
      <c r="L247" s="1837">
        <v>0</v>
      </c>
      <c r="M247" s="1926">
        <v>0</v>
      </c>
      <c r="N247" s="1923">
        <v>0</v>
      </c>
    </row>
    <row r="248" spans="1:14" x14ac:dyDescent="0.25">
      <c r="A248" s="700"/>
      <c r="B248" s="202"/>
      <c r="C248" s="701"/>
      <c r="D248" s="702"/>
      <c r="E248" s="1812"/>
      <c r="F248" s="1813"/>
      <c r="G248" s="1814"/>
      <c r="H248" s="1812"/>
      <c r="I248" s="1733"/>
      <c r="J248" s="1815"/>
      <c r="K248" s="1816"/>
      <c r="L248" s="1733"/>
      <c r="M248" s="1816"/>
      <c r="N248" s="1921"/>
    </row>
    <row r="249" spans="1:14" s="50" customFormat="1" ht="15.75" customHeight="1" x14ac:dyDescent="0.25">
      <c r="A249" s="2215" t="s">
        <v>85</v>
      </c>
      <c r="B249" s="2216"/>
      <c r="C249" s="1817"/>
      <c r="D249" s="1822"/>
      <c r="E249" s="1819"/>
      <c r="F249" s="1817"/>
      <c r="G249" s="1818">
        <f>SUM(G235:G248)</f>
        <v>40000</v>
      </c>
      <c r="H249" s="1819">
        <f ca="1">SUM(H235:H248)</f>
        <v>218001.19926235979</v>
      </c>
      <c r="I249" s="1819">
        <f ca="1">SUM(I235:I248)</f>
        <v>170405.19290691477</v>
      </c>
      <c r="J249" s="1820"/>
      <c r="K249" s="1821">
        <f ca="1">SUM(K235:K248)</f>
        <v>12811.837394544538</v>
      </c>
      <c r="L249" s="1817"/>
      <c r="M249" s="1924">
        <f ca="1">SUM(M235:M248)</f>
        <v>16553.619072577731</v>
      </c>
      <c r="N249" s="1889">
        <f ca="1">SUM(N234:N248)</f>
        <v>4571.9713256925224</v>
      </c>
    </row>
    <row r="250" spans="1:14" s="50" customFormat="1" ht="15.75" customHeight="1" x14ac:dyDescent="0.25">
      <c r="A250" s="2217" t="s">
        <v>1413</v>
      </c>
      <c r="B250" s="2218"/>
      <c r="C250" s="1803"/>
      <c r="D250" s="1823">
        <f ca="1">AVERAGE(D235:D248)</f>
        <v>3.7630706049597227</v>
      </c>
      <c r="E250" s="1805">
        <f>AVERAGE(E235:E248)</f>
        <v>13.384615384615385</v>
      </c>
      <c r="F250" s="1803"/>
      <c r="G250" s="1804">
        <f t="shared" ref="G250:N250" si="41">AVERAGE(G235:G248)</f>
        <v>40000</v>
      </c>
      <c r="H250" s="1805">
        <f t="shared" ca="1" si="41"/>
        <v>18166.766605196648</v>
      </c>
      <c r="I250" s="1805">
        <f t="shared" ca="1" si="41"/>
        <v>14200.432742242898</v>
      </c>
      <c r="J250" s="1806">
        <f t="shared" si="41"/>
        <v>5.7929383290822907</v>
      </c>
      <c r="K250" s="1824">
        <f t="shared" ca="1" si="41"/>
        <v>1067.6531162120448</v>
      </c>
      <c r="L250" s="1804">
        <f t="shared" si="41"/>
        <v>7.5582459447638695E-2</v>
      </c>
      <c r="M250" s="1925">
        <f t="shared" ca="1" si="41"/>
        <v>1379.4682560481442</v>
      </c>
      <c r="N250" s="1922">
        <f t="shared" ca="1" si="41"/>
        <v>380.99761047437687</v>
      </c>
    </row>
    <row r="252" spans="1:14" x14ac:dyDescent="0.25">
      <c r="G252" s="1954"/>
      <c r="J252" s="1954"/>
    </row>
    <row r="253" spans="1:14" x14ac:dyDescent="0.25">
      <c r="G253" s="1954"/>
      <c r="J253" s="1954"/>
    </row>
    <row r="254" spans="1:14" x14ac:dyDescent="0.25">
      <c r="G254" s="1954"/>
      <c r="J254" s="1954"/>
    </row>
    <row r="255" spans="1:14" x14ac:dyDescent="0.25">
      <c r="G255" s="1954"/>
      <c r="J255" s="1954"/>
    </row>
    <row r="256" spans="1:14" x14ac:dyDescent="0.25">
      <c r="G256" s="1954"/>
      <c r="J256" s="1954"/>
    </row>
    <row r="257" spans="7:10" x14ac:dyDescent="0.25">
      <c r="G257" s="1954"/>
      <c r="J257" s="1954"/>
    </row>
    <row r="258" spans="7:10" x14ac:dyDescent="0.25">
      <c r="G258" s="1954"/>
      <c r="J258" s="1954"/>
    </row>
    <row r="259" spans="7:10" x14ac:dyDescent="0.25">
      <c r="G259" s="1954"/>
      <c r="J259" s="1954"/>
    </row>
    <row r="260" spans="7:10" x14ac:dyDescent="0.25">
      <c r="G260" s="1954"/>
      <c r="J260" s="1954"/>
    </row>
    <row r="261" spans="7:10" x14ac:dyDescent="0.25">
      <c r="G261" s="1954"/>
      <c r="J261" s="1954"/>
    </row>
    <row r="262" spans="7:10" x14ac:dyDescent="0.25">
      <c r="G262" s="1954"/>
      <c r="J262" s="1954"/>
    </row>
    <row r="263" spans="7:10" x14ac:dyDescent="0.25">
      <c r="G263" s="1954"/>
      <c r="J263" s="1954"/>
    </row>
    <row r="264" spans="7:10" x14ac:dyDescent="0.25">
      <c r="G264" s="1954"/>
      <c r="J264" s="1954"/>
    </row>
    <row r="265" spans="7:10" x14ac:dyDescent="0.25">
      <c r="G265" s="1954"/>
      <c r="J265" s="1954"/>
    </row>
    <row r="266" spans="7:10" x14ac:dyDescent="0.25">
      <c r="G266" s="1954"/>
      <c r="J266" s="1954"/>
    </row>
    <row r="267" spans="7:10" x14ac:dyDescent="0.25">
      <c r="G267" s="1954"/>
      <c r="J267" s="1954"/>
    </row>
    <row r="268" spans="7:10" x14ac:dyDescent="0.25">
      <c r="G268" s="1954"/>
      <c r="J268" s="1954"/>
    </row>
    <row r="269" spans="7:10" x14ac:dyDescent="0.25">
      <c r="G269" s="1954"/>
      <c r="J269" s="1954"/>
    </row>
    <row r="270" spans="7:10" x14ac:dyDescent="0.25">
      <c r="G270" s="1954"/>
      <c r="J270" s="1954"/>
    </row>
    <row r="271" spans="7:10" x14ac:dyDescent="0.25">
      <c r="G271" s="1954"/>
      <c r="J271" s="1954"/>
    </row>
    <row r="272" spans="7:10" x14ac:dyDescent="0.25">
      <c r="G272" s="1954"/>
      <c r="J272" s="1954"/>
    </row>
    <row r="273" spans="1:14" x14ac:dyDescent="0.25">
      <c r="G273" s="1954"/>
      <c r="J273" s="1954"/>
    </row>
    <row r="274" spans="1:14" x14ac:dyDescent="0.25">
      <c r="G274" s="1954"/>
      <c r="J274" s="1954"/>
    </row>
    <row r="275" spans="1:14" x14ac:dyDescent="0.25">
      <c r="G275" s="1954"/>
      <c r="J275" s="1954"/>
    </row>
    <row r="276" spans="1:14" x14ac:dyDescent="0.25">
      <c r="A276" s="50" t="s">
        <v>1415</v>
      </c>
      <c r="B276" s="50"/>
      <c r="C276" s="1825"/>
      <c r="D276" s="1876">
        <v>46387</v>
      </c>
      <c r="F276" s="50"/>
      <c r="G276" s="50"/>
      <c r="H276" s="50"/>
      <c r="I276" s="50"/>
      <c r="J276" s="50"/>
      <c r="K276" s="50"/>
      <c r="L276" s="50"/>
      <c r="M276" s="50"/>
    </row>
    <row r="277" spans="1:14" x14ac:dyDescent="0.25">
      <c r="N277" s="49"/>
    </row>
    <row r="278" spans="1:14" s="49" customFormat="1" ht="66.75" customHeight="1" x14ac:dyDescent="0.25">
      <c r="A278" s="2064" t="s">
        <v>344</v>
      </c>
      <c r="B278" s="2066" t="s">
        <v>3</v>
      </c>
      <c r="C278" s="2066" t="s">
        <v>66</v>
      </c>
      <c r="D278" s="1789" t="s">
        <v>335</v>
      </c>
      <c r="E278" s="1810" t="s">
        <v>342</v>
      </c>
      <c r="F278" s="2219" t="s">
        <v>334</v>
      </c>
      <c r="G278" s="2221" t="s">
        <v>343</v>
      </c>
      <c r="H278" s="2211" t="s">
        <v>7</v>
      </c>
      <c r="I278" s="2211" t="s">
        <v>1410</v>
      </c>
      <c r="J278" s="2010" t="s">
        <v>54</v>
      </c>
      <c r="K278" s="2213" t="s">
        <v>1444</v>
      </c>
      <c r="L278" s="2202" t="s">
        <v>1411</v>
      </c>
      <c r="M278" s="2223" t="s">
        <v>1412</v>
      </c>
      <c r="N278" s="2012" t="s">
        <v>1433</v>
      </c>
    </row>
    <row r="279" spans="1:14" s="2" customFormat="1" ht="29.25" customHeight="1" x14ac:dyDescent="0.25">
      <c r="A279" s="2065"/>
      <c r="B279" s="2067"/>
      <c r="C279" s="2067"/>
      <c r="D279" s="699">
        <f ca="1">TODAY()</f>
        <v>44607</v>
      </c>
      <c r="E279" s="1811">
        <v>365.25</v>
      </c>
      <c r="F279" s="2220"/>
      <c r="G279" s="2222"/>
      <c r="H279" s="2212"/>
      <c r="I279" s="2212"/>
      <c r="J279" s="2011"/>
      <c r="K279" s="2214"/>
      <c r="L279" s="2203"/>
      <c r="M279" s="2224"/>
      <c r="N279" s="2013"/>
    </row>
    <row r="280" spans="1:14" x14ac:dyDescent="0.25">
      <c r="A280" s="694" t="s">
        <v>336</v>
      </c>
      <c r="B280" s="196"/>
      <c r="C280" s="695"/>
      <c r="D280" s="696"/>
      <c r="E280" s="17"/>
      <c r="F280" s="1807"/>
      <c r="G280" s="1808"/>
      <c r="H280" s="17"/>
      <c r="I280" s="472"/>
      <c r="J280" s="787"/>
      <c r="K280" s="1809"/>
      <c r="L280" s="472"/>
      <c r="M280" s="1809"/>
      <c r="N280" s="458"/>
    </row>
    <row r="281" spans="1:14" s="7" customFormat="1" x14ac:dyDescent="0.25">
      <c r="A281" s="684" t="s">
        <v>20</v>
      </c>
      <c r="B281" s="101" t="s">
        <v>21</v>
      </c>
      <c r="C281" s="191">
        <v>40959</v>
      </c>
      <c r="D281" s="682">
        <f t="shared" ref="D281:D293" ca="1" si="42">($D$4-C281)/365.25</f>
        <v>9.9876796714579061</v>
      </c>
      <c r="E281" s="1283">
        <v>14</v>
      </c>
      <c r="F281" s="1797">
        <f t="shared" ref="F281:F293" si="43">C281+(E281*$E$4)</f>
        <v>46072.5</v>
      </c>
      <c r="G281" s="1827" t="s">
        <v>1416</v>
      </c>
      <c r="H281" s="1283"/>
      <c r="I281" s="1283"/>
      <c r="J281" s="754"/>
      <c r="K281" s="1802"/>
      <c r="L281" s="141"/>
      <c r="M281" s="1794"/>
      <c r="N281" s="1919"/>
    </row>
    <row r="282" spans="1:14" x14ac:dyDescent="0.25">
      <c r="A282" s="684" t="s">
        <v>30</v>
      </c>
      <c r="B282" s="101" t="s">
        <v>21</v>
      </c>
      <c r="C282" s="192">
        <v>41533</v>
      </c>
      <c r="D282" s="682">
        <f t="shared" ca="1" si="42"/>
        <v>8.4161533196440796</v>
      </c>
      <c r="E282" s="1283">
        <v>14</v>
      </c>
      <c r="F282" s="1797">
        <f t="shared" si="43"/>
        <v>46646.5</v>
      </c>
      <c r="G282" s="1798"/>
      <c r="H282" s="1283">
        <f ca="1">VLOOKUP(A282,Prehľad!$B$1:$BN$27,11,FALSE)</f>
        <v>23634.669242029926</v>
      </c>
      <c r="I282" s="1283">
        <f t="shared" ref="I282:I288" ca="1" si="44">H282</f>
        <v>23634.669242029926</v>
      </c>
      <c r="J282" s="755">
        <f>VLOOKUP(A282,Prehľad!$B$1:$BN$27,28,FALSE)</f>
        <v>6.7560932949705723</v>
      </c>
      <c r="K282" s="1802">
        <f t="shared" ref="K282:K288" ca="1" si="45">I282/100*J282</f>
        <v>1596.780303949256</v>
      </c>
      <c r="L282" s="141">
        <v>8.9759066700481852E-2</v>
      </c>
      <c r="M282" s="1794">
        <f t="shared" ref="M282:M288" ca="1" si="46">I282*L282</f>
        <v>2121.4258529391909</v>
      </c>
      <c r="N282" s="1920">
        <f t="shared" ref="N282:N287" ca="1" si="47">26.83*I282/1000</f>
        <v>634.11817576366286</v>
      </c>
    </row>
    <row r="283" spans="1:14" x14ac:dyDescent="0.25">
      <c r="A283" s="686" t="s">
        <v>40</v>
      </c>
      <c r="B283" s="99" t="s">
        <v>338</v>
      </c>
      <c r="C283" s="192">
        <v>41992</v>
      </c>
      <c r="D283" s="682">
        <f t="shared" ca="1" si="42"/>
        <v>7.1594798083504445</v>
      </c>
      <c r="E283" s="12">
        <v>14</v>
      </c>
      <c r="F283" s="1797">
        <f t="shared" si="43"/>
        <v>47105.5</v>
      </c>
      <c r="G283" s="1798"/>
      <c r="H283" s="1283">
        <f ca="1">VLOOKUP(A283,Prehľad!$B$1:$BN$27,11,FALSE)</f>
        <v>19060.602676864244</v>
      </c>
      <c r="I283" s="1283">
        <f t="shared" ca="1" si="44"/>
        <v>19060.602676864244</v>
      </c>
      <c r="J283" s="755">
        <f>VLOOKUP(A283,Prehľad!$B$1:$BN$27,28,FALSE)</f>
        <v>5.3088211498487681</v>
      </c>
      <c r="K283" s="1802">
        <f t="shared" ca="1" si="45"/>
        <v>1011.8933061980094</v>
      </c>
      <c r="L283" s="141">
        <v>6.4418590756898722E-2</v>
      </c>
      <c r="M283" s="1794">
        <f t="shared" ca="1" si="46"/>
        <v>1227.857163420766</v>
      </c>
      <c r="N283" s="1920">
        <f t="shared" ca="1" si="47"/>
        <v>511.39596982026762</v>
      </c>
    </row>
    <row r="284" spans="1:14" x14ac:dyDescent="0.25">
      <c r="A284" s="684" t="s">
        <v>18</v>
      </c>
      <c r="B284" s="101" t="s">
        <v>17</v>
      </c>
      <c r="C284" s="192">
        <v>42356</v>
      </c>
      <c r="D284" s="682">
        <f t="shared" ca="1" si="42"/>
        <v>6.1629021218343603</v>
      </c>
      <c r="E284" s="1283">
        <v>14</v>
      </c>
      <c r="F284" s="1797">
        <f t="shared" si="43"/>
        <v>47469.5</v>
      </c>
      <c r="G284" s="1798"/>
      <c r="H284" s="1283">
        <f ca="1">VLOOKUP(A284,Prehľad!$B$1:$BN$27,11,FALSE)</f>
        <v>26724.422478898265</v>
      </c>
      <c r="I284" s="1283">
        <f t="shared" ca="1" si="44"/>
        <v>26724.422478898265</v>
      </c>
      <c r="J284" s="755">
        <f>VLOOKUP(A284,Prehľad!$B$1:$BN$27,28,FALSE)</f>
        <v>6.4805937905968545</v>
      </c>
      <c r="K284" s="1802">
        <f t="shared" ca="1" si="45"/>
        <v>1731.9012637403509</v>
      </c>
      <c r="L284" s="141">
        <v>8.6021836547023015E-2</v>
      </c>
      <c r="M284" s="1794">
        <f t="shared" ca="1" si="46"/>
        <v>2298.8839022933739</v>
      </c>
      <c r="N284" s="1920">
        <f t="shared" ca="1" si="47"/>
        <v>717.01625510884037</v>
      </c>
    </row>
    <row r="285" spans="1:14" s="7" customFormat="1" x14ac:dyDescent="0.25">
      <c r="A285" s="686" t="s">
        <v>38</v>
      </c>
      <c r="B285" s="99" t="s">
        <v>339</v>
      </c>
      <c r="C285" s="192">
        <v>42366</v>
      </c>
      <c r="D285" s="682">
        <f t="shared" ca="1" si="42"/>
        <v>6.1355236139630387</v>
      </c>
      <c r="E285" s="12">
        <v>15</v>
      </c>
      <c r="F285" s="1797">
        <f t="shared" si="43"/>
        <v>47844.75</v>
      </c>
      <c r="G285" s="1798"/>
      <c r="H285" s="1283">
        <f ca="1">VLOOKUP(A285,Prehľad!$B$1:$BN$27,11,FALSE)</f>
        <v>31085.855421686749</v>
      </c>
      <c r="I285" s="1283">
        <f t="shared" ca="1" si="44"/>
        <v>31085.855421686749</v>
      </c>
      <c r="J285" s="755">
        <f>VLOOKUP(A285,Prehľad!$B$1:$BN$27,28,FALSE)</f>
        <v>6.4512454068074572</v>
      </c>
      <c r="K285" s="1802">
        <f t="shared" ca="1" si="45"/>
        <v>2005.4248200583734</v>
      </c>
      <c r="L285" s="141">
        <v>7.9289755750232033E-2</v>
      </c>
      <c r="M285" s="1794">
        <f t="shared" ca="1" si="46"/>
        <v>2464.7898836725685</v>
      </c>
      <c r="N285" s="1920">
        <f t="shared" ca="1" si="47"/>
        <v>834.03350096385543</v>
      </c>
    </row>
    <row r="286" spans="1:14" s="1044" customFormat="1" x14ac:dyDescent="0.25">
      <c r="A286" s="684" t="s">
        <v>164</v>
      </c>
      <c r="B286" s="101" t="s">
        <v>17</v>
      </c>
      <c r="C286" s="192">
        <v>42913</v>
      </c>
      <c r="D286" s="682">
        <f t="shared" ca="1" si="42"/>
        <v>4.6379192334017798</v>
      </c>
      <c r="E286" s="1283">
        <v>14</v>
      </c>
      <c r="F286" s="1797">
        <f t="shared" si="43"/>
        <v>48026.5</v>
      </c>
      <c r="G286" s="1798"/>
      <c r="H286" s="1283">
        <f ca="1">VLOOKUP(A286,Prehľad!$B$1:$BN$27,11,FALSE)</f>
        <v>25956.036304604484</v>
      </c>
      <c r="I286" s="1283">
        <f t="shared" ca="1" si="44"/>
        <v>25956.036304604484</v>
      </c>
      <c r="J286" s="755">
        <f>VLOOKUP(A286,Prehľad!$B$1:$BN$27,28,FALSE)</f>
        <v>6.8422129340599254</v>
      </c>
      <c r="K286" s="1802">
        <f t="shared" ca="1" si="45"/>
        <v>1775.9672732029378</v>
      </c>
      <c r="L286" s="141">
        <v>9.2113292065675506E-2</v>
      </c>
      <c r="M286" s="1794">
        <f t="shared" ca="1" si="46"/>
        <v>2390.8959529933095</v>
      </c>
      <c r="N286" s="1920">
        <f t="shared" ca="1" si="47"/>
        <v>696.40045405253829</v>
      </c>
    </row>
    <row r="287" spans="1:14" s="7" customFormat="1" x14ac:dyDescent="0.25">
      <c r="A287" s="1396" t="s">
        <v>215</v>
      </c>
      <c r="B287" s="101" t="s">
        <v>218</v>
      </c>
      <c r="C287" s="192">
        <v>43160</v>
      </c>
      <c r="D287" s="682">
        <f t="shared" ca="1" si="42"/>
        <v>3.9616700889801506</v>
      </c>
      <c r="E287" s="1283">
        <v>14</v>
      </c>
      <c r="F287" s="1797">
        <f t="shared" si="43"/>
        <v>48273.5</v>
      </c>
      <c r="G287" s="1798"/>
      <c r="H287" s="1283">
        <f ca="1">VLOOKUP(A287,Prehľad!$B$1:$BN$27,11,FALSE)</f>
        <v>11260.150138217001</v>
      </c>
      <c r="I287" s="1283">
        <f t="shared" ca="1" si="44"/>
        <v>11260.150138217001</v>
      </c>
      <c r="J287" s="755">
        <f>VLOOKUP(A287,Prehľad!$B$1:$BN$27,28,FALSE)</f>
        <v>20.894241671290384</v>
      </c>
      <c r="K287" s="1802">
        <f t="shared" ca="1" si="45"/>
        <v>2352.7229824291985</v>
      </c>
      <c r="L287" s="141">
        <v>0.28791426434757439</v>
      </c>
      <c r="M287" s="1794">
        <f t="shared" ca="1" si="46"/>
        <v>3241.9578434879859</v>
      </c>
      <c r="N287" s="1920">
        <f t="shared" ca="1" si="47"/>
        <v>302.1098282083621</v>
      </c>
    </row>
    <row r="288" spans="1:14" s="7" customFormat="1" x14ac:dyDescent="0.25">
      <c r="A288" s="1396" t="s">
        <v>1139</v>
      </c>
      <c r="B288" s="101" t="s">
        <v>1137</v>
      </c>
      <c r="C288" s="192">
        <v>44004</v>
      </c>
      <c r="D288" s="682">
        <f t="shared" ca="1" si="42"/>
        <v>1.6509240246406571</v>
      </c>
      <c r="E288" s="1283">
        <v>13</v>
      </c>
      <c r="F288" s="1797">
        <f t="shared" si="43"/>
        <v>48752.25</v>
      </c>
      <c r="G288" s="1798"/>
      <c r="H288" s="1283">
        <f ca="1">VLOOKUP(A288,Prehľad!$B$1:$BN$27,11,FALSE)</f>
        <v>5976.6529850746265</v>
      </c>
      <c r="I288" s="1283">
        <f t="shared" ca="1" si="44"/>
        <v>5976.6529850746265</v>
      </c>
      <c r="J288" s="755">
        <f>VLOOKUP(A288,Prehľad!$B$1:$BN$27,28,FALSE)</f>
        <v>10.346293119878025</v>
      </c>
      <c r="K288" s="1802">
        <f t="shared" ca="1" si="45"/>
        <v>618.36203659376065</v>
      </c>
      <c r="L288" s="141">
        <v>0.13184295788069372</v>
      </c>
      <c r="M288" s="1794">
        <f t="shared" ca="1" si="46"/>
        <v>787.9796077787164</v>
      </c>
      <c r="N288" s="1920">
        <f ca="1">26.83*I288/1000</f>
        <v>160.3535995895522</v>
      </c>
    </row>
    <row r="289" spans="1:14" s="1838" customFormat="1" x14ac:dyDescent="0.25">
      <c r="A289" s="1828" t="s">
        <v>1417</v>
      </c>
      <c r="B289" s="1829" t="s">
        <v>1418</v>
      </c>
      <c r="C289" s="1839">
        <v>44926</v>
      </c>
      <c r="D289" s="1831">
        <f t="shared" ca="1" si="42"/>
        <v>-0.87337440109514031</v>
      </c>
      <c r="E289" s="1832">
        <v>12</v>
      </c>
      <c r="F289" s="1833">
        <f t="shared" si="43"/>
        <v>49309</v>
      </c>
      <c r="G289" s="1834"/>
      <c r="H289" s="1832">
        <f ca="1">$H$52</f>
        <v>14925.612569718405</v>
      </c>
      <c r="I289" s="1832">
        <v>0</v>
      </c>
      <c r="J289" s="1835">
        <v>0</v>
      </c>
      <c r="K289" s="1836">
        <v>0</v>
      </c>
      <c r="L289" s="1837">
        <v>0</v>
      </c>
      <c r="M289" s="1926">
        <v>0</v>
      </c>
      <c r="N289" s="1923">
        <v>0</v>
      </c>
    </row>
    <row r="290" spans="1:14" s="1838" customFormat="1" x14ac:dyDescent="0.25">
      <c r="A290" s="1828" t="s">
        <v>1417</v>
      </c>
      <c r="B290" s="1829" t="s">
        <v>1419</v>
      </c>
      <c r="C290" s="1839">
        <v>45291</v>
      </c>
      <c r="D290" s="1831">
        <f t="shared" ca="1" si="42"/>
        <v>-1.8726899383983573</v>
      </c>
      <c r="E290" s="1832">
        <v>12</v>
      </c>
      <c r="F290" s="1833">
        <f t="shared" si="43"/>
        <v>49674</v>
      </c>
      <c r="G290" s="1834"/>
      <c r="H290" s="1832">
        <f ca="1">$H$99</f>
        <v>11223.957389580974</v>
      </c>
      <c r="I290" s="1832">
        <v>0</v>
      </c>
      <c r="J290" s="1835">
        <v>0</v>
      </c>
      <c r="K290" s="1836">
        <v>0</v>
      </c>
      <c r="L290" s="1837">
        <v>0</v>
      </c>
      <c r="M290" s="1926">
        <v>0</v>
      </c>
      <c r="N290" s="1923">
        <v>0</v>
      </c>
    </row>
    <row r="291" spans="1:14" s="1838" customFormat="1" x14ac:dyDescent="0.25">
      <c r="A291" s="1828" t="s">
        <v>1417</v>
      </c>
      <c r="B291" s="1829" t="s">
        <v>1427</v>
      </c>
      <c r="C291" s="1839">
        <v>45657</v>
      </c>
      <c r="D291" s="1831">
        <f t="shared" ca="1" si="42"/>
        <v>-2.8747433264887063</v>
      </c>
      <c r="E291" s="1832">
        <v>12</v>
      </c>
      <c r="F291" s="1833">
        <f t="shared" si="43"/>
        <v>50040</v>
      </c>
      <c r="G291" s="1834"/>
      <c r="H291" s="1832">
        <f ca="1">$H$145</f>
        <v>7769.9932656646497</v>
      </c>
      <c r="I291" s="1832">
        <v>0</v>
      </c>
      <c r="J291" s="1835">
        <v>0</v>
      </c>
      <c r="K291" s="1836">
        <v>0</v>
      </c>
      <c r="L291" s="1837">
        <v>0</v>
      </c>
      <c r="M291" s="1926">
        <v>0</v>
      </c>
      <c r="N291" s="1923">
        <v>0</v>
      </c>
    </row>
    <row r="292" spans="1:14" s="1838" customFormat="1" x14ac:dyDescent="0.25">
      <c r="A292" s="1828" t="s">
        <v>1417</v>
      </c>
      <c r="B292" s="1829" t="s">
        <v>1428</v>
      </c>
      <c r="C292" s="1839">
        <v>46022</v>
      </c>
      <c r="D292" s="1831">
        <f t="shared" ca="1" si="42"/>
        <v>-3.8740588637919235</v>
      </c>
      <c r="E292" s="1832">
        <v>12</v>
      </c>
      <c r="F292" s="1833">
        <f t="shared" si="43"/>
        <v>50405</v>
      </c>
      <c r="G292" s="1834"/>
      <c r="H292" s="1832">
        <f ca="1">$H$190</f>
        <v>13676.443130481</v>
      </c>
      <c r="I292" s="1832">
        <v>0</v>
      </c>
      <c r="J292" s="1835">
        <v>0</v>
      </c>
      <c r="K292" s="1836">
        <v>0</v>
      </c>
      <c r="L292" s="1837">
        <v>0</v>
      </c>
      <c r="M292" s="1926">
        <v>0</v>
      </c>
      <c r="N292" s="1923">
        <v>0</v>
      </c>
    </row>
    <row r="293" spans="1:14" s="1900" customFormat="1" x14ac:dyDescent="0.25">
      <c r="A293" s="1890" t="s">
        <v>1417</v>
      </c>
      <c r="B293" s="1891" t="s">
        <v>1430</v>
      </c>
      <c r="C293" s="1892">
        <v>46387</v>
      </c>
      <c r="D293" s="1893">
        <f t="shared" ca="1" si="42"/>
        <v>-4.8733744010951403</v>
      </c>
      <c r="E293" s="1894">
        <v>12</v>
      </c>
      <c r="F293" s="1895">
        <f t="shared" si="43"/>
        <v>50770</v>
      </c>
      <c r="G293" s="1896">
        <v>30000</v>
      </c>
      <c r="H293" s="1894">
        <f ca="1">$H$236</f>
        <v>26706.803659539473</v>
      </c>
      <c r="I293" s="1894">
        <f ca="1">H293/3*2</f>
        <v>17804.535773026317</v>
      </c>
      <c r="J293" s="1897">
        <f>$J$236/100*90</f>
        <v>5.7921827233819547</v>
      </c>
      <c r="K293" s="1898">
        <f ca="1">I293/100*J293</f>
        <v>1031.2712450235902</v>
      </c>
      <c r="L293" s="1899">
        <f>$L$236/3*2</f>
        <v>5.0419832882056655E-2</v>
      </c>
      <c r="M293" s="1928">
        <f ca="1">I293*L293</f>
        <v>897.70171821858628</v>
      </c>
      <c r="N293" s="1927">
        <f ca="1">((26.83+23.38)/2)*I293/1000</f>
        <v>446.98287058182564</v>
      </c>
    </row>
    <row r="294" spans="1:14" x14ac:dyDescent="0.25">
      <c r="A294" s="700"/>
      <c r="B294" s="202"/>
      <c r="C294" s="701"/>
      <c r="D294" s="702"/>
      <c r="E294" s="1812"/>
      <c r="F294" s="1813"/>
      <c r="G294" s="1814"/>
      <c r="H294" s="1812"/>
      <c r="I294" s="1733"/>
      <c r="J294" s="1815"/>
      <c r="K294" s="1816"/>
      <c r="L294" s="1733"/>
      <c r="M294" s="1816"/>
      <c r="N294" s="1921"/>
    </row>
    <row r="295" spans="1:14" s="50" customFormat="1" ht="15.75" customHeight="1" x14ac:dyDescent="0.25">
      <c r="A295" s="2215" t="s">
        <v>85</v>
      </c>
      <c r="B295" s="2216"/>
      <c r="C295" s="1817"/>
      <c r="D295" s="1822"/>
      <c r="E295" s="1819"/>
      <c r="F295" s="1817"/>
      <c r="G295" s="1818">
        <f>SUM(G281:G294)</f>
        <v>30000</v>
      </c>
      <c r="H295" s="1819">
        <f ca="1">SUM(H281:H294)</f>
        <v>218001.19926235976</v>
      </c>
      <c r="I295" s="1819">
        <f ca="1">SUM(I281:I294)</f>
        <v>161502.9250204016</v>
      </c>
      <c r="J295" s="1820"/>
      <c r="K295" s="1821">
        <f ca="1">SUM(K281:K294)</f>
        <v>12124.323231195476</v>
      </c>
      <c r="L295" s="1817"/>
      <c r="M295" s="1924">
        <f ca="1">SUM(M281:M294)</f>
        <v>15431.491924804497</v>
      </c>
      <c r="N295" s="1889">
        <f ca="1">SUM(N280:N294)</f>
        <v>4302.4106540889052</v>
      </c>
    </row>
    <row r="296" spans="1:14" s="50" customFormat="1" ht="15.75" customHeight="1" x14ac:dyDescent="0.25">
      <c r="A296" s="2217" t="s">
        <v>1413</v>
      </c>
      <c r="B296" s="2218"/>
      <c r="C296" s="1803"/>
      <c r="D296" s="1823">
        <f ca="1">AVERAGE(D281:D294)</f>
        <v>2.5956931501079343</v>
      </c>
      <c r="E296" s="1805">
        <f>AVERAGE(E281:E294)</f>
        <v>13.23076923076923</v>
      </c>
      <c r="F296" s="1803"/>
      <c r="G296" s="1804">
        <f t="shared" ref="G296:N296" si="48">AVERAGE(G281:G294)</f>
        <v>30000</v>
      </c>
      <c r="H296" s="1805">
        <f t="shared" ca="1" si="48"/>
        <v>18166.766605196648</v>
      </c>
      <c r="I296" s="1805">
        <f t="shared" ca="1" si="48"/>
        <v>13458.577085033467</v>
      </c>
      <c r="J296" s="1806">
        <f t="shared" si="48"/>
        <v>5.7393070075694945</v>
      </c>
      <c r="K296" s="1824">
        <f t="shared" ca="1" si="48"/>
        <v>1010.3602692662897</v>
      </c>
      <c r="L296" s="1804">
        <f t="shared" si="48"/>
        <v>7.3481633077552996E-2</v>
      </c>
      <c r="M296" s="1925">
        <f t="shared" ca="1" si="48"/>
        <v>1285.9576604003748</v>
      </c>
      <c r="N296" s="1922">
        <f t="shared" ca="1" si="48"/>
        <v>358.53422117407541</v>
      </c>
    </row>
    <row r="298" spans="1:14" x14ac:dyDescent="0.25">
      <c r="G298" s="1954"/>
      <c r="J298" s="1954"/>
    </row>
    <row r="299" spans="1:14" x14ac:dyDescent="0.25">
      <c r="G299" s="1954"/>
      <c r="J299" s="1954"/>
    </row>
    <row r="300" spans="1:14" x14ac:dyDescent="0.25">
      <c r="G300" s="1954"/>
      <c r="J300" s="1954"/>
    </row>
    <row r="301" spans="1:14" x14ac:dyDescent="0.25">
      <c r="G301" s="1954"/>
      <c r="J301" s="1954"/>
    </row>
    <row r="302" spans="1:14" x14ac:dyDescent="0.25">
      <c r="G302" s="1954"/>
      <c r="J302" s="1954"/>
    </row>
    <row r="303" spans="1:14" x14ac:dyDescent="0.25">
      <c r="G303" s="1954"/>
      <c r="J303" s="1954"/>
    </row>
    <row r="304" spans="1:14" x14ac:dyDescent="0.25">
      <c r="G304" s="1954"/>
      <c r="J304" s="1954"/>
    </row>
    <row r="305" spans="7:10" x14ac:dyDescent="0.25">
      <c r="G305" s="1954"/>
      <c r="J305" s="1954"/>
    </row>
    <row r="306" spans="7:10" x14ac:dyDescent="0.25">
      <c r="G306" s="1954"/>
      <c r="J306" s="1954"/>
    </row>
    <row r="307" spans="7:10" x14ac:dyDescent="0.25">
      <c r="G307" s="1954"/>
      <c r="J307" s="1954"/>
    </row>
    <row r="308" spans="7:10" x14ac:dyDescent="0.25">
      <c r="G308" s="1954"/>
      <c r="J308" s="1954"/>
    </row>
    <row r="309" spans="7:10" x14ac:dyDescent="0.25">
      <c r="G309" s="1954"/>
      <c r="J309" s="1954"/>
    </row>
    <row r="310" spans="7:10" x14ac:dyDescent="0.25">
      <c r="G310" s="1954"/>
      <c r="J310" s="1954"/>
    </row>
    <row r="311" spans="7:10" x14ac:dyDescent="0.25">
      <c r="G311" s="1954"/>
      <c r="J311" s="1954"/>
    </row>
    <row r="312" spans="7:10" x14ac:dyDescent="0.25">
      <c r="G312" s="1954"/>
      <c r="J312" s="1954"/>
    </row>
    <row r="313" spans="7:10" x14ac:dyDescent="0.25">
      <c r="G313" s="1954"/>
      <c r="J313" s="1954"/>
    </row>
    <row r="314" spans="7:10" x14ac:dyDescent="0.25">
      <c r="G314" s="1954"/>
      <c r="J314" s="1954"/>
    </row>
    <row r="315" spans="7:10" x14ac:dyDescent="0.25">
      <c r="G315" s="1954"/>
      <c r="J315" s="1954"/>
    </row>
    <row r="316" spans="7:10" x14ac:dyDescent="0.25">
      <c r="G316" s="1954"/>
      <c r="J316" s="1954"/>
    </row>
    <row r="317" spans="7:10" x14ac:dyDescent="0.25">
      <c r="G317" s="1954"/>
      <c r="J317" s="1954"/>
    </row>
    <row r="318" spans="7:10" x14ac:dyDescent="0.25">
      <c r="G318" s="1954"/>
      <c r="J318" s="1954"/>
    </row>
    <row r="319" spans="7:10" x14ac:dyDescent="0.25">
      <c r="G319" s="1954"/>
      <c r="J319" s="1954"/>
    </row>
    <row r="320" spans="7:10" x14ac:dyDescent="0.25">
      <c r="G320" s="1954"/>
      <c r="J320" s="1954"/>
    </row>
    <row r="321" spans="1:14" x14ac:dyDescent="0.25">
      <c r="G321" s="1954"/>
      <c r="J321" s="1954"/>
    </row>
    <row r="322" spans="1:14" x14ac:dyDescent="0.25">
      <c r="A322" s="50" t="s">
        <v>1415</v>
      </c>
      <c r="B322" s="50"/>
      <c r="C322" s="1825"/>
      <c r="D322" s="1876">
        <v>46752</v>
      </c>
      <c r="F322" s="50"/>
      <c r="G322" s="50"/>
      <c r="H322" s="50"/>
      <c r="I322" s="50"/>
      <c r="J322" s="50"/>
      <c r="K322" s="50"/>
      <c r="L322" s="50"/>
      <c r="M322" s="50"/>
    </row>
    <row r="323" spans="1:14" x14ac:dyDescent="0.25">
      <c r="N323" s="49"/>
    </row>
    <row r="324" spans="1:14" s="49" customFormat="1" ht="66.75" customHeight="1" x14ac:dyDescent="0.25">
      <c r="A324" s="2064" t="s">
        <v>344</v>
      </c>
      <c r="B324" s="2066" t="s">
        <v>3</v>
      </c>
      <c r="C324" s="2066" t="s">
        <v>66</v>
      </c>
      <c r="D324" s="1789" t="s">
        <v>335</v>
      </c>
      <c r="E324" s="1810" t="s">
        <v>342</v>
      </c>
      <c r="F324" s="2219" t="s">
        <v>334</v>
      </c>
      <c r="G324" s="2221" t="s">
        <v>343</v>
      </c>
      <c r="H324" s="2211" t="s">
        <v>7</v>
      </c>
      <c r="I324" s="2211" t="s">
        <v>1410</v>
      </c>
      <c r="J324" s="2010" t="s">
        <v>54</v>
      </c>
      <c r="K324" s="2213" t="s">
        <v>1444</v>
      </c>
      <c r="L324" s="2202" t="s">
        <v>1411</v>
      </c>
      <c r="M324" s="2223" t="s">
        <v>1412</v>
      </c>
      <c r="N324" s="2012" t="s">
        <v>1433</v>
      </c>
    </row>
    <row r="325" spans="1:14" s="2" customFormat="1" ht="29.25" customHeight="1" x14ac:dyDescent="0.25">
      <c r="A325" s="2065"/>
      <c r="B325" s="2067"/>
      <c r="C325" s="2067"/>
      <c r="D325" s="699">
        <f ca="1">TODAY()</f>
        <v>44607</v>
      </c>
      <c r="E325" s="1811">
        <v>365.25</v>
      </c>
      <c r="F325" s="2220"/>
      <c r="G325" s="2222"/>
      <c r="H325" s="2212"/>
      <c r="I325" s="2212"/>
      <c r="J325" s="2011"/>
      <c r="K325" s="2214"/>
      <c r="L325" s="2203"/>
      <c r="M325" s="2224"/>
      <c r="N325" s="2013"/>
    </row>
    <row r="326" spans="1:14" x14ac:dyDescent="0.25">
      <c r="A326" s="694" t="s">
        <v>336</v>
      </c>
      <c r="B326" s="196"/>
      <c r="C326" s="695"/>
      <c r="D326" s="696"/>
      <c r="E326" s="17"/>
      <c r="F326" s="1807"/>
      <c r="G326" s="1808"/>
      <c r="H326" s="17"/>
      <c r="I326" s="472"/>
      <c r="J326" s="787"/>
      <c r="K326" s="1809"/>
      <c r="L326" s="472"/>
      <c r="M326" s="1809"/>
      <c r="N326" s="458"/>
    </row>
    <row r="327" spans="1:14" x14ac:dyDescent="0.25">
      <c r="A327" s="684" t="s">
        <v>30</v>
      </c>
      <c r="B327" s="101" t="s">
        <v>21</v>
      </c>
      <c r="C327" s="192">
        <v>41533</v>
      </c>
      <c r="D327" s="682">
        <f t="shared" ref="D327:D339" ca="1" si="49">($D$4-C327)/365.25</f>
        <v>8.4161533196440796</v>
      </c>
      <c r="E327" s="1283">
        <v>14</v>
      </c>
      <c r="F327" s="1797">
        <f t="shared" ref="F327:F339" si="50">C327+(E327*$E$4)</f>
        <v>46646.5</v>
      </c>
      <c r="G327" s="1827" t="s">
        <v>1416</v>
      </c>
      <c r="H327" s="1283"/>
      <c r="I327" s="1283"/>
      <c r="J327" s="754"/>
      <c r="K327" s="1802"/>
      <c r="L327" s="141"/>
      <c r="M327" s="1794"/>
      <c r="N327" s="1919"/>
    </row>
    <row r="328" spans="1:14" x14ac:dyDescent="0.25">
      <c r="A328" s="686" t="s">
        <v>40</v>
      </c>
      <c r="B328" s="99" t="s">
        <v>338</v>
      </c>
      <c r="C328" s="192">
        <v>41992</v>
      </c>
      <c r="D328" s="682">
        <f t="shared" ca="1" si="49"/>
        <v>7.1594798083504445</v>
      </c>
      <c r="E328" s="12">
        <v>14</v>
      </c>
      <c r="F328" s="1797">
        <f t="shared" si="50"/>
        <v>47105.5</v>
      </c>
      <c r="G328" s="1798"/>
      <c r="H328" s="1283">
        <f ca="1">VLOOKUP(A328,Prehľad!$B$1:$BN$27,11,FALSE)</f>
        <v>19060.602676864244</v>
      </c>
      <c r="I328" s="1283">
        <f t="shared" ref="I328:I333" ca="1" si="51">H328</f>
        <v>19060.602676864244</v>
      </c>
      <c r="J328" s="755">
        <f>VLOOKUP(A328,Prehľad!$B$1:$BN$27,28,FALSE)</f>
        <v>5.3088211498487681</v>
      </c>
      <c r="K328" s="1802">
        <f t="shared" ref="K328:K333" ca="1" si="52">I328/100*J328</f>
        <v>1011.8933061980094</v>
      </c>
      <c r="L328" s="141">
        <v>6.4418590756898722E-2</v>
      </c>
      <c r="M328" s="1794">
        <f t="shared" ref="M328:M333" ca="1" si="53">I328*L328</f>
        <v>1227.857163420766</v>
      </c>
      <c r="N328" s="1920">
        <f t="shared" ref="N328:N333" ca="1" si="54">26.83*I328/1000</f>
        <v>511.39596982026762</v>
      </c>
    </row>
    <row r="329" spans="1:14" x14ac:dyDescent="0.25">
      <c r="A329" s="684" t="s">
        <v>18</v>
      </c>
      <c r="B329" s="101" t="s">
        <v>17</v>
      </c>
      <c r="C329" s="192">
        <v>42356</v>
      </c>
      <c r="D329" s="682">
        <f t="shared" ca="1" si="49"/>
        <v>6.1629021218343603</v>
      </c>
      <c r="E329" s="1283">
        <v>14</v>
      </c>
      <c r="F329" s="1797">
        <f t="shared" si="50"/>
        <v>47469.5</v>
      </c>
      <c r="G329" s="1798"/>
      <c r="H329" s="1283">
        <f ca="1">VLOOKUP(A329,Prehľad!$B$1:$BN$27,11,FALSE)</f>
        <v>26724.422478898265</v>
      </c>
      <c r="I329" s="1283">
        <f t="shared" ca="1" si="51"/>
        <v>26724.422478898265</v>
      </c>
      <c r="J329" s="755">
        <f>VLOOKUP(A329,Prehľad!$B$1:$BN$27,28,FALSE)</f>
        <v>6.4805937905968545</v>
      </c>
      <c r="K329" s="1802">
        <f t="shared" ca="1" si="52"/>
        <v>1731.9012637403509</v>
      </c>
      <c r="L329" s="141">
        <v>8.6021836547023015E-2</v>
      </c>
      <c r="M329" s="1794">
        <f t="shared" ca="1" si="53"/>
        <v>2298.8839022933739</v>
      </c>
      <c r="N329" s="1920">
        <f t="shared" ca="1" si="54"/>
        <v>717.01625510884037</v>
      </c>
    </row>
    <row r="330" spans="1:14" s="7" customFormat="1" x14ac:dyDescent="0.25">
      <c r="A330" s="686" t="s">
        <v>38</v>
      </c>
      <c r="B330" s="99" t="s">
        <v>339</v>
      </c>
      <c r="C330" s="192">
        <v>42366</v>
      </c>
      <c r="D330" s="682">
        <f t="shared" ca="1" si="49"/>
        <v>6.1355236139630387</v>
      </c>
      <c r="E330" s="12">
        <v>15</v>
      </c>
      <c r="F330" s="1797">
        <f t="shared" si="50"/>
        <v>47844.75</v>
      </c>
      <c r="G330" s="1798"/>
      <c r="H330" s="1283">
        <f ca="1">VLOOKUP(A330,Prehľad!$B$1:$BN$27,11,FALSE)</f>
        <v>31085.855421686749</v>
      </c>
      <c r="I330" s="1283">
        <f t="shared" ca="1" si="51"/>
        <v>31085.855421686749</v>
      </c>
      <c r="J330" s="755">
        <f>VLOOKUP(A330,Prehľad!$B$1:$BN$27,28,FALSE)</f>
        <v>6.4512454068074572</v>
      </c>
      <c r="K330" s="1802">
        <f t="shared" ca="1" si="52"/>
        <v>2005.4248200583734</v>
      </c>
      <c r="L330" s="141">
        <v>7.9289755750232033E-2</v>
      </c>
      <c r="M330" s="1794">
        <f t="shared" ca="1" si="53"/>
        <v>2464.7898836725685</v>
      </c>
      <c r="N330" s="1920">
        <f t="shared" ca="1" si="54"/>
        <v>834.03350096385543</v>
      </c>
    </row>
    <row r="331" spans="1:14" s="1044" customFormat="1" x14ac:dyDescent="0.25">
      <c r="A331" s="684" t="s">
        <v>164</v>
      </c>
      <c r="B331" s="101" t="s">
        <v>17</v>
      </c>
      <c r="C331" s="192">
        <v>42913</v>
      </c>
      <c r="D331" s="682">
        <f t="shared" ca="1" si="49"/>
        <v>4.6379192334017798</v>
      </c>
      <c r="E331" s="1283">
        <v>14</v>
      </c>
      <c r="F331" s="1797">
        <f t="shared" si="50"/>
        <v>48026.5</v>
      </c>
      <c r="G331" s="1798"/>
      <c r="H331" s="1283">
        <f ca="1">VLOOKUP(A331,Prehľad!$B$1:$BN$27,11,FALSE)</f>
        <v>25956.036304604484</v>
      </c>
      <c r="I331" s="1283">
        <f t="shared" ca="1" si="51"/>
        <v>25956.036304604484</v>
      </c>
      <c r="J331" s="755">
        <f>VLOOKUP(A331,Prehľad!$B$1:$BN$27,28,FALSE)</f>
        <v>6.8422129340599254</v>
      </c>
      <c r="K331" s="1802">
        <f t="shared" ca="1" si="52"/>
        <v>1775.9672732029378</v>
      </c>
      <c r="L331" s="141">
        <v>9.2113292065675506E-2</v>
      </c>
      <c r="M331" s="1794">
        <f t="shared" ca="1" si="53"/>
        <v>2390.8959529933095</v>
      </c>
      <c r="N331" s="1920">
        <f t="shared" ca="1" si="54"/>
        <v>696.40045405253829</v>
      </c>
    </row>
    <row r="332" spans="1:14" s="7" customFormat="1" x14ac:dyDescent="0.25">
      <c r="A332" s="1396" t="s">
        <v>215</v>
      </c>
      <c r="B332" s="101" t="s">
        <v>218</v>
      </c>
      <c r="C332" s="192">
        <v>43160</v>
      </c>
      <c r="D332" s="682">
        <f t="shared" ca="1" si="49"/>
        <v>3.9616700889801506</v>
      </c>
      <c r="E332" s="1283">
        <v>14</v>
      </c>
      <c r="F332" s="1797">
        <f t="shared" si="50"/>
        <v>48273.5</v>
      </c>
      <c r="G332" s="1798"/>
      <c r="H332" s="1283">
        <f ca="1">VLOOKUP(A332,Prehľad!$B$1:$BN$27,11,FALSE)</f>
        <v>11260.150138217001</v>
      </c>
      <c r="I332" s="1283">
        <f t="shared" ca="1" si="51"/>
        <v>11260.150138217001</v>
      </c>
      <c r="J332" s="755">
        <f>VLOOKUP(A332,Prehľad!$B$1:$BN$27,28,FALSE)</f>
        <v>20.894241671290384</v>
      </c>
      <c r="K332" s="1802">
        <f t="shared" ca="1" si="52"/>
        <v>2352.7229824291985</v>
      </c>
      <c r="L332" s="141">
        <v>0.28791426434757439</v>
      </c>
      <c r="M332" s="1794">
        <f t="shared" ca="1" si="53"/>
        <v>3241.9578434879859</v>
      </c>
      <c r="N332" s="1920">
        <f t="shared" ca="1" si="54"/>
        <v>302.1098282083621</v>
      </c>
    </row>
    <row r="333" spans="1:14" s="7" customFormat="1" x14ac:dyDescent="0.25">
      <c r="A333" s="1396" t="s">
        <v>1139</v>
      </c>
      <c r="B333" s="101" t="s">
        <v>1137</v>
      </c>
      <c r="C333" s="192">
        <v>44004</v>
      </c>
      <c r="D333" s="682">
        <f t="shared" ca="1" si="49"/>
        <v>1.6509240246406571</v>
      </c>
      <c r="E333" s="1283">
        <v>13</v>
      </c>
      <c r="F333" s="1797">
        <f t="shared" si="50"/>
        <v>48752.25</v>
      </c>
      <c r="G333" s="1798"/>
      <c r="H333" s="1283">
        <f ca="1">VLOOKUP(A333,Prehľad!$B$1:$BN$27,11,FALSE)</f>
        <v>5976.6529850746265</v>
      </c>
      <c r="I333" s="1283">
        <f t="shared" ca="1" si="51"/>
        <v>5976.6529850746265</v>
      </c>
      <c r="J333" s="755">
        <f>VLOOKUP(A333,Prehľad!$B$1:$BN$27,28,FALSE)</f>
        <v>10.346293119878025</v>
      </c>
      <c r="K333" s="1802">
        <f t="shared" ca="1" si="52"/>
        <v>618.36203659376065</v>
      </c>
      <c r="L333" s="141">
        <v>0.13184295788069372</v>
      </c>
      <c r="M333" s="1794">
        <f t="shared" ca="1" si="53"/>
        <v>787.9796077787164</v>
      </c>
      <c r="N333" s="1920">
        <f t="shared" ca="1" si="54"/>
        <v>160.3535995895522</v>
      </c>
    </row>
    <row r="334" spans="1:14" s="1838" customFormat="1" x14ac:dyDescent="0.25">
      <c r="A334" s="1828" t="s">
        <v>1417</v>
      </c>
      <c r="B334" s="1829" t="s">
        <v>1418</v>
      </c>
      <c r="C334" s="1839">
        <v>44926</v>
      </c>
      <c r="D334" s="1831">
        <f t="shared" ca="1" si="49"/>
        <v>-0.87337440109514031</v>
      </c>
      <c r="E334" s="1832">
        <v>12</v>
      </c>
      <c r="F334" s="1833">
        <f t="shared" si="50"/>
        <v>49309</v>
      </c>
      <c r="G334" s="1834"/>
      <c r="H334" s="1832">
        <f ca="1">$H$52</f>
        <v>14925.612569718405</v>
      </c>
      <c r="I334" s="1832">
        <v>0</v>
      </c>
      <c r="J334" s="1835">
        <v>0</v>
      </c>
      <c r="K334" s="1836">
        <v>0</v>
      </c>
      <c r="L334" s="1837">
        <v>0</v>
      </c>
      <c r="M334" s="1926">
        <v>0</v>
      </c>
      <c r="N334" s="1923">
        <v>0</v>
      </c>
    </row>
    <row r="335" spans="1:14" s="1838" customFormat="1" x14ac:dyDescent="0.25">
      <c r="A335" s="1828" t="s">
        <v>1417</v>
      </c>
      <c r="B335" s="1829" t="s">
        <v>1419</v>
      </c>
      <c r="C335" s="1839">
        <v>45291</v>
      </c>
      <c r="D335" s="1831">
        <f t="shared" ca="1" si="49"/>
        <v>-1.8726899383983573</v>
      </c>
      <c r="E335" s="1832">
        <v>12</v>
      </c>
      <c r="F335" s="1833">
        <f t="shared" si="50"/>
        <v>49674</v>
      </c>
      <c r="G335" s="1834"/>
      <c r="H335" s="1832">
        <f ca="1">$H$99</f>
        <v>11223.957389580974</v>
      </c>
      <c r="I335" s="1832">
        <v>0</v>
      </c>
      <c r="J335" s="1835">
        <v>0</v>
      </c>
      <c r="K335" s="1836">
        <v>0</v>
      </c>
      <c r="L335" s="1837">
        <v>0</v>
      </c>
      <c r="M335" s="1926">
        <v>0</v>
      </c>
      <c r="N335" s="1923">
        <v>0</v>
      </c>
    </row>
    <row r="336" spans="1:14" s="1838" customFormat="1" x14ac:dyDescent="0.25">
      <c r="A336" s="1828" t="s">
        <v>1417</v>
      </c>
      <c r="B336" s="1829" t="s">
        <v>1427</v>
      </c>
      <c r="C336" s="1839">
        <v>45657</v>
      </c>
      <c r="D336" s="1831">
        <f t="shared" ca="1" si="49"/>
        <v>-2.8747433264887063</v>
      </c>
      <c r="E336" s="1832">
        <v>12</v>
      </c>
      <c r="F336" s="1833">
        <f t="shared" si="50"/>
        <v>50040</v>
      </c>
      <c r="G336" s="1834"/>
      <c r="H336" s="1832">
        <f ca="1">$H$145</f>
        <v>7769.9932656646497</v>
      </c>
      <c r="I336" s="1832">
        <v>0</v>
      </c>
      <c r="J336" s="1835">
        <v>0</v>
      </c>
      <c r="K336" s="1836">
        <v>0</v>
      </c>
      <c r="L336" s="1837">
        <v>0</v>
      </c>
      <c r="M336" s="1926">
        <v>0</v>
      </c>
      <c r="N336" s="1923">
        <v>0</v>
      </c>
    </row>
    <row r="337" spans="1:14" s="1838" customFormat="1" x14ac:dyDescent="0.25">
      <c r="A337" s="1828" t="s">
        <v>1417</v>
      </c>
      <c r="B337" s="1829" t="s">
        <v>1428</v>
      </c>
      <c r="C337" s="1839">
        <v>46022</v>
      </c>
      <c r="D337" s="1831">
        <f t="shared" ca="1" si="49"/>
        <v>-3.8740588637919235</v>
      </c>
      <c r="E337" s="1832">
        <v>12</v>
      </c>
      <c r="F337" s="1833">
        <f t="shared" si="50"/>
        <v>50405</v>
      </c>
      <c r="G337" s="1834"/>
      <c r="H337" s="1832">
        <f ca="1">$H$190</f>
        <v>13676.443130481</v>
      </c>
      <c r="I337" s="1832">
        <v>0</v>
      </c>
      <c r="J337" s="1835">
        <v>0</v>
      </c>
      <c r="K337" s="1836">
        <v>0</v>
      </c>
      <c r="L337" s="1837">
        <v>0</v>
      </c>
      <c r="M337" s="1926">
        <v>0</v>
      </c>
      <c r="N337" s="1923">
        <v>0</v>
      </c>
    </row>
    <row r="338" spans="1:14" s="1900" customFormat="1" x14ac:dyDescent="0.25">
      <c r="A338" s="1890" t="s">
        <v>1417</v>
      </c>
      <c r="B338" s="1891" t="s">
        <v>1430</v>
      </c>
      <c r="C338" s="1892">
        <v>46387</v>
      </c>
      <c r="D338" s="1893">
        <f t="shared" ca="1" si="49"/>
        <v>-4.8733744010951403</v>
      </c>
      <c r="E338" s="1894">
        <v>12</v>
      </c>
      <c r="F338" s="1895">
        <f t="shared" si="50"/>
        <v>50770</v>
      </c>
      <c r="G338" s="1896"/>
      <c r="H338" s="1894">
        <f ca="1">$H$236</f>
        <v>26706.803659539473</v>
      </c>
      <c r="I338" s="1894">
        <f ca="1">H338/3*2</f>
        <v>17804.535773026317</v>
      </c>
      <c r="J338" s="1897">
        <f>$J$236/100*90</f>
        <v>5.7921827233819547</v>
      </c>
      <c r="K338" s="1898">
        <f ca="1">I338/100*J338</f>
        <v>1031.2712450235902</v>
      </c>
      <c r="L338" s="1899">
        <f>$L$236/3*2</f>
        <v>5.0419832882056655E-2</v>
      </c>
      <c r="M338" s="1928">
        <f ca="1">I338*L338</f>
        <v>897.70171821858628</v>
      </c>
      <c r="N338" s="1927">
        <f ca="1">((26.83+23.38)/2)*I338/1000</f>
        <v>446.98287058182564</v>
      </c>
    </row>
    <row r="339" spans="1:14" s="1900" customFormat="1" x14ac:dyDescent="0.25">
      <c r="A339" s="1890" t="s">
        <v>1417</v>
      </c>
      <c r="B339" s="1891" t="s">
        <v>1435</v>
      </c>
      <c r="C339" s="1892">
        <v>46752</v>
      </c>
      <c r="D339" s="1893">
        <f t="shared" ca="1" si="49"/>
        <v>-5.8726899383983575</v>
      </c>
      <c r="E339" s="1894">
        <v>12</v>
      </c>
      <c r="F339" s="1895">
        <f t="shared" si="50"/>
        <v>51135</v>
      </c>
      <c r="G339" s="1896">
        <v>30000</v>
      </c>
      <c r="H339" s="1894">
        <f ca="1">$H$282</f>
        <v>23634.669242029926</v>
      </c>
      <c r="I339" s="1894">
        <f ca="1">H339/3*2</f>
        <v>15756.446161353284</v>
      </c>
      <c r="J339" s="1897">
        <f>$J$282/100*90</f>
        <v>6.0804839654735146</v>
      </c>
      <c r="K339" s="1898">
        <f ca="1">I339/100*J339</f>
        <v>958.06818236955348</v>
      </c>
      <c r="L339" s="1899">
        <f>$L$282/3*2</f>
        <v>5.9839377800321232E-2</v>
      </c>
      <c r="M339" s="1928">
        <f ca="1">I339*L339</f>
        <v>942.8559346396404</v>
      </c>
      <c r="N339" s="1927">
        <f ca="1">((26.83+23.38)/2)*I339/1000</f>
        <v>395.56558088077412</v>
      </c>
    </row>
    <row r="340" spans="1:14" x14ac:dyDescent="0.25">
      <c r="A340" s="700"/>
      <c r="B340" s="202"/>
      <c r="C340" s="701"/>
      <c r="D340" s="702"/>
      <c r="E340" s="1812"/>
      <c r="F340" s="1813"/>
      <c r="G340" s="1814"/>
      <c r="H340" s="1812"/>
      <c r="I340" s="1733"/>
      <c r="J340" s="1815"/>
      <c r="K340" s="1816"/>
      <c r="L340" s="1733"/>
      <c r="M340" s="1816"/>
      <c r="N340" s="1921"/>
    </row>
    <row r="341" spans="1:14" s="50" customFormat="1" ht="15.75" customHeight="1" x14ac:dyDescent="0.25">
      <c r="A341" s="2215" t="s">
        <v>85</v>
      </c>
      <c r="B341" s="2216"/>
      <c r="C341" s="1817"/>
      <c r="D341" s="1822"/>
      <c r="E341" s="1819"/>
      <c r="F341" s="1817"/>
      <c r="G341" s="1818">
        <f>SUM(G327:G340)</f>
        <v>30000</v>
      </c>
      <c r="H341" s="1819">
        <f ca="1">SUM(H327:H340)</f>
        <v>218001.19926235979</v>
      </c>
      <c r="I341" s="1819">
        <f ca="1">SUM(I327:I340)</f>
        <v>153624.70193972497</v>
      </c>
      <c r="J341" s="1820"/>
      <c r="K341" s="1821">
        <f ca="1">SUM(K327:K340)</f>
        <v>11485.611109615775</v>
      </c>
      <c r="L341" s="1817"/>
      <c r="M341" s="1924">
        <f ca="1">SUM(M327:M340)</f>
        <v>14252.922006504945</v>
      </c>
      <c r="N341" s="1889">
        <f ca="1">SUM(N326:N340)</f>
        <v>4063.8580592060162</v>
      </c>
    </row>
    <row r="342" spans="1:14" s="50" customFormat="1" ht="15.75" customHeight="1" x14ac:dyDescent="0.25">
      <c r="A342" s="2217" t="s">
        <v>1413</v>
      </c>
      <c r="B342" s="2218"/>
      <c r="C342" s="1803"/>
      <c r="D342" s="1823">
        <f ca="1">AVERAGE(D327:D340)</f>
        <v>1.3756647185805295</v>
      </c>
      <c r="E342" s="1805">
        <f>AVERAGE(E327:E340)</f>
        <v>13.076923076923077</v>
      </c>
      <c r="F342" s="1803"/>
      <c r="G342" s="1804">
        <f t="shared" ref="G342:N342" si="55">AVERAGE(G327:G340)</f>
        <v>30000</v>
      </c>
      <c r="H342" s="1805">
        <f t="shared" ca="1" si="55"/>
        <v>18166.766605196648</v>
      </c>
      <c r="I342" s="1805">
        <f t="shared" ca="1" si="55"/>
        <v>12802.05849497708</v>
      </c>
      <c r="J342" s="1806">
        <f t="shared" si="55"/>
        <v>5.683006230111407</v>
      </c>
      <c r="K342" s="1824">
        <f t="shared" ca="1" si="55"/>
        <v>957.13425913464789</v>
      </c>
      <c r="L342" s="1804">
        <f t="shared" si="55"/>
        <v>7.0988325669206265E-2</v>
      </c>
      <c r="M342" s="1925">
        <f t="shared" ca="1" si="55"/>
        <v>1187.7435005420787</v>
      </c>
      <c r="N342" s="1922">
        <f t="shared" ca="1" si="55"/>
        <v>338.65483826716803</v>
      </c>
    </row>
    <row r="344" spans="1:14" x14ac:dyDescent="0.25">
      <c r="G344" s="1954"/>
      <c r="J344" s="1954"/>
    </row>
    <row r="345" spans="1:14" x14ac:dyDescent="0.25">
      <c r="G345" s="1954"/>
      <c r="J345" s="1954"/>
    </row>
    <row r="346" spans="1:14" x14ac:dyDescent="0.25">
      <c r="G346" s="1954"/>
      <c r="J346" s="1954"/>
    </row>
    <row r="347" spans="1:14" x14ac:dyDescent="0.25">
      <c r="G347" s="1954"/>
      <c r="J347" s="1954"/>
    </row>
    <row r="348" spans="1:14" x14ac:dyDescent="0.25">
      <c r="G348" s="1954"/>
      <c r="J348" s="1954"/>
    </row>
    <row r="349" spans="1:14" x14ac:dyDescent="0.25">
      <c r="G349" s="1954"/>
      <c r="J349" s="1954"/>
    </row>
    <row r="350" spans="1:14" x14ac:dyDescent="0.25">
      <c r="G350" s="1954"/>
      <c r="J350" s="1954"/>
    </row>
    <row r="351" spans="1:14" x14ac:dyDescent="0.25">
      <c r="G351" s="1954"/>
      <c r="J351" s="1954"/>
    </row>
    <row r="352" spans="1:14" x14ac:dyDescent="0.25">
      <c r="G352" s="1954"/>
      <c r="J352" s="1954"/>
    </row>
    <row r="353" spans="1:13" x14ac:dyDescent="0.25">
      <c r="G353" s="1954"/>
      <c r="J353" s="1954"/>
    </row>
    <row r="354" spans="1:13" x14ac:dyDescent="0.25">
      <c r="G354" s="1954"/>
      <c r="J354" s="1954"/>
    </row>
    <row r="355" spans="1:13" x14ac:dyDescent="0.25">
      <c r="G355" s="1954"/>
      <c r="J355" s="1954"/>
    </row>
    <row r="356" spans="1:13" x14ac:dyDescent="0.25">
      <c r="G356" s="1954"/>
      <c r="J356" s="1954"/>
    </row>
    <row r="357" spans="1:13" x14ac:dyDescent="0.25">
      <c r="G357" s="1954"/>
      <c r="J357" s="1954"/>
    </row>
    <row r="358" spans="1:13" x14ac:dyDescent="0.25">
      <c r="G358" s="1954"/>
      <c r="J358" s="1954"/>
    </row>
    <row r="359" spans="1:13" x14ac:dyDescent="0.25">
      <c r="G359" s="1954"/>
      <c r="J359" s="1954"/>
    </row>
    <row r="360" spans="1:13" x14ac:dyDescent="0.25">
      <c r="G360" s="1954"/>
      <c r="J360" s="1954"/>
    </row>
    <row r="361" spans="1:13" x14ac:dyDescent="0.25">
      <c r="G361" s="1954"/>
      <c r="J361" s="1954"/>
    </row>
    <row r="362" spans="1:13" x14ac:dyDescent="0.25">
      <c r="G362" s="1954"/>
      <c r="J362" s="1954"/>
    </row>
    <row r="363" spans="1:13" x14ac:dyDescent="0.25">
      <c r="G363" s="1954"/>
      <c r="J363" s="1954"/>
    </row>
    <row r="364" spans="1:13" x14ac:dyDescent="0.25">
      <c r="G364" s="1954"/>
      <c r="J364" s="1954"/>
    </row>
    <row r="365" spans="1:13" x14ac:dyDescent="0.25">
      <c r="G365" s="1954"/>
      <c r="J365" s="1954"/>
    </row>
    <row r="366" spans="1:13" x14ac:dyDescent="0.25">
      <c r="G366" s="1954"/>
      <c r="J366" s="1954"/>
    </row>
    <row r="367" spans="1:13" x14ac:dyDescent="0.25">
      <c r="G367" s="1954"/>
      <c r="J367" s="1954"/>
    </row>
    <row r="368" spans="1:13" x14ac:dyDescent="0.25">
      <c r="A368" s="50" t="s">
        <v>1415</v>
      </c>
      <c r="B368" s="50"/>
      <c r="C368" s="1825"/>
      <c r="D368" s="1876">
        <v>47118</v>
      </c>
      <c r="F368" s="50"/>
      <c r="G368" s="50"/>
      <c r="H368" s="50"/>
      <c r="I368" s="50"/>
      <c r="J368" s="50"/>
      <c r="K368" s="50"/>
      <c r="L368" s="50"/>
      <c r="M368" s="50"/>
    </row>
    <row r="369" spans="1:14" x14ac:dyDescent="0.25">
      <c r="N369" s="49"/>
    </row>
    <row r="370" spans="1:14" s="49" customFormat="1" ht="66.75" customHeight="1" x14ac:dyDescent="0.25">
      <c r="A370" s="2064" t="s">
        <v>344</v>
      </c>
      <c r="B370" s="2066" t="s">
        <v>3</v>
      </c>
      <c r="C370" s="2066" t="s">
        <v>66</v>
      </c>
      <c r="D370" s="1789" t="s">
        <v>335</v>
      </c>
      <c r="E370" s="1810" t="s">
        <v>342</v>
      </c>
      <c r="F370" s="2219" t="s">
        <v>334</v>
      </c>
      <c r="G370" s="2221" t="s">
        <v>343</v>
      </c>
      <c r="H370" s="2211" t="s">
        <v>7</v>
      </c>
      <c r="I370" s="2211" t="s">
        <v>1410</v>
      </c>
      <c r="J370" s="2010" t="s">
        <v>54</v>
      </c>
      <c r="K370" s="2213" t="s">
        <v>1444</v>
      </c>
      <c r="L370" s="2202" t="s">
        <v>1411</v>
      </c>
      <c r="M370" s="2223" t="s">
        <v>1412</v>
      </c>
      <c r="N370" s="2012" t="s">
        <v>1433</v>
      </c>
    </row>
    <row r="371" spans="1:14" s="2" customFormat="1" ht="29.25" customHeight="1" x14ac:dyDescent="0.25">
      <c r="A371" s="2065"/>
      <c r="B371" s="2067"/>
      <c r="C371" s="2067"/>
      <c r="D371" s="699">
        <f ca="1">TODAY()</f>
        <v>44607</v>
      </c>
      <c r="E371" s="1811">
        <v>365.25</v>
      </c>
      <c r="F371" s="2220"/>
      <c r="G371" s="2222"/>
      <c r="H371" s="2212"/>
      <c r="I371" s="2212"/>
      <c r="J371" s="2011"/>
      <c r="K371" s="2214"/>
      <c r="L371" s="2203"/>
      <c r="M371" s="2224"/>
      <c r="N371" s="2013"/>
    </row>
    <row r="372" spans="1:14" x14ac:dyDescent="0.25">
      <c r="A372" s="694" t="s">
        <v>336</v>
      </c>
      <c r="B372" s="196"/>
      <c r="C372" s="695"/>
      <c r="D372" s="696"/>
      <c r="E372" s="17"/>
      <c r="F372" s="1807"/>
      <c r="G372" s="1808"/>
      <c r="H372" s="17"/>
      <c r="I372" s="472"/>
      <c r="J372" s="787"/>
      <c r="K372" s="1809"/>
      <c r="L372" s="472"/>
      <c r="M372" s="1809"/>
      <c r="N372" s="458"/>
    </row>
    <row r="373" spans="1:14" x14ac:dyDescent="0.25">
      <c r="A373" s="686" t="s">
        <v>40</v>
      </c>
      <c r="B373" s="99" t="s">
        <v>338</v>
      </c>
      <c r="C373" s="192">
        <v>41992</v>
      </c>
      <c r="D373" s="682">
        <f t="shared" ref="D373:D385" ca="1" si="56">($D$4-C373)/365.25</f>
        <v>7.1594798083504445</v>
      </c>
      <c r="E373" s="12">
        <v>14</v>
      </c>
      <c r="F373" s="1797">
        <f t="shared" ref="F373:F385" si="57">C373+(E373*$E$4)</f>
        <v>47105.5</v>
      </c>
      <c r="G373" s="1827" t="s">
        <v>1416</v>
      </c>
      <c r="H373" s="1283"/>
      <c r="I373" s="1283"/>
      <c r="J373" s="754"/>
      <c r="K373" s="1802"/>
      <c r="L373" s="141"/>
      <c r="M373" s="1794"/>
      <c r="N373" s="1919"/>
    </row>
    <row r="374" spans="1:14" x14ac:dyDescent="0.25">
      <c r="A374" s="684" t="s">
        <v>18</v>
      </c>
      <c r="B374" s="101" t="s">
        <v>17</v>
      </c>
      <c r="C374" s="192">
        <v>42356</v>
      </c>
      <c r="D374" s="682">
        <f t="shared" ca="1" si="56"/>
        <v>6.1629021218343603</v>
      </c>
      <c r="E374" s="1283">
        <v>14</v>
      </c>
      <c r="F374" s="1797">
        <f t="shared" si="57"/>
        <v>47469.5</v>
      </c>
      <c r="G374" s="1798"/>
      <c r="H374" s="1283">
        <f ca="1">VLOOKUP(A374,Prehľad!$B$1:$BN$27,11,FALSE)</f>
        <v>26724.422478898265</v>
      </c>
      <c r="I374" s="1283">
        <f ca="1">H374</f>
        <v>26724.422478898265</v>
      </c>
      <c r="J374" s="755">
        <f>VLOOKUP(A374,Prehľad!$B$1:$BN$27,28,FALSE)</f>
        <v>6.4805937905968545</v>
      </c>
      <c r="K374" s="1802">
        <f ca="1">I374/100*J374</f>
        <v>1731.9012637403509</v>
      </c>
      <c r="L374" s="141">
        <v>8.6021836547023015E-2</v>
      </c>
      <c r="M374" s="1794">
        <f ca="1">I374*L374</f>
        <v>2298.8839022933739</v>
      </c>
      <c r="N374" s="1920">
        <f ca="1">26.83*I374/1000</f>
        <v>717.01625510884037</v>
      </c>
    </row>
    <row r="375" spans="1:14" s="7" customFormat="1" x14ac:dyDescent="0.25">
      <c r="A375" s="686" t="s">
        <v>38</v>
      </c>
      <c r="B375" s="99" t="s">
        <v>339</v>
      </c>
      <c r="C375" s="192">
        <v>42366</v>
      </c>
      <c r="D375" s="682">
        <f t="shared" ca="1" si="56"/>
        <v>6.1355236139630387</v>
      </c>
      <c r="E375" s="12">
        <v>15</v>
      </c>
      <c r="F375" s="1797">
        <f t="shared" si="57"/>
        <v>47844.75</v>
      </c>
      <c r="G375" s="1798"/>
      <c r="H375" s="1283">
        <f ca="1">VLOOKUP(A375,Prehľad!$B$1:$BN$27,11,FALSE)</f>
        <v>31085.855421686749</v>
      </c>
      <c r="I375" s="1283">
        <f ca="1">H375</f>
        <v>31085.855421686749</v>
      </c>
      <c r="J375" s="755">
        <f>VLOOKUP(A375,Prehľad!$B$1:$BN$27,28,FALSE)</f>
        <v>6.4512454068074572</v>
      </c>
      <c r="K375" s="1802">
        <f ca="1">I375/100*J375</f>
        <v>2005.4248200583734</v>
      </c>
      <c r="L375" s="141">
        <v>7.9289755750232033E-2</v>
      </c>
      <c r="M375" s="1794">
        <f ca="1">I375*L375</f>
        <v>2464.7898836725685</v>
      </c>
      <c r="N375" s="1920">
        <f ca="1">26.83*I375/1000</f>
        <v>834.03350096385543</v>
      </c>
    </row>
    <row r="376" spans="1:14" s="1044" customFormat="1" x14ac:dyDescent="0.25">
      <c r="A376" s="684" t="s">
        <v>164</v>
      </c>
      <c r="B376" s="101" t="s">
        <v>17</v>
      </c>
      <c r="C376" s="192">
        <v>42913</v>
      </c>
      <c r="D376" s="682">
        <f t="shared" ca="1" si="56"/>
        <v>4.6379192334017798</v>
      </c>
      <c r="E376" s="1283">
        <v>14</v>
      </c>
      <c r="F376" s="1797">
        <f t="shared" si="57"/>
        <v>48026.5</v>
      </c>
      <c r="G376" s="1798"/>
      <c r="H376" s="1283">
        <f ca="1">VLOOKUP(A376,Prehľad!$B$1:$BN$27,11,FALSE)</f>
        <v>25956.036304604484</v>
      </c>
      <c r="I376" s="1283">
        <f ca="1">H376</f>
        <v>25956.036304604484</v>
      </c>
      <c r="J376" s="755">
        <f>VLOOKUP(A376,Prehľad!$B$1:$BN$27,28,FALSE)</f>
        <v>6.8422129340599254</v>
      </c>
      <c r="K376" s="1802">
        <f ca="1">I376/100*J376</f>
        <v>1775.9672732029378</v>
      </c>
      <c r="L376" s="141">
        <v>9.2113292065675506E-2</v>
      </c>
      <c r="M376" s="1794">
        <f ca="1">I376*L376</f>
        <v>2390.8959529933095</v>
      </c>
      <c r="N376" s="1920">
        <f ca="1">26.83*I376/1000</f>
        <v>696.40045405253829</v>
      </c>
    </row>
    <row r="377" spans="1:14" s="7" customFormat="1" x14ac:dyDescent="0.25">
      <c r="A377" s="1396" t="s">
        <v>215</v>
      </c>
      <c r="B377" s="101" t="s">
        <v>218</v>
      </c>
      <c r="C377" s="192">
        <v>43160</v>
      </c>
      <c r="D377" s="682">
        <f t="shared" ca="1" si="56"/>
        <v>3.9616700889801506</v>
      </c>
      <c r="E377" s="1283">
        <v>14</v>
      </c>
      <c r="F377" s="1797">
        <f t="shared" si="57"/>
        <v>48273.5</v>
      </c>
      <c r="G377" s="1798"/>
      <c r="H377" s="1283">
        <f ca="1">VLOOKUP(A377,Prehľad!$B$1:$BN$27,11,FALSE)</f>
        <v>11260.150138217001</v>
      </c>
      <c r="I377" s="1283">
        <f ca="1">H377</f>
        <v>11260.150138217001</v>
      </c>
      <c r="J377" s="755">
        <f>VLOOKUP(A377,Prehľad!$B$1:$BN$27,28,FALSE)</f>
        <v>20.894241671290384</v>
      </c>
      <c r="K377" s="1802">
        <f ca="1">I377/100*J377</f>
        <v>2352.7229824291985</v>
      </c>
      <c r="L377" s="141">
        <v>0.28791426434757439</v>
      </c>
      <c r="M377" s="1794">
        <f ca="1">I377*L377</f>
        <v>3241.9578434879859</v>
      </c>
      <c r="N377" s="1920">
        <f ca="1">26.83*I377/1000</f>
        <v>302.1098282083621</v>
      </c>
    </row>
    <row r="378" spans="1:14" s="7" customFormat="1" x14ac:dyDescent="0.25">
      <c r="A378" s="1396" t="s">
        <v>1139</v>
      </c>
      <c r="B378" s="101" t="s">
        <v>1137</v>
      </c>
      <c r="C378" s="192">
        <v>44004</v>
      </c>
      <c r="D378" s="682">
        <f t="shared" ca="1" si="56"/>
        <v>1.6509240246406571</v>
      </c>
      <c r="E378" s="1283">
        <v>13</v>
      </c>
      <c r="F378" s="1797">
        <f t="shared" si="57"/>
        <v>48752.25</v>
      </c>
      <c r="G378" s="1798"/>
      <c r="H378" s="1283">
        <f ca="1">VLOOKUP(A378,Prehľad!$B$1:$BN$27,11,FALSE)</f>
        <v>5976.6529850746265</v>
      </c>
      <c r="I378" s="1283">
        <f ca="1">H378</f>
        <v>5976.6529850746265</v>
      </c>
      <c r="J378" s="755">
        <f>VLOOKUP(A378,Prehľad!$B$1:$BN$27,28,FALSE)</f>
        <v>10.346293119878025</v>
      </c>
      <c r="K378" s="1802">
        <f ca="1">I378/100*J378</f>
        <v>618.36203659376065</v>
      </c>
      <c r="L378" s="141">
        <v>0.13184295788069372</v>
      </c>
      <c r="M378" s="1794">
        <f ca="1">I378*L378</f>
        <v>787.9796077787164</v>
      </c>
      <c r="N378" s="1920">
        <f ca="1">26.83*I378/1000</f>
        <v>160.3535995895522</v>
      </c>
    </row>
    <row r="379" spans="1:14" s="1838" customFormat="1" x14ac:dyDescent="0.25">
      <c r="A379" s="1828" t="s">
        <v>1417</v>
      </c>
      <c r="B379" s="1829" t="s">
        <v>1418</v>
      </c>
      <c r="C379" s="1839">
        <v>44926</v>
      </c>
      <c r="D379" s="1831">
        <f t="shared" ca="1" si="56"/>
        <v>-0.87337440109514031</v>
      </c>
      <c r="E379" s="1832">
        <v>12</v>
      </c>
      <c r="F379" s="1833">
        <f t="shared" si="57"/>
        <v>49309</v>
      </c>
      <c r="G379" s="1834"/>
      <c r="H379" s="1832">
        <f ca="1">$H$52</f>
        <v>14925.612569718405</v>
      </c>
      <c r="I379" s="1832">
        <v>0</v>
      </c>
      <c r="J379" s="1835">
        <v>0</v>
      </c>
      <c r="K379" s="1836">
        <v>0</v>
      </c>
      <c r="L379" s="1837">
        <v>0</v>
      </c>
      <c r="M379" s="1926">
        <v>0</v>
      </c>
      <c r="N379" s="1923">
        <v>0</v>
      </c>
    </row>
    <row r="380" spans="1:14" s="1838" customFormat="1" x14ac:dyDescent="0.25">
      <c r="A380" s="1828" t="s">
        <v>1417</v>
      </c>
      <c r="B380" s="1829" t="s">
        <v>1419</v>
      </c>
      <c r="C380" s="1839">
        <v>45291</v>
      </c>
      <c r="D380" s="1831">
        <f t="shared" ca="1" si="56"/>
        <v>-1.8726899383983573</v>
      </c>
      <c r="E380" s="1832">
        <v>12</v>
      </c>
      <c r="F380" s="1833">
        <f t="shared" si="57"/>
        <v>49674</v>
      </c>
      <c r="G380" s="1834"/>
      <c r="H380" s="1832">
        <f ca="1">$H$99</f>
        <v>11223.957389580974</v>
      </c>
      <c r="I380" s="1832">
        <v>0</v>
      </c>
      <c r="J380" s="1835">
        <v>0</v>
      </c>
      <c r="K380" s="1836">
        <v>0</v>
      </c>
      <c r="L380" s="1837">
        <v>0</v>
      </c>
      <c r="M380" s="1926">
        <v>0</v>
      </c>
      <c r="N380" s="1923">
        <v>0</v>
      </c>
    </row>
    <row r="381" spans="1:14" s="1838" customFormat="1" x14ac:dyDescent="0.25">
      <c r="A381" s="1828" t="s">
        <v>1417</v>
      </c>
      <c r="B381" s="1829" t="s">
        <v>1427</v>
      </c>
      <c r="C381" s="1839">
        <v>45657</v>
      </c>
      <c r="D381" s="1831">
        <f t="shared" ca="1" si="56"/>
        <v>-2.8747433264887063</v>
      </c>
      <c r="E381" s="1832">
        <v>12</v>
      </c>
      <c r="F381" s="1833">
        <f t="shared" si="57"/>
        <v>50040</v>
      </c>
      <c r="G381" s="1834"/>
      <c r="H381" s="1832">
        <f ca="1">$H$145</f>
        <v>7769.9932656646497</v>
      </c>
      <c r="I381" s="1832">
        <v>0</v>
      </c>
      <c r="J381" s="1835">
        <v>0</v>
      </c>
      <c r="K381" s="1836">
        <v>0</v>
      </c>
      <c r="L381" s="1837">
        <v>0</v>
      </c>
      <c r="M381" s="1926">
        <v>0</v>
      </c>
      <c r="N381" s="1923">
        <v>0</v>
      </c>
    </row>
    <row r="382" spans="1:14" s="1838" customFormat="1" x14ac:dyDescent="0.25">
      <c r="A382" s="1828" t="s">
        <v>1417</v>
      </c>
      <c r="B382" s="1829" t="s">
        <v>1428</v>
      </c>
      <c r="C382" s="1839">
        <v>46022</v>
      </c>
      <c r="D382" s="1831">
        <f t="shared" ca="1" si="56"/>
        <v>-3.8740588637919235</v>
      </c>
      <c r="E382" s="1832">
        <v>12</v>
      </c>
      <c r="F382" s="1833">
        <f t="shared" si="57"/>
        <v>50405</v>
      </c>
      <c r="G382" s="1834"/>
      <c r="H382" s="1832">
        <f ca="1">$H$190</f>
        <v>13676.443130481</v>
      </c>
      <c r="I382" s="1832">
        <v>0</v>
      </c>
      <c r="J382" s="1835">
        <v>0</v>
      </c>
      <c r="K382" s="1836">
        <v>0</v>
      </c>
      <c r="L382" s="1837">
        <v>0</v>
      </c>
      <c r="M382" s="1926">
        <v>0</v>
      </c>
      <c r="N382" s="1923">
        <v>0</v>
      </c>
    </row>
    <row r="383" spans="1:14" s="1900" customFormat="1" x14ac:dyDescent="0.25">
      <c r="A383" s="1890" t="s">
        <v>1417</v>
      </c>
      <c r="B383" s="1891" t="s">
        <v>1430</v>
      </c>
      <c r="C383" s="1892">
        <v>46387</v>
      </c>
      <c r="D383" s="1893">
        <f t="shared" ca="1" si="56"/>
        <v>-4.8733744010951403</v>
      </c>
      <c r="E383" s="1894">
        <v>12</v>
      </c>
      <c r="F383" s="1895">
        <f t="shared" si="57"/>
        <v>50770</v>
      </c>
      <c r="G383" s="1896"/>
      <c r="H383" s="1894">
        <f ca="1">$H$236</f>
        <v>26706.803659539473</v>
      </c>
      <c r="I383" s="1894">
        <f ca="1">H383/3*2</f>
        <v>17804.535773026317</v>
      </c>
      <c r="J383" s="1897">
        <f>$J$236/100*90</f>
        <v>5.7921827233819547</v>
      </c>
      <c r="K383" s="1898">
        <f ca="1">I383/100*J383</f>
        <v>1031.2712450235902</v>
      </c>
      <c r="L383" s="1899">
        <f>$L$236/3*2</f>
        <v>5.0419832882056655E-2</v>
      </c>
      <c r="M383" s="1928">
        <f ca="1">I383*L383</f>
        <v>897.70171821858628</v>
      </c>
      <c r="N383" s="1927">
        <f ca="1">((26.83+23.38)/2)*I383/1000</f>
        <v>446.98287058182564</v>
      </c>
    </row>
    <row r="384" spans="1:14" s="1900" customFormat="1" x14ac:dyDescent="0.25">
      <c r="A384" s="1890" t="s">
        <v>1417</v>
      </c>
      <c r="B384" s="1891" t="s">
        <v>1435</v>
      </c>
      <c r="C384" s="1892">
        <v>46752</v>
      </c>
      <c r="D384" s="1893">
        <f t="shared" ca="1" si="56"/>
        <v>-5.8726899383983575</v>
      </c>
      <c r="E384" s="1894">
        <v>12</v>
      </c>
      <c r="F384" s="1895">
        <f t="shared" si="57"/>
        <v>51135</v>
      </c>
      <c r="G384" s="1896"/>
      <c r="H384" s="1894">
        <f ca="1">$H$282</f>
        <v>23634.669242029926</v>
      </c>
      <c r="I384" s="1894">
        <f ca="1">H384/3*2</f>
        <v>15756.446161353284</v>
      </c>
      <c r="J384" s="1897">
        <f>$J$282/100*90</f>
        <v>6.0804839654735146</v>
      </c>
      <c r="K384" s="1898">
        <f ca="1">I384/100*J384</f>
        <v>958.06818236955348</v>
      </c>
      <c r="L384" s="1899">
        <f>$L$282/3*2</f>
        <v>5.9839377800321232E-2</v>
      </c>
      <c r="M384" s="1928">
        <f ca="1">I384*L384</f>
        <v>942.8559346396404</v>
      </c>
      <c r="N384" s="1927">
        <f ca="1">((26.83+23.38)/2)*I384/1000</f>
        <v>395.56558088077412</v>
      </c>
    </row>
    <row r="385" spans="1:14" s="1900" customFormat="1" x14ac:dyDescent="0.25">
      <c r="A385" s="1890" t="s">
        <v>1417</v>
      </c>
      <c r="B385" s="1891" t="s">
        <v>1437</v>
      </c>
      <c r="C385" s="1892">
        <v>47118</v>
      </c>
      <c r="D385" s="1893">
        <f t="shared" ca="1" si="56"/>
        <v>-6.8747433264887068</v>
      </c>
      <c r="E385" s="1894">
        <v>12</v>
      </c>
      <c r="F385" s="1895">
        <f t="shared" si="57"/>
        <v>51501</v>
      </c>
      <c r="G385" s="1896">
        <v>30000</v>
      </c>
      <c r="H385" s="1894">
        <f ca="1">$H$328</f>
        <v>19060.602676864244</v>
      </c>
      <c r="I385" s="1894">
        <f ca="1">H385/3*2</f>
        <v>12707.068451242829</v>
      </c>
      <c r="J385" s="1897">
        <f>$J$328/100*90</f>
        <v>4.7779390348638913</v>
      </c>
      <c r="K385" s="1898">
        <f ca="1">I385/100*J385</f>
        <v>607.13598371880562</v>
      </c>
      <c r="L385" s="1899">
        <f>$L$328/3*2</f>
        <v>4.2945727171265817E-2</v>
      </c>
      <c r="M385" s="1928">
        <f ca="1">I385*L385</f>
        <v>545.71429485367378</v>
      </c>
      <c r="N385" s="1927">
        <f ca="1">((26.83+23.38)/2)*I385/1000</f>
        <v>319.01095346845113</v>
      </c>
    </row>
    <row r="386" spans="1:14" x14ac:dyDescent="0.25">
      <c r="A386" s="700"/>
      <c r="B386" s="202"/>
      <c r="C386" s="701"/>
      <c r="D386" s="702"/>
      <c r="E386" s="1812"/>
      <c r="F386" s="1813"/>
      <c r="G386" s="1814"/>
      <c r="H386" s="1812"/>
      <c r="I386" s="1733"/>
      <c r="J386" s="1815"/>
      <c r="K386" s="1816"/>
      <c r="L386" s="1733"/>
      <c r="M386" s="1816"/>
      <c r="N386" s="1921"/>
    </row>
    <row r="387" spans="1:14" s="50" customFormat="1" ht="15.75" customHeight="1" x14ac:dyDescent="0.25">
      <c r="A387" s="2215" t="s">
        <v>85</v>
      </c>
      <c r="B387" s="2216"/>
      <c r="C387" s="1817"/>
      <c r="D387" s="1822"/>
      <c r="E387" s="1819"/>
      <c r="F387" s="1817"/>
      <c r="G387" s="1818">
        <f>SUM(G373:G386)</f>
        <v>30000</v>
      </c>
      <c r="H387" s="1819">
        <f ca="1">SUM(H373:H386)</f>
        <v>218001.19926235979</v>
      </c>
      <c r="I387" s="1819">
        <f ca="1">SUM(I373:I386)</f>
        <v>147271.16771410356</v>
      </c>
      <c r="J387" s="1820"/>
      <c r="K387" s="1821">
        <f ca="1">SUM(K373:K386)</f>
        <v>11080.85378713657</v>
      </c>
      <c r="L387" s="1817"/>
      <c r="M387" s="1924">
        <f ca="1">SUM(M373:M386)</f>
        <v>13570.779137937852</v>
      </c>
      <c r="N387" s="1889">
        <f ca="1">SUM(N372:N386)</f>
        <v>3871.4730428541993</v>
      </c>
    </row>
    <row r="388" spans="1:14" s="50" customFormat="1" ht="15.75" customHeight="1" x14ac:dyDescent="0.25">
      <c r="A388" s="2217" t="s">
        <v>1413</v>
      </c>
      <c r="B388" s="2218"/>
      <c r="C388" s="1803"/>
      <c r="D388" s="1823">
        <f ca="1">AVERAGE(D373:D386)</f>
        <v>0.19944189964723827</v>
      </c>
      <c r="E388" s="1805">
        <f>AVERAGE(E373:E386)</f>
        <v>12.923076923076923</v>
      </c>
      <c r="F388" s="1803"/>
      <c r="G388" s="1804">
        <f t="shared" ref="G388:N388" si="58">AVERAGE(G373:G386)</f>
        <v>30000</v>
      </c>
      <c r="H388" s="1805">
        <f t="shared" ca="1" si="58"/>
        <v>18166.766605196648</v>
      </c>
      <c r="I388" s="1805">
        <f t="shared" ca="1" si="58"/>
        <v>12272.59730950863</v>
      </c>
      <c r="J388" s="1806">
        <f t="shared" si="58"/>
        <v>5.6387660538626676</v>
      </c>
      <c r="K388" s="1824">
        <f t="shared" ca="1" si="58"/>
        <v>923.40448226138085</v>
      </c>
      <c r="L388" s="1804">
        <f t="shared" si="58"/>
        <v>6.9198920370403524E-2</v>
      </c>
      <c r="M388" s="1925">
        <f t="shared" ca="1" si="58"/>
        <v>1130.8982614948211</v>
      </c>
      <c r="N388" s="1922">
        <f t="shared" ca="1" si="58"/>
        <v>322.6227535711833</v>
      </c>
    </row>
    <row r="390" spans="1:14" x14ac:dyDescent="0.25">
      <c r="G390" s="1954"/>
      <c r="J390" s="1954"/>
    </row>
    <row r="391" spans="1:14" x14ac:dyDescent="0.25">
      <c r="G391" s="1954"/>
      <c r="J391" s="1954"/>
    </row>
    <row r="392" spans="1:14" x14ac:dyDescent="0.25">
      <c r="G392" s="1954"/>
      <c r="J392" s="1954"/>
    </row>
    <row r="393" spans="1:14" x14ac:dyDescent="0.25">
      <c r="G393" s="1954"/>
      <c r="J393" s="1954"/>
    </row>
    <row r="394" spans="1:14" x14ac:dyDescent="0.25">
      <c r="G394" s="1954"/>
      <c r="J394" s="1954"/>
    </row>
    <row r="395" spans="1:14" x14ac:dyDescent="0.25">
      <c r="G395" s="1954"/>
      <c r="J395" s="1954"/>
    </row>
    <row r="396" spans="1:14" x14ac:dyDescent="0.25">
      <c r="G396" s="1954"/>
      <c r="J396" s="1954"/>
    </row>
    <row r="397" spans="1:14" x14ac:dyDescent="0.25">
      <c r="G397" s="1954"/>
      <c r="J397" s="1954"/>
    </row>
    <row r="398" spans="1:14" x14ac:dyDescent="0.25">
      <c r="G398" s="1954"/>
      <c r="J398" s="1954"/>
    </row>
    <row r="399" spans="1:14" x14ac:dyDescent="0.25">
      <c r="G399" s="1954"/>
      <c r="J399" s="1954"/>
    </row>
    <row r="400" spans="1:14" x14ac:dyDescent="0.25">
      <c r="G400" s="1954"/>
      <c r="J400" s="1954"/>
    </row>
    <row r="401" spans="1:14" x14ac:dyDescent="0.25">
      <c r="G401" s="1954"/>
      <c r="J401" s="1954"/>
    </row>
    <row r="402" spans="1:14" x14ac:dyDescent="0.25">
      <c r="G402" s="1954"/>
      <c r="J402" s="1954"/>
    </row>
    <row r="403" spans="1:14" x14ac:dyDescent="0.25">
      <c r="G403" s="1954"/>
      <c r="J403" s="1954"/>
    </row>
    <row r="404" spans="1:14" x14ac:dyDescent="0.25">
      <c r="G404" s="1954"/>
      <c r="J404" s="1954"/>
    </row>
    <row r="405" spans="1:14" x14ac:dyDescent="0.25">
      <c r="G405" s="1954"/>
      <c r="J405" s="1954"/>
    </row>
    <row r="406" spans="1:14" x14ac:dyDescent="0.25">
      <c r="G406" s="1954"/>
      <c r="J406" s="1954"/>
    </row>
    <row r="407" spans="1:14" x14ac:dyDescent="0.25">
      <c r="G407" s="1954"/>
      <c r="J407" s="1954"/>
    </row>
    <row r="408" spans="1:14" x14ac:dyDescent="0.25">
      <c r="G408" s="1954"/>
      <c r="J408" s="1954"/>
    </row>
    <row r="409" spans="1:14" x14ac:dyDescent="0.25">
      <c r="G409" s="1954"/>
      <c r="J409" s="1954"/>
    </row>
    <row r="410" spans="1:14" x14ac:dyDescent="0.25">
      <c r="G410" s="1954"/>
      <c r="J410" s="1954"/>
    </row>
    <row r="411" spans="1:14" x14ac:dyDescent="0.25">
      <c r="G411" s="1954"/>
      <c r="J411" s="1954"/>
    </row>
    <row r="412" spans="1:14" x14ac:dyDescent="0.25">
      <c r="G412" s="1954"/>
      <c r="J412" s="1954"/>
    </row>
    <row r="413" spans="1:14" x14ac:dyDescent="0.25">
      <c r="G413" s="1954"/>
      <c r="J413" s="1954"/>
    </row>
    <row r="414" spans="1:14" x14ac:dyDescent="0.25">
      <c r="A414" s="50" t="s">
        <v>1415</v>
      </c>
      <c r="B414" s="50"/>
      <c r="C414" s="1825"/>
      <c r="D414" s="1876">
        <v>47483</v>
      </c>
      <c r="F414" s="50"/>
      <c r="G414" s="50"/>
      <c r="H414" s="50"/>
      <c r="I414" s="50"/>
      <c r="J414" s="50"/>
      <c r="K414" s="50"/>
      <c r="L414" s="50"/>
      <c r="M414" s="50"/>
    </row>
    <row r="415" spans="1:14" x14ac:dyDescent="0.25">
      <c r="N415" s="49"/>
    </row>
    <row r="416" spans="1:14" s="49" customFormat="1" ht="66.75" customHeight="1" x14ac:dyDescent="0.25">
      <c r="A416" s="2064" t="s">
        <v>344</v>
      </c>
      <c r="B416" s="2066" t="s">
        <v>3</v>
      </c>
      <c r="C416" s="2066" t="s">
        <v>66</v>
      </c>
      <c r="D416" s="1789" t="s">
        <v>335</v>
      </c>
      <c r="E416" s="1810" t="s">
        <v>342</v>
      </c>
      <c r="F416" s="2219" t="s">
        <v>334</v>
      </c>
      <c r="G416" s="2221" t="s">
        <v>343</v>
      </c>
      <c r="H416" s="2211" t="s">
        <v>7</v>
      </c>
      <c r="I416" s="2211" t="s">
        <v>1410</v>
      </c>
      <c r="J416" s="2010" t="s">
        <v>54</v>
      </c>
      <c r="K416" s="2213" t="s">
        <v>1444</v>
      </c>
      <c r="L416" s="2202" t="s">
        <v>1411</v>
      </c>
      <c r="M416" s="2223" t="s">
        <v>1412</v>
      </c>
      <c r="N416" s="2012" t="s">
        <v>1433</v>
      </c>
    </row>
    <row r="417" spans="1:14" s="2" customFormat="1" ht="29.25" customHeight="1" x14ac:dyDescent="0.25">
      <c r="A417" s="2065"/>
      <c r="B417" s="2067"/>
      <c r="C417" s="2067"/>
      <c r="D417" s="699">
        <f ca="1">TODAY()</f>
        <v>44607</v>
      </c>
      <c r="E417" s="1811">
        <v>365.25</v>
      </c>
      <c r="F417" s="2220"/>
      <c r="G417" s="2222"/>
      <c r="H417" s="2212"/>
      <c r="I417" s="2212"/>
      <c r="J417" s="2011"/>
      <c r="K417" s="2214"/>
      <c r="L417" s="2203"/>
      <c r="M417" s="2224"/>
      <c r="N417" s="2013"/>
    </row>
    <row r="418" spans="1:14" x14ac:dyDescent="0.25">
      <c r="A418" s="694" t="s">
        <v>336</v>
      </c>
      <c r="B418" s="196"/>
      <c r="C418" s="695"/>
      <c r="D418" s="696"/>
      <c r="E418" s="17"/>
      <c r="F418" s="1807"/>
      <c r="G418" s="1808"/>
      <c r="H418" s="17"/>
      <c r="I418" s="472"/>
      <c r="J418" s="787"/>
      <c r="K418" s="1809"/>
      <c r="L418" s="472"/>
      <c r="M418" s="1809"/>
      <c r="N418" s="458"/>
    </row>
    <row r="419" spans="1:14" x14ac:dyDescent="0.25">
      <c r="A419" s="684" t="s">
        <v>18</v>
      </c>
      <c r="B419" s="101" t="s">
        <v>17</v>
      </c>
      <c r="C419" s="192">
        <v>42356</v>
      </c>
      <c r="D419" s="682">
        <f t="shared" ref="D419:D431" ca="1" si="59">($D$4-C419)/365.25</f>
        <v>6.1629021218343603</v>
      </c>
      <c r="E419" s="1283">
        <v>14</v>
      </c>
      <c r="F419" s="1797">
        <f t="shared" ref="F419:F431" si="60">C419+(E419*$E$4)</f>
        <v>47469.5</v>
      </c>
      <c r="G419" s="1827" t="s">
        <v>1416</v>
      </c>
      <c r="H419" s="1283"/>
      <c r="I419" s="1283"/>
      <c r="J419" s="754"/>
      <c r="K419" s="1802"/>
      <c r="L419" s="141"/>
      <c r="M419" s="1794"/>
      <c r="N419" s="1919"/>
    </row>
    <row r="420" spans="1:14" s="7" customFormat="1" x14ac:dyDescent="0.25">
      <c r="A420" s="686" t="s">
        <v>38</v>
      </c>
      <c r="B420" s="99" t="s">
        <v>339</v>
      </c>
      <c r="C420" s="192">
        <v>42366</v>
      </c>
      <c r="D420" s="682">
        <f t="shared" ca="1" si="59"/>
        <v>6.1355236139630387</v>
      </c>
      <c r="E420" s="12">
        <v>15</v>
      </c>
      <c r="F420" s="1797">
        <f t="shared" si="60"/>
        <v>47844.75</v>
      </c>
      <c r="G420" s="1798"/>
      <c r="H420" s="1283">
        <f ca="1">VLOOKUP(A420,Prehľad!$B$1:$BN$27,11,FALSE)</f>
        <v>31085.855421686749</v>
      </c>
      <c r="I420" s="1283">
        <f ca="1">H420</f>
        <v>31085.855421686749</v>
      </c>
      <c r="J420" s="755">
        <f>VLOOKUP(A420,Prehľad!$B$1:$BN$27,28,FALSE)</f>
        <v>6.4512454068074572</v>
      </c>
      <c r="K420" s="1802">
        <f ca="1">I420/100*J420</f>
        <v>2005.4248200583734</v>
      </c>
      <c r="L420" s="141">
        <v>7.9289755750232033E-2</v>
      </c>
      <c r="M420" s="1794">
        <f ca="1">I420*L420</f>
        <v>2464.7898836725685</v>
      </c>
      <c r="N420" s="1920">
        <f ca="1">26.83*I420/1000</f>
        <v>834.03350096385543</v>
      </c>
    </row>
    <row r="421" spans="1:14" s="1044" customFormat="1" x14ac:dyDescent="0.25">
      <c r="A421" s="684" t="s">
        <v>164</v>
      </c>
      <c r="B421" s="101" t="s">
        <v>17</v>
      </c>
      <c r="C421" s="192">
        <v>42913</v>
      </c>
      <c r="D421" s="682">
        <f t="shared" ca="1" si="59"/>
        <v>4.6379192334017798</v>
      </c>
      <c r="E421" s="1283">
        <v>14</v>
      </c>
      <c r="F421" s="1797">
        <f t="shared" si="60"/>
        <v>48026.5</v>
      </c>
      <c r="G421" s="1798"/>
      <c r="H421" s="1283">
        <f ca="1">VLOOKUP(A421,Prehľad!$B$1:$BN$27,11,FALSE)</f>
        <v>25956.036304604484</v>
      </c>
      <c r="I421" s="1283">
        <f ca="1">H421</f>
        <v>25956.036304604484</v>
      </c>
      <c r="J421" s="755">
        <f>VLOOKUP(A421,Prehľad!$B$1:$BN$27,28,FALSE)</f>
        <v>6.8422129340599254</v>
      </c>
      <c r="K421" s="1802">
        <f ca="1">I421/100*J421</f>
        <v>1775.9672732029378</v>
      </c>
      <c r="L421" s="141">
        <v>9.2113292065675506E-2</v>
      </c>
      <c r="M421" s="1794">
        <f ca="1">I421*L421</f>
        <v>2390.8959529933095</v>
      </c>
      <c r="N421" s="1920">
        <f ca="1">26.83*I421/1000</f>
        <v>696.40045405253829</v>
      </c>
    </row>
    <row r="422" spans="1:14" s="7" customFormat="1" x14ac:dyDescent="0.25">
      <c r="A422" s="1396" t="s">
        <v>215</v>
      </c>
      <c r="B422" s="101" t="s">
        <v>218</v>
      </c>
      <c r="C422" s="192">
        <v>43160</v>
      </c>
      <c r="D422" s="682">
        <f t="shared" ca="1" si="59"/>
        <v>3.9616700889801506</v>
      </c>
      <c r="E422" s="1283">
        <v>14</v>
      </c>
      <c r="F422" s="1797">
        <f t="shared" si="60"/>
        <v>48273.5</v>
      </c>
      <c r="G422" s="1798"/>
      <c r="H422" s="1283">
        <f ca="1">VLOOKUP(A422,Prehľad!$B$1:$BN$27,11,FALSE)</f>
        <v>11260.150138217001</v>
      </c>
      <c r="I422" s="1283">
        <f ca="1">H422</f>
        <v>11260.150138217001</v>
      </c>
      <c r="J422" s="755">
        <f>VLOOKUP(A422,Prehľad!$B$1:$BN$27,28,FALSE)</f>
        <v>20.894241671290384</v>
      </c>
      <c r="K422" s="1802">
        <f ca="1">I422/100*J422</f>
        <v>2352.7229824291985</v>
      </c>
      <c r="L422" s="141">
        <v>0.28791426434757439</v>
      </c>
      <c r="M422" s="1794">
        <f ca="1">I422*L422</f>
        <v>3241.9578434879859</v>
      </c>
      <c r="N422" s="1920">
        <f ca="1">26.83*I422/1000</f>
        <v>302.1098282083621</v>
      </c>
    </row>
    <row r="423" spans="1:14" s="7" customFormat="1" x14ac:dyDescent="0.25">
      <c r="A423" s="1396" t="s">
        <v>1139</v>
      </c>
      <c r="B423" s="101" t="s">
        <v>1137</v>
      </c>
      <c r="C423" s="192">
        <v>44004</v>
      </c>
      <c r="D423" s="682">
        <f t="shared" ca="1" si="59"/>
        <v>1.6509240246406571</v>
      </c>
      <c r="E423" s="1283">
        <v>13</v>
      </c>
      <c r="F423" s="1797">
        <f t="shared" si="60"/>
        <v>48752.25</v>
      </c>
      <c r="G423" s="1798"/>
      <c r="H423" s="1283">
        <f ca="1">VLOOKUP(A423,Prehľad!$B$1:$BN$27,11,FALSE)</f>
        <v>5976.6529850746265</v>
      </c>
      <c r="I423" s="1283">
        <f ca="1">H423</f>
        <v>5976.6529850746265</v>
      </c>
      <c r="J423" s="755">
        <f>VLOOKUP(A423,Prehľad!$B$1:$BN$27,28,FALSE)</f>
        <v>10.346293119878025</v>
      </c>
      <c r="K423" s="1802">
        <f ca="1">I423/100*J423</f>
        <v>618.36203659376065</v>
      </c>
      <c r="L423" s="141">
        <v>0.13184295788069372</v>
      </c>
      <c r="M423" s="1794">
        <f ca="1">I423*L423</f>
        <v>787.9796077787164</v>
      </c>
      <c r="N423" s="1920">
        <f ca="1">26.83*I423/1000</f>
        <v>160.3535995895522</v>
      </c>
    </row>
    <row r="424" spans="1:14" s="1838" customFormat="1" x14ac:dyDescent="0.25">
      <c r="A424" s="1828" t="s">
        <v>1417</v>
      </c>
      <c r="B424" s="1829" t="s">
        <v>1418</v>
      </c>
      <c r="C424" s="1839">
        <v>44926</v>
      </c>
      <c r="D424" s="1831">
        <f t="shared" ca="1" si="59"/>
        <v>-0.87337440109514031</v>
      </c>
      <c r="E424" s="1832">
        <v>12</v>
      </c>
      <c r="F424" s="1833">
        <f t="shared" si="60"/>
        <v>49309</v>
      </c>
      <c r="G424" s="1834"/>
      <c r="H424" s="1832">
        <f ca="1">$H$52</f>
        <v>14925.612569718405</v>
      </c>
      <c r="I424" s="1832">
        <v>0</v>
      </c>
      <c r="J424" s="1835">
        <v>0</v>
      </c>
      <c r="K424" s="1836">
        <v>0</v>
      </c>
      <c r="L424" s="1837">
        <v>0</v>
      </c>
      <c r="M424" s="1926">
        <v>0</v>
      </c>
      <c r="N424" s="1923">
        <v>0</v>
      </c>
    </row>
    <row r="425" spans="1:14" s="1838" customFormat="1" x14ac:dyDescent="0.25">
      <c r="A425" s="1828" t="s">
        <v>1417</v>
      </c>
      <c r="B425" s="1829" t="s">
        <v>1419</v>
      </c>
      <c r="C425" s="1839">
        <v>45291</v>
      </c>
      <c r="D425" s="1831">
        <f t="shared" ca="1" si="59"/>
        <v>-1.8726899383983573</v>
      </c>
      <c r="E425" s="1832">
        <v>12</v>
      </c>
      <c r="F425" s="1833">
        <f t="shared" si="60"/>
        <v>49674</v>
      </c>
      <c r="G425" s="1834"/>
      <c r="H425" s="1832">
        <f ca="1">$H$99</f>
        <v>11223.957389580974</v>
      </c>
      <c r="I425" s="1832">
        <v>0</v>
      </c>
      <c r="J425" s="1835">
        <v>0</v>
      </c>
      <c r="K425" s="1836">
        <v>0</v>
      </c>
      <c r="L425" s="1837">
        <v>0</v>
      </c>
      <c r="M425" s="1926">
        <v>0</v>
      </c>
      <c r="N425" s="1923">
        <v>0</v>
      </c>
    </row>
    <row r="426" spans="1:14" s="1838" customFormat="1" x14ac:dyDescent="0.25">
      <c r="A426" s="1828" t="s">
        <v>1417</v>
      </c>
      <c r="B426" s="1829" t="s">
        <v>1427</v>
      </c>
      <c r="C426" s="1839">
        <v>45657</v>
      </c>
      <c r="D426" s="1831">
        <f t="shared" ca="1" si="59"/>
        <v>-2.8747433264887063</v>
      </c>
      <c r="E426" s="1832">
        <v>12</v>
      </c>
      <c r="F426" s="1833">
        <f t="shared" si="60"/>
        <v>50040</v>
      </c>
      <c r="G426" s="1834"/>
      <c r="H426" s="1832">
        <f ca="1">$H$145</f>
        <v>7769.9932656646497</v>
      </c>
      <c r="I426" s="1832">
        <v>0</v>
      </c>
      <c r="J426" s="1835">
        <v>0</v>
      </c>
      <c r="K426" s="1836">
        <v>0</v>
      </c>
      <c r="L426" s="1837">
        <v>0</v>
      </c>
      <c r="M426" s="1926">
        <v>0</v>
      </c>
      <c r="N426" s="1923">
        <v>0</v>
      </c>
    </row>
    <row r="427" spans="1:14" s="1838" customFormat="1" x14ac:dyDescent="0.25">
      <c r="A427" s="1828" t="s">
        <v>1417</v>
      </c>
      <c r="B427" s="1829" t="s">
        <v>1428</v>
      </c>
      <c r="C427" s="1839">
        <v>46022</v>
      </c>
      <c r="D427" s="1831">
        <f t="shared" ca="1" si="59"/>
        <v>-3.8740588637919235</v>
      </c>
      <c r="E427" s="1832">
        <v>12</v>
      </c>
      <c r="F427" s="1833">
        <f t="shared" si="60"/>
        <v>50405</v>
      </c>
      <c r="G427" s="1834"/>
      <c r="H427" s="1832">
        <f ca="1">$H$190</f>
        <v>13676.443130481</v>
      </c>
      <c r="I427" s="1832">
        <v>0</v>
      </c>
      <c r="J427" s="1835">
        <v>0</v>
      </c>
      <c r="K427" s="1836">
        <v>0</v>
      </c>
      <c r="L427" s="1837">
        <v>0</v>
      </c>
      <c r="M427" s="1926">
        <v>0</v>
      </c>
      <c r="N427" s="1923">
        <v>0</v>
      </c>
    </row>
    <row r="428" spans="1:14" s="1900" customFormat="1" x14ac:dyDescent="0.25">
      <c r="A428" s="1890" t="s">
        <v>1417</v>
      </c>
      <c r="B428" s="1891" t="s">
        <v>1430</v>
      </c>
      <c r="C428" s="1892">
        <v>46387</v>
      </c>
      <c r="D428" s="1893">
        <f t="shared" ca="1" si="59"/>
        <v>-4.8733744010951403</v>
      </c>
      <c r="E428" s="1894">
        <v>12</v>
      </c>
      <c r="F428" s="1895">
        <f t="shared" si="60"/>
        <v>50770</v>
      </c>
      <c r="G428" s="1896"/>
      <c r="H428" s="1894">
        <f ca="1">$H$236</f>
        <v>26706.803659539473</v>
      </c>
      <c r="I428" s="1894">
        <f ca="1">H428/3*2</f>
        <v>17804.535773026317</v>
      </c>
      <c r="J428" s="1897">
        <f>$J$236/100*90</f>
        <v>5.7921827233819547</v>
      </c>
      <c r="K428" s="1898">
        <f ca="1">I428/100*J428</f>
        <v>1031.2712450235902</v>
      </c>
      <c r="L428" s="1899">
        <f>$L$236/3*2</f>
        <v>5.0419832882056655E-2</v>
      </c>
      <c r="M428" s="1928">
        <f ca="1">I428*L428</f>
        <v>897.70171821858628</v>
      </c>
      <c r="N428" s="1927">
        <f ca="1">((26.83+23.38)/2)*I428/1000</f>
        <v>446.98287058182564</v>
      </c>
    </row>
    <row r="429" spans="1:14" s="1900" customFormat="1" x14ac:dyDescent="0.25">
      <c r="A429" s="1890" t="s">
        <v>1417</v>
      </c>
      <c r="B429" s="1891" t="s">
        <v>1435</v>
      </c>
      <c r="C429" s="1892">
        <v>46752</v>
      </c>
      <c r="D429" s="1893">
        <f t="shared" ca="1" si="59"/>
        <v>-5.8726899383983575</v>
      </c>
      <c r="E429" s="1894">
        <v>12</v>
      </c>
      <c r="F429" s="1895">
        <f t="shared" si="60"/>
        <v>51135</v>
      </c>
      <c r="G429" s="1896"/>
      <c r="H429" s="1894">
        <f ca="1">$H$282</f>
        <v>23634.669242029926</v>
      </c>
      <c r="I429" s="1894">
        <f ca="1">H429/3*2</f>
        <v>15756.446161353284</v>
      </c>
      <c r="J429" s="1897">
        <f>$J$282/100*90</f>
        <v>6.0804839654735146</v>
      </c>
      <c r="K429" s="1898">
        <f ca="1">I429/100*J429</f>
        <v>958.06818236955348</v>
      </c>
      <c r="L429" s="1899">
        <f>$L$282/3*2</f>
        <v>5.9839377800321232E-2</v>
      </c>
      <c r="M429" s="1928">
        <f ca="1">I429*L429</f>
        <v>942.8559346396404</v>
      </c>
      <c r="N429" s="1927">
        <f ca="1">((26.83+23.38)/2)*I429/1000</f>
        <v>395.56558088077412</v>
      </c>
    </row>
    <row r="430" spans="1:14" s="1900" customFormat="1" x14ac:dyDescent="0.25">
      <c r="A430" s="1890" t="s">
        <v>1417</v>
      </c>
      <c r="B430" s="1891" t="s">
        <v>1437</v>
      </c>
      <c r="C430" s="1892">
        <v>47118</v>
      </c>
      <c r="D430" s="1893">
        <f t="shared" ca="1" si="59"/>
        <v>-6.8747433264887068</v>
      </c>
      <c r="E430" s="1894">
        <v>12</v>
      </c>
      <c r="F430" s="1895">
        <f t="shared" si="60"/>
        <v>51501</v>
      </c>
      <c r="G430" s="1896"/>
      <c r="H430" s="1894">
        <f ca="1">$H$328</f>
        <v>19060.602676864244</v>
      </c>
      <c r="I430" s="1894">
        <f ca="1">H430/3*2</f>
        <v>12707.068451242829</v>
      </c>
      <c r="J430" s="1897">
        <f>$J$328/100*90</f>
        <v>4.7779390348638913</v>
      </c>
      <c r="K430" s="1898">
        <f ca="1">I430/100*J430</f>
        <v>607.13598371880562</v>
      </c>
      <c r="L430" s="1899">
        <f>$L$328/3*2</f>
        <v>4.2945727171265817E-2</v>
      </c>
      <c r="M430" s="1928">
        <f ca="1">I430*L430</f>
        <v>545.71429485367378</v>
      </c>
      <c r="N430" s="1927">
        <f ca="1">((26.83+23.38)/2)*I430/1000</f>
        <v>319.01095346845113</v>
      </c>
    </row>
    <row r="431" spans="1:14" s="1900" customFormat="1" x14ac:dyDescent="0.25">
      <c r="A431" s="1890" t="s">
        <v>1417</v>
      </c>
      <c r="B431" s="1891" t="s">
        <v>1438</v>
      </c>
      <c r="C431" s="1892">
        <v>47483</v>
      </c>
      <c r="D431" s="1893">
        <f t="shared" ca="1" si="59"/>
        <v>-7.8740588637919231</v>
      </c>
      <c r="E431" s="1894">
        <v>12</v>
      </c>
      <c r="F431" s="1895">
        <f t="shared" si="60"/>
        <v>51866</v>
      </c>
      <c r="G431" s="1896">
        <v>40000</v>
      </c>
      <c r="H431" s="1894">
        <f ca="1">$H$374</f>
        <v>26724.422478898265</v>
      </c>
      <c r="I431" s="1894">
        <f ca="1">H431/3*2</f>
        <v>17816.281652598842</v>
      </c>
      <c r="J431" s="1897">
        <f>$J$374/100*90</f>
        <v>5.8325344115371687</v>
      </c>
      <c r="K431" s="1898">
        <f ca="1">I431/100*J431</f>
        <v>1039.1407582442105</v>
      </c>
      <c r="L431" s="1899">
        <f>$L$374/3*2</f>
        <v>5.7347891031348679E-2</v>
      </c>
      <c r="M431" s="1928">
        <f ca="1">I431*L431</f>
        <v>1021.7261787970551</v>
      </c>
      <c r="N431" s="1927">
        <f ca="1">((26.83+23.38)/2)*I431/1000</f>
        <v>447.27775088849387</v>
      </c>
    </row>
    <row r="432" spans="1:14" x14ac:dyDescent="0.25">
      <c r="A432" s="700"/>
      <c r="B432" s="202"/>
      <c r="C432" s="701"/>
      <c r="D432" s="702"/>
      <c r="E432" s="1812"/>
      <c r="F432" s="1813"/>
      <c r="G432" s="1814"/>
      <c r="H432" s="1812"/>
      <c r="I432" s="1733"/>
      <c r="J432" s="1815"/>
      <c r="K432" s="1816"/>
      <c r="L432" s="1733"/>
      <c r="M432" s="1816"/>
      <c r="N432" s="1921"/>
    </row>
    <row r="433" spans="1:14" s="50" customFormat="1" ht="15.75" customHeight="1" x14ac:dyDescent="0.25">
      <c r="A433" s="2215" t="s">
        <v>85</v>
      </c>
      <c r="B433" s="2216"/>
      <c r="C433" s="1817"/>
      <c r="D433" s="1822"/>
      <c r="E433" s="1819"/>
      <c r="F433" s="1817"/>
      <c r="G433" s="1818">
        <f>SUM(G419:G432)</f>
        <v>40000</v>
      </c>
      <c r="H433" s="1819">
        <f ca="1">SUM(H419:H432)</f>
        <v>218001.19926235979</v>
      </c>
      <c r="I433" s="1819">
        <f ca="1">SUM(I419:I432)</f>
        <v>138363.02688780412</v>
      </c>
      <c r="J433" s="1820"/>
      <c r="K433" s="1821">
        <f ca="1">SUM(K419:K432)</f>
        <v>10388.093281640429</v>
      </c>
      <c r="L433" s="1817"/>
      <c r="M433" s="1924">
        <f ca="1">SUM(M419:M432)</f>
        <v>12293.621414441533</v>
      </c>
      <c r="N433" s="1889">
        <f ca="1">SUM(N418:N432)</f>
        <v>3601.7345386338525</v>
      </c>
    </row>
    <row r="434" spans="1:14" s="50" customFormat="1" ht="15.75" customHeight="1" x14ac:dyDescent="0.25">
      <c r="A434" s="2217" t="s">
        <v>1413</v>
      </c>
      <c r="B434" s="2218"/>
      <c r="C434" s="1803"/>
      <c r="D434" s="1823">
        <f ca="1">AVERAGE(D419:D432)</f>
        <v>-0.95698415205602094</v>
      </c>
      <c r="E434" s="1805">
        <f>AVERAGE(E419:E432)</f>
        <v>12.76923076923077</v>
      </c>
      <c r="F434" s="1803"/>
      <c r="G434" s="1804">
        <f t="shared" ref="G434:N434" si="61">AVERAGE(G419:G432)</f>
        <v>40000</v>
      </c>
      <c r="H434" s="1805">
        <f t="shared" ca="1" si="61"/>
        <v>18166.766605196648</v>
      </c>
      <c r="I434" s="1805">
        <f t="shared" ca="1" si="61"/>
        <v>11530.252240650343</v>
      </c>
      <c r="J434" s="1806">
        <f t="shared" si="61"/>
        <v>5.5847611056076936</v>
      </c>
      <c r="K434" s="1824">
        <f t="shared" ca="1" si="61"/>
        <v>865.6744401367024</v>
      </c>
      <c r="L434" s="1804">
        <f t="shared" si="61"/>
        <v>6.6809424910763984E-2</v>
      </c>
      <c r="M434" s="1925">
        <f t="shared" ca="1" si="61"/>
        <v>1024.4684512034612</v>
      </c>
      <c r="N434" s="1922">
        <f t="shared" ca="1" si="61"/>
        <v>300.14454488615439</v>
      </c>
    </row>
    <row r="435" spans="1:14" s="60" customFormat="1" ht="15.75" customHeight="1" x14ac:dyDescent="0.25">
      <c r="A435" s="1790"/>
      <c r="B435" s="1790"/>
      <c r="D435" s="1929"/>
      <c r="E435" s="240"/>
      <c r="G435" s="432"/>
      <c r="H435" s="240"/>
      <c r="I435" s="240"/>
      <c r="J435" s="236"/>
      <c r="K435" s="1930"/>
      <c r="L435" s="432"/>
      <c r="M435" s="1931"/>
      <c r="N435" s="236"/>
    </row>
    <row r="436" spans="1:14" s="60" customFormat="1" ht="15.75" customHeight="1" x14ac:dyDescent="0.25">
      <c r="A436" s="1955"/>
      <c r="B436" s="1955"/>
      <c r="D436" s="1929"/>
      <c r="E436" s="240"/>
      <c r="G436" s="432"/>
      <c r="H436" s="240"/>
      <c r="I436" s="240"/>
      <c r="J436" s="236"/>
      <c r="K436" s="1930"/>
      <c r="L436" s="432"/>
      <c r="M436" s="1931"/>
      <c r="N436" s="236"/>
    </row>
    <row r="437" spans="1:14" s="60" customFormat="1" ht="15.75" customHeight="1" x14ac:dyDescent="0.25">
      <c r="A437" s="1955"/>
      <c r="B437" s="1955"/>
      <c r="D437" s="1929"/>
      <c r="E437" s="240"/>
      <c r="G437" s="432"/>
      <c r="H437" s="240"/>
      <c r="I437" s="240"/>
      <c r="J437" s="236"/>
      <c r="K437" s="1930"/>
      <c r="L437" s="432"/>
      <c r="M437" s="1931"/>
      <c r="N437" s="236"/>
    </row>
    <row r="438" spans="1:14" s="60" customFormat="1" ht="15.75" customHeight="1" x14ac:dyDescent="0.25">
      <c r="A438" s="1955"/>
      <c r="B438" s="1955"/>
      <c r="D438" s="1929"/>
      <c r="E438" s="240"/>
      <c r="G438" s="432"/>
      <c r="H438" s="240"/>
      <c r="I438" s="240"/>
      <c r="J438" s="236"/>
      <c r="K438" s="1930"/>
      <c r="L438" s="432"/>
      <c r="M438" s="1931"/>
      <c r="N438" s="236"/>
    </row>
    <row r="439" spans="1:14" s="60" customFormat="1" ht="15.75" customHeight="1" x14ac:dyDescent="0.25">
      <c r="A439" s="1955"/>
      <c r="B439" s="1955"/>
      <c r="D439" s="1929"/>
      <c r="E439" s="240"/>
      <c r="G439" s="432"/>
      <c r="H439" s="240"/>
      <c r="I439" s="240"/>
      <c r="J439" s="236"/>
      <c r="K439" s="1930"/>
      <c r="L439" s="432"/>
      <c r="M439" s="1931"/>
      <c r="N439" s="236"/>
    </row>
    <row r="440" spans="1:14" s="60" customFormat="1" ht="15.75" customHeight="1" x14ac:dyDescent="0.25">
      <c r="A440" s="1955"/>
      <c r="B440" s="1955"/>
      <c r="D440" s="1929"/>
      <c r="E440" s="240"/>
      <c r="G440" s="432"/>
      <c r="H440" s="240"/>
      <c r="I440" s="240"/>
      <c r="J440" s="236"/>
      <c r="K440" s="1930"/>
      <c r="L440" s="432"/>
      <c r="M440" s="1931"/>
      <c r="N440" s="236"/>
    </row>
    <row r="441" spans="1:14" s="60" customFormat="1" ht="15.75" customHeight="1" x14ac:dyDescent="0.25">
      <c r="A441" s="1955"/>
      <c r="B441" s="1955"/>
      <c r="D441" s="1929"/>
      <c r="E441" s="240"/>
      <c r="G441" s="432"/>
      <c r="H441" s="240"/>
      <c r="I441" s="240"/>
      <c r="J441" s="236"/>
      <c r="K441" s="1930"/>
      <c r="L441" s="432"/>
      <c r="M441" s="1931"/>
      <c r="N441" s="236"/>
    </row>
    <row r="442" spans="1:14" s="60" customFormat="1" ht="15.75" customHeight="1" x14ac:dyDescent="0.25">
      <c r="A442" s="1955"/>
      <c r="B442" s="1955"/>
      <c r="D442" s="1929"/>
      <c r="E442" s="240"/>
      <c r="G442" s="432"/>
      <c r="H442" s="240"/>
      <c r="I442" s="240"/>
      <c r="J442" s="236"/>
      <c r="K442" s="1930"/>
      <c r="L442" s="432"/>
      <c r="M442" s="1931"/>
      <c r="N442" s="236"/>
    </row>
    <row r="443" spans="1:14" s="60" customFormat="1" ht="15.75" customHeight="1" x14ac:dyDescent="0.25">
      <c r="A443" s="1955"/>
      <c r="B443" s="1955"/>
      <c r="D443" s="1929"/>
      <c r="E443" s="240"/>
      <c r="G443" s="432"/>
      <c r="H443" s="240"/>
      <c r="I443" s="240"/>
      <c r="J443" s="236"/>
      <c r="K443" s="1930"/>
      <c r="L443" s="432"/>
      <c r="M443" s="1931"/>
      <c r="N443" s="236"/>
    </row>
    <row r="444" spans="1:14" s="60" customFormat="1" ht="15.75" customHeight="1" x14ac:dyDescent="0.25">
      <c r="A444" s="1955"/>
      <c r="B444" s="1955"/>
      <c r="D444" s="1929"/>
      <c r="E444" s="240"/>
      <c r="G444" s="432"/>
      <c r="H444" s="240"/>
      <c r="I444" s="240"/>
      <c r="J444" s="236"/>
      <c r="K444" s="1930"/>
      <c r="L444" s="432"/>
      <c r="M444" s="1931"/>
      <c r="N444" s="236"/>
    </row>
    <row r="445" spans="1:14" s="60" customFormat="1" ht="15.75" customHeight="1" x14ac:dyDescent="0.25">
      <c r="A445" s="1955"/>
      <c r="B445" s="1955"/>
      <c r="D445" s="1929"/>
      <c r="E445" s="240"/>
      <c r="G445" s="432"/>
      <c r="H445" s="240"/>
      <c r="I445" s="240"/>
      <c r="J445" s="236"/>
      <c r="K445" s="1930"/>
      <c r="L445" s="432"/>
      <c r="M445" s="1931"/>
      <c r="N445" s="236"/>
    </row>
    <row r="446" spans="1:14" s="60" customFormat="1" ht="15.75" customHeight="1" x14ac:dyDescent="0.25">
      <c r="A446" s="1955"/>
      <c r="B446" s="1955"/>
      <c r="D446" s="1929"/>
      <c r="E446" s="240"/>
      <c r="G446" s="432"/>
      <c r="H446" s="240"/>
      <c r="I446" s="240"/>
      <c r="J446" s="236"/>
      <c r="K446" s="1930"/>
      <c r="L446" s="432"/>
      <c r="M446" s="1931"/>
      <c r="N446" s="236"/>
    </row>
    <row r="447" spans="1:14" s="60" customFormat="1" ht="15.75" customHeight="1" x14ac:dyDescent="0.25">
      <c r="A447" s="1955"/>
      <c r="B447" s="1955"/>
      <c r="D447" s="1929"/>
      <c r="E447" s="240"/>
      <c r="G447" s="432"/>
      <c r="H447" s="240"/>
      <c r="I447" s="240"/>
      <c r="J447" s="236"/>
      <c r="K447" s="1930"/>
      <c r="L447" s="432"/>
      <c r="M447" s="1931"/>
      <c r="N447" s="236"/>
    </row>
    <row r="448" spans="1:14" s="60" customFormat="1" ht="15.75" customHeight="1" x14ac:dyDescent="0.25">
      <c r="A448" s="1955"/>
      <c r="B448" s="1955"/>
      <c r="D448" s="1929"/>
      <c r="E448" s="240"/>
      <c r="G448" s="432"/>
      <c r="H448" s="240"/>
      <c r="I448" s="240"/>
      <c r="J448" s="236"/>
      <c r="K448" s="1930"/>
      <c r="L448" s="432"/>
      <c r="M448" s="1931"/>
      <c r="N448" s="236"/>
    </row>
    <row r="449" spans="1:14" s="60" customFormat="1" ht="15.75" customHeight="1" x14ac:dyDescent="0.25">
      <c r="A449" s="1955"/>
      <c r="B449" s="1955"/>
      <c r="D449" s="1929"/>
      <c r="E449" s="240"/>
      <c r="G449" s="432"/>
      <c r="H449" s="240"/>
      <c r="I449" s="240"/>
      <c r="J449" s="236"/>
      <c r="K449" s="1930"/>
      <c r="L449" s="432"/>
      <c r="M449" s="1931"/>
      <c r="N449" s="236"/>
    </row>
    <row r="450" spans="1:14" s="60" customFormat="1" ht="15.75" customHeight="1" x14ac:dyDescent="0.25">
      <c r="A450" s="1955"/>
      <c r="B450" s="1955"/>
      <c r="D450" s="1929"/>
      <c r="E450" s="240"/>
      <c r="G450" s="432"/>
      <c r="H450" s="240"/>
      <c r="I450" s="240"/>
      <c r="J450" s="236"/>
      <c r="K450" s="1930"/>
      <c r="L450" s="432"/>
      <c r="M450" s="1931"/>
      <c r="N450" s="236"/>
    </row>
    <row r="451" spans="1:14" s="60" customFormat="1" ht="15.75" customHeight="1" x14ac:dyDescent="0.25">
      <c r="A451" s="1955"/>
      <c r="B451" s="1955"/>
      <c r="D451" s="1929"/>
      <c r="E451" s="240"/>
      <c r="G451" s="432"/>
      <c r="H451" s="240"/>
      <c r="I451" s="240"/>
      <c r="J451" s="236"/>
      <c r="K451" s="1930"/>
      <c r="L451" s="432"/>
      <c r="M451" s="1931"/>
      <c r="N451" s="236"/>
    </row>
    <row r="452" spans="1:14" s="60" customFormat="1" ht="15.75" customHeight="1" x14ac:dyDescent="0.25">
      <c r="A452" s="1955"/>
      <c r="B452" s="1955"/>
      <c r="D452" s="1929"/>
      <c r="E452" s="240"/>
      <c r="G452" s="432"/>
      <c r="H452" s="240"/>
      <c r="I452" s="240"/>
      <c r="J452" s="236"/>
      <c r="K452" s="1930"/>
      <c r="L452" s="432"/>
      <c r="M452" s="1931"/>
      <c r="N452" s="236"/>
    </row>
    <row r="453" spans="1:14" s="60" customFormat="1" ht="15.75" customHeight="1" x14ac:dyDescent="0.25">
      <c r="A453" s="1955"/>
      <c r="B453" s="1955"/>
      <c r="D453" s="1929"/>
      <c r="E453" s="240"/>
      <c r="G453" s="432"/>
      <c r="H453" s="240"/>
      <c r="I453" s="240"/>
      <c r="J453" s="236"/>
      <c r="K453" s="1930"/>
      <c r="L453" s="432"/>
      <c r="M453" s="1931"/>
      <c r="N453" s="236"/>
    </row>
    <row r="454" spans="1:14" s="60" customFormat="1" ht="15.75" customHeight="1" x14ac:dyDescent="0.25">
      <c r="A454" s="1955"/>
      <c r="B454" s="1955"/>
      <c r="D454" s="1929"/>
      <c r="E454" s="240"/>
      <c r="G454" s="432"/>
      <c r="H454" s="240"/>
      <c r="I454" s="240"/>
      <c r="J454" s="236"/>
      <c r="K454" s="1930"/>
      <c r="L454" s="432"/>
      <c r="M454" s="1931"/>
      <c r="N454" s="236"/>
    </row>
    <row r="455" spans="1:14" s="60" customFormat="1" ht="15.75" customHeight="1" x14ac:dyDescent="0.25">
      <c r="A455" s="1955"/>
      <c r="B455" s="1955"/>
      <c r="D455" s="1929"/>
      <c r="E455" s="240"/>
      <c r="G455" s="432"/>
      <c r="H455" s="240"/>
      <c r="I455" s="240"/>
      <c r="J455" s="236"/>
      <c r="K455" s="1930"/>
      <c r="L455" s="432"/>
      <c r="M455" s="1931"/>
      <c r="N455" s="236"/>
    </row>
    <row r="456" spans="1:14" s="60" customFormat="1" ht="15.75" customHeight="1" x14ac:dyDescent="0.25">
      <c r="A456" s="1955"/>
      <c r="B456" s="1955"/>
      <c r="D456" s="1929"/>
      <c r="E456" s="240"/>
      <c r="G456" s="432"/>
      <c r="H456" s="240"/>
      <c r="I456" s="240"/>
      <c r="J456" s="236"/>
      <c r="K456" s="1930"/>
      <c r="L456" s="432"/>
      <c r="M456" s="1931"/>
      <c r="N456" s="236"/>
    </row>
    <row r="457" spans="1:14" s="60" customFormat="1" ht="15.75" customHeight="1" x14ac:dyDescent="0.25">
      <c r="A457" s="1955"/>
      <c r="B457" s="1955"/>
      <c r="D457" s="1929"/>
      <c r="E457" s="240"/>
      <c r="G457" s="432"/>
      <c r="H457" s="240"/>
      <c r="I457" s="240"/>
      <c r="J457" s="236"/>
      <c r="K457" s="1930"/>
      <c r="L457" s="432"/>
      <c r="M457" s="1931"/>
      <c r="N457" s="236"/>
    </row>
    <row r="458" spans="1:14" s="60" customFormat="1" ht="15.75" customHeight="1" x14ac:dyDescent="0.25">
      <c r="A458" s="1955"/>
      <c r="B458" s="1955"/>
      <c r="D458" s="1929"/>
      <c r="E458" s="240"/>
      <c r="G458" s="432"/>
      <c r="H458" s="240"/>
      <c r="I458" s="240"/>
      <c r="J458" s="236"/>
      <c r="K458" s="1930"/>
      <c r="L458" s="432"/>
      <c r="M458" s="1931"/>
      <c r="N458" s="236"/>
    </row>
    <row r="459" spans="1:14" s="60" customFormat="1" ht="15.75" customHeight="1" x14ac:dyDescent="0.25">
      <c r="A459" s="1955"/>
      <c r="B459" s="1955"/>
      <c r="D459" s="1929"/>
      <c r="E459" s="240"/>
      <c r="G459" s="432"/>
      <c r="H459" s="240"/>
      <c r="I459" s="240"/>
      <c r="J459" s="236"/>
      <c r="K459" s="1930"/>
      <c r="L459" s="432"/>
      <c r="M459" s="1931"/>
      <c r="N459" s="236"/>
    </row>
    <row r="460" spans="1:14" x14ac:dyDescent="0.25">
      <c r="A460" s="50" t="s">
        <v>1415</v>
      </c>
      <c r="B460" s="50"/>
      <c r="C460" s="1825"/>
      <c r="D460" s="1876">
        <v>47848</v>
      </c>
      <c r="F460" s="50"/>
      <c r="G460" s="50"/>
      <c r="H460" s="50"/>
      <c r="I460" s="50"/>
      <c r="J460" s="50"/>
      <c r="K460" s="50"/>
      <c r="L460" s="50"/>
      <c r="M460" s="50"/>
    </row>
    <row r="461" spans="1:14" x14ac:dyDescent="0.25">
      <c r="N461" s="49"/>
    </row>
    <row r="462" spans="1:14" s="49" customFormat="1" ht="66.75" customHeight="1" x14ac:dyDescent="0.25">
      <c r="A462" s="2064" t="s">
        <v>344</v>
      </c>
      <c r="B462" s="2066" t="s">
        <v>3</v>
      </c>
      <c r="C462" s="2066" t="s">
        <v>66</v>
      </c>
      <c r="D462" s="1789" t="s">
        <v>335</v>
      </c>
      <c r="E462" s="1810" t="s">
        <v>342</v>
      </c>
      <c r="F462" s="2219" t="s">
        <v>334</v>
      </c>
      <c r="G462" s="2221" t="s">
        <v>343</v>
      </c>
      <c r="H462" s="2211" t="s">
        <v>7</v>
      </c>
      <c r="I462" s="2211" t="s">
        <v>1410</v>
      </c>
      <c r="J462" s="2010" t="s">
        <v>54</v>
      </c>
      <c r="K462" s="2213" t="s">
        <v>1444</v>
      </c>
      <c r="L462" s="2202" t="s">
        <v>1411</v>
      </c>
      <c r="M462" s="2223" t="s">
        <v>1412</v>
      </c>
      <c r="N462" s="2012" t="s">
        <v>1433</v>
      </c>
    </row>
    <row r="463" spans="1:14" s="2" customFormat="1" ht="29.25" customHeight="1" x14ac:dyDescent="0.25">
      <c r="A463" s="2065"/>
      <c r="B463" s="2067"/>
      <c r="C463" s="2067"/>
      <c r="D463" s="699">
        <f ca="1">TODAY()</f>
        <v>44607</v>
      </c>
      <c r="E463" s="1811">
        <v>365.25</v>
      </c>
      <c r="F463" s="2220"/>
      <c r="G463" s="2222"/>
      <c r="H463" s="2212"/>
      <c r="I463" s="2212"/>
      <c r="J463" s="2011"/>
      <c r="K463" s="2214"/>
      <c r="L463" s="2203"/>
      <c r="M463" s="2224"/>
      <c r="N463" s="2013"/>
    </row>
    <row r="464" spans="1:14" x14ac:dyDescent="0.25">
      <c r="A464" s="694" t="s">
        <v>336</v>
      </c>
      <c r="B464" s="196"/>
      <c r="C464" s="695"/>
      <c r="D464" s="696"/>
      <c r="E464" s="17"/>
      <c r="F464" s="1807"/>
      <c r="G464" s="1808"/>
      <c r="H464" s="17"/>
      <c r="I464" s="472"/>
      <c r="J464" s="787"/>
      <c r="K464" s="1809"/>
      <c r="L464" s="472"/>
      <c r="M464" s="1809"/>
      <c r="N464" s="458"/>
    </row>
    <row r="465" spans="1:14" s="7" customFormat="1" x14ac:dyDescent="0.25">
      <c r="A465" s="686" t="s">
        <v>38</v>
      </c>
      <c r="B465" s="99" t="s">
        <v>339</v>
      </c>
      <c r="C465" s="192">
        <v>42366</v>
      </c>
      <c r="D465" s="682">
        <f t="shared" ref="D465:D477" ca="1" si="62">($D$4-C465)/365.25</f>
        <v>6.1355236139630387</v>
      </c>
      <c r="E465" s="12">
        <v>15</v>
      </c>
      <c r="F465" s="1797">
        <f t="shared" ref="F465:F477" si="63">C465+(E465*$E$4)</f>
        <v>47844.75</v>
      </c>
      <c r="G465" s="1827" t="s">
        <v>1416</v>
      </c>
      <c r="H465" s="1283"/>
      <c r="I465" s="1283"/>
      <c r="J465" s="754"/>
      <c r="K465" s="1802"/>
      <c r="L465" s="141"/>
      <c r="M465" s="1794"/>
      <c r="N465" s="1919"/>
    </row>
    <row r="466" spans="1:14" s="1044" customFormat="1" x14ac:dyDescent="0.25">
      <c r="A466" s="684" t="s">
        <v>164</v>
      </c>
      <c r="B466" s="101" t="s">
        <v>17</v>
      </c>
      <c r="C466" s="192">
        <v>42913</v>
      </c>
      <c r="D466" s="682">
        <f t="shared" ca="1" si="62"/>
        <v>4.6379192334017798</v>
      </c>
      <c r="E466" s="1283">
        <v>14</v>
      </c>
      <c r="F466" s="1797">
        <f t="shared" si="63"/>
        <v>48026.5</v>
      </c>
      <c r="G466" s="1798"/>
      <c r="H466" s="1283">
        <f ca="1">VLOOKUP(A466,Prehľad!$B$1:$BN$27,11,FALSE)</f>
        <v>25956.036304604484</v>
      </c>
      <c r="I466" s="1283">
        <f ca="1">H466</f>
        <v>25956.036304604484</v>
      </c>
      <c r="J466" s="755">
        <f>VLOOKUP(A466,Prehľad!$B$1:$BN$27,28,FALSE)</f>
        <v>6.8422129340599254</v>
      </c>
      <c r="K466" s="1802">
        <f ca="1">I466/100*J466</f>
        <v>1775.9672732029378</v>
      </c>
      <c r="L466" s="141">
        <v>9.2113292065675506E-2</v>
      </c>
      <c r="M466" s="1794">
        <f ca="1">I466*L466</f>
        <v>2390.8959529933095</v>
      </c>
      <c r="N466" s="1920">
        <f ca="1">26.83*I466/1000</f>
        <v>696.40045405253829</v>
      </c>
    </row>
    <row r="467" spans="1:14" s="7" customFormat="1" x14ac:dyDescent="0.25">
      <c r="A467" s="1396" t="s">
        <v>215</v>
      </c>
      <c r="B467" s="101" t="s">
        <v>218</v>
      </c>
      <c r="C467" s="192">
        <v>43160</v>
      </c>
      <c r="D467" s="682">
        <f t="shared" ca="1" si="62"/>
        <v>3.9616700889801506</v>
      </c>
      <c r="E467" s="1283">
        <v>14</v>
      </c>
      <c r="F467" s="1797">
        <f t="shared" si="63"/>
        <v>48273.5</v>
      </c>
      <c r="G467" s="1798"/>
      <c r="H467" s="1283">
        <f ca="1">VLOOKUP(A467,Prehľad!$B$1:$BN$27,11,FALSE)</f>
        <v>11260.150138217001</v>
      </c>
      <c r="I467" s="1283">
        <f ca="1">H467</f>
        <v>11260.150138217001</v>
      </c>
      <c r="J467" s="755">
        <f>VLOOKUP(A467,Prehľad!$B$1:$BN$27,28,FALSE)</f>
        <v>20.894241671290384</v>
      </c>
      <c r="K467" s="1802">
        <f ca="1">I467/100*J467</f>
        <v>2352.7229824291985</v>
      </c>
      <c r="L467" s="141">
        <v>0.28791426434757439</v>
      </c>
      <c r="M467" s="1794">
        <f ca="1">I467*L467</f>
        <v>3241.9578434879859</v>
      </c>
      <c r="N467" s="1920">
        <f ca="1">26.83*I467/1000</f>
        <v>302.1098282083621</v>
      </c>
    </row>
    <row r="468" spans="1:14" s="7" customFormat="1" x14ac:dyDescent="0.25">
      <c r="A468" s="1396" t="s">
        <v>1139</v>
      </c>
      <c r="B468" s="101" t="s">
        <v>1137</v>
      </c>
      <c r="C468" s="192">
        <v>44004</v>
      </c>
      <c r="D468" s="682">
        <f t="shared" ca="1" si="62"/>
        <v>1.6509240246406571</v>
      </c>
      <c r="E468" s="1283">
        <v>13</v>
      </c>
      <c r="F468" s="1797">
        <f t="shared" si="63"/>
        <v>48752.25</v>
      </c>
      <c r="G468" s="1798"/>
      <c r="H468" s="1283">
        <f ca="1">VLOOKUP(A468,Prehľad!$B$1:$BN$27,11,FALSE)</f>
        <v>5976.6529850746265</v>
      </c>
      <c r="I468" s="1283">
        <f ca="1">H468</f>
        <v>5976.6529850746265</v>
      </c>
      <c r="J468" s="755">
        <f>VLOOKUP(A468,Prehľad!$B$1:$BN$27,28,FALSE)</f>
        <v>10.346293119878025</v>
      </c>
      <c r="K468" s="1802">
        <f ca="1">I468/100*J468</f>
        <v>618.36203659376065</v>
      </c>
      <c r="L468" s="141">
        <v>0.13184295788069372</v>
      </c>
      <c r="M468" s="1794">
        <f ca="1">I468*L468</f>
        <v>787.9796077787164</v>
      </c>
      <c r="N468" s="1920">
        <f ca="1">26.83*I468/1000</f>
        <v>160.3535995895522</v>
      </c>
    </row>
    <row r="469" spans="1:14" s="1838" customFormat="1" x14ac:dyDescent="0.25">
      <c r="A469" s="1828" t="s">
        <v>1417</v>
      </c>
      <c r="B469" s="1829" t="s">
        <v>1418</v>
      </c>
      <c r="C469" s="1839">
        <v>44926</v>
      </c>
      <c r="D469" s="1831">
        <f t="shared" ca="1" si="62"/>
        <v>-0.87337440109514031</v>
      </c>
      <c r="E469" s="1832">
        <v>12</v>
      </c>
      <c r="F469" s="1833">
        <f t="shared" si="63"/>
        <v>49309</v>
      </c>
      <c r="G469" s="1834"/>
      <c r="H469" s="1832">
        <f ca="1">$H$52</f>
        <v>14925.612569718405</v>
      </c>
      <c r="I469" s="1832">
        <v>0</v>
      </c>
      <c r="J469" s="1835">
        <v>0</v>
      </c>
      <c r="K469" s="1836">
        <v>0</v>
      </c>
      <c r="L469" s="1837">
        <v>0</v>
      </c>
      <c r="M469" s="1926">
        <v>0</v>
      </c>
      <c r="N469" s="1923">
        <v>0</v>
      </c>
    </row>
    <row r="470" spans="1:14" s="1838" customFormat="1" x14ac:dyDescent="0.25">
      <c r="A470" s="1828" t="s">
        <v>1417</v>
      </c>
      <c r="B470" s="1829" t="s">
        <v>1419</v>
      </c>
      <c r="C470" s="1839">
        <v>45291</v>
      </c>
      <c r="D470" s="1831">
        <f t="shared" ca="1" si="62"/>
        <v>-1.8726899383983573</v>
      </c>
      <c r="E470" s="1832">
        <v>12</v>
      </c>
      <c r="F470" s="1833">
        <f t="shared" si="63"/>
        <v>49674</v>
      </c>
      <c r="G470" s="1834"/>
      <c r="H470" s="1832">
        <f ca="1">$H$99</f>
        <v>11223.957389580974</v>
      </c>
      <c r="I470" s="1832">
        <v>0</v>
      </c>
      <c r="J470" s="1835">
        <v>0</v>
      </c>
      <c r="K470" s="1836">
        <v>0</v>
      </c>
      <c r="L470" s="1837">
        <v>0</v>
      </c>
      <c r="M470" s="1926">
        <v>0</v>
      </c>
      <c r="N470" s="1923">
        <v>0</v>
      </c>
    </row>
    <row r="471" spans="1:14" s="1838" customFormat="1" x14ac:dyDescent="0.25">
      <c r="A471" s="1828" t="s">
        <v>1417</v>
      </c>
      <c r="B471" s="1829" t="s">
        <v>1427</v>
      </c>
      <c r="C471" s="1839">
        <v>45657</v>
      </c>
      <c r="D471" s="1831">
        <f t="shared" ca="1" si="62"/>
        <v>-2.8747433264887063</v>
      </c>
      <c r="E471" s="1832">
        <v>12</v>
      </c>
      <c r="F471" s="1833">
        <f t="shared" si="63"/>
        <v>50040</v>
      </c>
      <c r="G471" s="1834"/>
      <c r="H471" s="1832">
        <f ca="1">$H$145</f>
        <v>7769.9932656646497</v>
      </c>
      <c r="I471" s="1832">
        <v>0</v>
      </c>
      <c r="J471" s="1835">
        <v>0</v>
      </c>
      <c r="K471" s="1836">
        <v>0</v>
      </c>
      <c r="L471" s="1837">
        <v>0</v>
      </c>
      <c r="M471" s="1926">
        <v>0</v>
      </c>
      <c r="N471" s="1923">
        <v>0</v>
      </c>
    </row>
    <row r="472" spans="1:14" s="1838" customFormat="1" x14ac:dyDescent="0.25">
      <c r="A472" s="1828" t="s">
        <v>1417</v>
      </c>
      <c r="B472" s="1829" t="s">
        <v>1428</v>
      </c>
      <c r="C472" s="1839">
        <v>46022</v>
      </c>
      <c r="D472" s="1831">
        <f t="shared" ca="1" si="62"/>
        <v>-3.8740588637919235</v>
      </c>
      <c r="E472" s="1832">
        <v>12</v>
      </c>
      <c r="F472" s="1833">
        <f t="shared" si="63"/>
        <v>50405</v>
      </c>
      <c r="G472" s="1834"/>
      <c r="H472" s="1832">
        <f ca="1">$H$190</f>
        <v>13676.443130481</v>
      </c>
      <c r="I472" s="1832">
        <v>0</v>
      </c>
      <c r="J472" s="1835">
        <v>0</v>
      </c>
      <c r="K472" s="1836">
        <v>0</v>
      </c>
      <c r="L472" s="1837">
        <v>0</v>
      </c>
      <c r="M472" s="1926">
        <v>0</v>
      </c>
      <c r="N472" s="1923">
        <v>0</v>
      </c>
    </row>
    <row r="473" spans="1:14" s="1900" customFormat="1" x14ac:dyDescent="0.25">
      <c r="A473" s="1890" t="s">
        <v>1417</v>
      </c>
      <c r="B473" s="1891" t="s">
        <v>1430</v>
      </c>
      <c r="C473" s="1892">
        <v>46387</v>
      </c>
      <c r="D473" s="1893">
        <f t="shared" ca="1" si="62"/>
        <v>-4.8733744010951403</v>
      </c>
      <c r="E473" s="1894">
        <v>12</v>
      </c>
      <c r="F473" s="1895">
        <f t="shared" si="63"/>
        <v>50770</v>
      </c>
      <c r="G473" s="1896"/>
      <c r="H473" s="1894">
        <f ca="1">$H$236</f>
        <v>26706.803659539473</v>
      </c>
      <c r="I473" s="1894">
        <f ca="1">H473/3*2</f>
        <v>17804.535773026317</v>
      </c>
      <c r="J473" s="1897">
        <f>$J$236/100*90</f>
        <v>5.7921827233819547</v>
      </c>
      <c r="K473" s="1898">
        <f ca="1">I473/100*J473</f>
        <v>1031.2712450235902</v>
      </c>
      <c r="L473" s="1899">
        <f>$L$236/3*2</f>
        <v>5.0419832882056655E-2</v>
      </c>
      <c r="M473" s="1928">
        <f ca="1">I473*L473</f>
        <v>897.70171821858628</v>
      </c>
      <c r="N473" s="1927">
        <f ca="1">((26.83+23.38)/2)*I473/1000</f>
        <v>446.98287058182564</v>
      </c>
    </row>
    <row r="474" spans="1:14" s="1900" customFormat="1" x14ac:dyDescent="0.25">
      <c r="A474" s="1890" t="s">
        <v>1417</v>
      </c>
      <c r="B474" s="1891" t="s">
        <v>1435</v>
      </c>
      <c r="C474" s="1892">
        <v>46752</v>
      </c>
      <c r="D474" s="1893">
        <f t="shared" ca="1" si="62"/>
        <v>-5.8726899383983575</v>
      </c>
      <c r="E474" s="1894">
        <v>12</v>
      </c>
      <c r="F474" s="1895">
        <f t="shared" si="63"/>
        <v>51135</v>
      </c>
      <c r="G474" s="1896"/>
      <c r="H474" s="1894">
        <f ca="1">$H$282</f>
        <v>23634.669242029926</v>
      </c>
      <c r="I474" s="1894">
        <f ca="1">H474/3*2</f>
        <v>15756.446161353284</v>
      </c>
      <c r="J474" s="1897">
        <f>$J$282/100*90</f>
        <v>6.0804839654735146</v>
      </c>
      <c r="K474" s="1898">
        <f ca="1">I474/100*J474</f>
        <v>958.06818236955348</v>
      </c>
      <c r="L474" s="1899">
        <f>$L$282/3*2</f>
        <v>5.9839377800321232E-2</v>
      </c>
      <c r="M474" s="1928">
        <f ca="1">I474*L474</f>
        <v>942.8559346396404</v>
      </c>
      <c r="N474" s="1927">
        <f ca="1">((26.83+23.38)/2)*I474/1000</f>
        <v>395.56558088077412</v>
      </c>
    </row>
    <row r="475" spans="1:14" s="1900" customFormat="1" x14ac:dyDescent="0.25">
      <c r="A475" s="1890" t="s">
        <v>1417</v>
      </c>
      <c r="B475" s="1891" t="s">
        <v>1437</v>
      </c>
      <c r="C475" s="1892">
        <v>47118</v>
      </c>
      <c r="D475" s="1893">
        <f t="shared" ca="1" si="62"/>
        <v>-6.8747433264887068</v>
      </c>
      <c r="E475" s="1894">
        <v>12</v>
      </c>
      <c r="F475" s="1895">
        <f t="shared" si="63"/>
        <v>51501</v>
      </c>
      <c r="G475" s="1896"/>
      <c r="H475" s="1894">
        <f ca="1">$H$328</f>
        <v>19060.602676864244</v>
      </c>
      <c r="I475" s="1894">
        <f ca="1">H475/3*2</f>
        <v>12707.068451242829</v>
      </c>
      <c r="J475" s="1897">
        <f>$J$328/100*90</f>
        <v>4.7779390348638913</v>
      </c>
      <c r="K475" s="1898">
        <f ca="1">I475/100*J475</f>
        <v>607.13598371880562</v>
      </c>
      <c r="L475" s="1899">
        <f>$L$328/3*2</f>
        <v>4.2945727171265817E-2</v>
      </c>
      <c r="M475" s="1928">
        <f ca="1">I475*L475</f>
        <v>545.71429485367378</v>
      </c>
      <c r="N475" s="1927">
        <f ca="1">((26.83+23.38)/2)*I475/1000</f>
        <v>319.01095346845113</v>
      </c>
    </row>
    <row r="476" spans="1:14" s="1900" customFormat="1" x14ac:dyDescent="0.25">
      <c r="A476" s="1890" t="s">
        <v>1417</v>
      </c>
      <c r="B476" s="1891" t="s">
        <v>1438</v>
      </c>
      <c r="C476" s="1892">
        <v>47483</v>
      </c>
      <c r="D476" s="1893">
        <f t="shared" ca="1" si="62"/>
        <v>-7.8740588637919231</v>
      </c>
      <c r="E476" s="1894">
        <v>12</v>
      </c>
      <c r="F476" s="1895">
        <f t="shared" si="63"/>
        <v>51866</v>
      </c>
      <c r="G476" s="1896"/>
      <c r="H476" s="1894">
        <f ca="1">$H$374</f>
        <v>26724.422478898265</v>
      </c>
      <c r="I476" s="1894">
        <f ca="1">H476/3*2</f>
        <v>17816.281652598842</v>
      </c>
      <c r="J476" s="1897">
        <f>$J$374/100*90</f>
        <v>5.8325344115371687</v>
      </c>
      <c r="K476" s="1898">
        <f ca="1">I476/100*J476</f>
        <v>1039.1407582442105</v>
      </c>
      <c r="L476" s="1899">
        <f>$L$374/3*2</f>
        <v>5.7347891031348679E-2</v>
      </c>
      <c r="M476" s="1928">
        <f ca="1">I476*L476</f>
        <v>1021.7261787970551</v>
      </c>
      <c r="N476" s="1927">
        <f ca="1">((26.83+23.38)/2)*I476/1000</f>
        <v>447.27775088849387</v>
      </c>
    </row>
    <row r="477" spans="1:14" s="1900" customFormat="1" x14ac:dyDescent="0.25">
      <c r="A477" s="1890" t="s">
        <v>1417</v>
      </c>
      <c r="B477" s="1891" t="s">
        <v>1440</v>
      </c>
      <c r="C477" s="1892">
        <v>47848</v>
      </c>
      <c r="D477" s="1893">
        <f t="shared" ca="1" si="62"/>
        <v>-8.8733744010951412</v>
      </c>
      <c r="E477" s="1894">
        <v>12</v>
      </c>
      <c r="F477" s="1895">
        <f t="shared" si="63"/>
        <v>52231</v>
      </c>
      <c r="G477" s="1896">
        <v>40000</v>
      </c>
      <c r="H477" s="1894">
        <f ca="1">$H$420</f>
        <v>31085.855421686749</v>
      </c>
      <c r="I477" s="1894">
        <f ca="1">H477/3*2</f>
        <v>20723.903614457831</v>
      </c>
      <c r="J477" s="1897">
        <f>$J$420/100*90</f>
        <v>5.8061208661267116</v>
      </c>
      <c r="K477" s="1898">
        <f ca="1">I477/100*J477</f>
        <v>1203.2548920350239</v>
      </c>
      <c r="L477" s="1899">
        <f>$L$420/3*2</f>
        <v>5.2859837166821355E-2</v>
      </c>
      <c r="M477" s="1928">
        <f ca="1">I477*L477</f>
        <v>1095.4621705211414</v>
      </c>
      <c r="N477" s="1927">
        <f ca="1">((26.83+23.38)/2)*I477/1000</f>
        <v>520.27360024096379</v>
      </c>
    </row>
    <row r="478" spans="1:14" x14ac:dyDescent="0.25">
      <c r="A478" s="700"/>
      <c r="B478" s="202"/>
      <c r="C478" s="701"/>
      <c r="D478" s="702"/>
      <c r="E478" s="1812"/>
      <c r="F478" s="1813"/>
      <c r="G478" s="1814"/>
      <c r="H478" s="1812"/>
      <c r="I478" s="1733"/>
      <c r="J478" s="1815"/>
      <c r="K478" s="1816"/>
      <c r="L478" s="1733"/>
      <c r="M478" s="1816"/>
      <c r="N478" s="1921"/>
    </row>
    <row r="479" spans="1:14" s="50" customFormat="1" ht="15.75" customHeight="1" x14ac:dyDescent="0.25">
      <c r="A479" s="2215" t="s">
        <v>85</v>
      </c>
      <c r="B479" s="2216"/>
      <c r="C479" s="1817"/>
      <c r="D479" s="1822"/>
      <c r="E479" s="1819"/>
      <c r="F479" s="1817"/>
      <c r="G479" s="1818">
        <f>SUM(G465:G478)</f>
        <v>40000</v>
      </c>
      <c r="H479" s="1819">
        <f ca="1">SUM(H465:H478)</f>
        <v>218001.19926235979</v>
      </c>
      <c r="I479" s="1819">
        <f ca="1">SUM(I465:I478)</f>
        <v>128001.07508057522</v>
      </c>
      <c r="J479" s="1820"/>
      <c r="K479" s="1821">
        <f ca="1">SUM(K465:K478)</f>
        <v>9585.9233536170796</v>
      </c>
      <c r="L479" s="1817"/>
      <c r="M479" s="1924">
        <f ca="1">SUM(M465:M478)</f>
        <v>10924.293701290106</v>
      </c>
      <c r="N479" s="1889">
        <f ca="1">SUM(N464:N478)</f>
        <v>3287.9746379109611</v>
      </c>
    </row>
    <row r="480" spans="1:14" s="50" customFormat="1" ht="15.75" customHeight="1" x14ac:dyDescent="0.25">
      <c r="A480" s="2217" t="s">
        <v>1413</v>
      </c>
      <c r="B480" s="2218"/>
      <c r="C480" s="1803"/>
      <c r="D480" s="1823">
        <f ca="1">AVERAGE(D465:D478)</f>
        <v>-2.1136208076659821</v>
      </c>
      <c r="E480" s="1805">
        <f>AVERAGE(E465:E478)</f>
        <v>12.615384615384615</v>
      </c>
      <c r="F480" s="1803"/>
      <c r="G480" s="1804">
        <f t="shared" ref="G480:N480" si="64">AVERAGE(G465:G478)</f>
        <v>40000</v>
      </c>
      <c r="H480" s="1805">
        <f t="shared" ca="1" si="64"/>
        <v>18166.766605196648</v>
      </c>
      <c r="I480" s="1805">
        <f t="shared" ca="1" si="64"/>
        <v>10666.756256714601</v>
      </c>
      <c r="J480" s="1806">
        <f t="shared" si="64"/>
        <v>5.5310007272176307</v>
      </c>
      <c r="K480" s="1824">
        <f t="shared" ca="1" si="64"/>
        <v>798.82694613475667</v>
      </c>
      <c r="L480" s="1804">
        <f t="shared" si="64"/>
        <v>6.4606931695479777E-2</v>
      </c>
      <c r="M480" s="1925">
        <f t="shared" ca="1" si="64"/>
        <v>910.35780844084218</v>
      </c>
      <c r="N480" s="1922">
        <f t="shared" ca="1" si="64"/>
        <v>273.99788649258011</v>
      </c>
    </row>
    <row r="481" spans="1:14" s="60" customFormat="1" ht="15.75" customHeight="1" x14ac:dyDescent="0.25">
      <c r="A481" s="1790"/>
      <c r="B481" s="1790"/>
      <c r="D481" s="1929"/>
      <c r="E481" s="240"/>
      <c r="G481" s="432"/>
      <c r="H481" s="240"/>
      <c r="I481" s="240"/>
      <c r="J481" s="236"/>
      <c r="K481" s="1930"/>
      <c r="L481" s="432"/>
      <c r="M481" s="1931"/>
      <c r="N481" s="236"/>
    </row>
    <row r="482" spans="1:14" s="60" customFormat="1" ht="15.75" customHeight="1" x14ac:dyDescent="0.25">
      <c r="A482" s="1955"/>
      <c r="B482" s="1955"/>
      <c r="D482" s="1929"/>
      <c r="E482" s="240"/>
      <c r="G482" s="432"/>
      <c r="H482" s="240"/>
      <c r="I482" s="240"/>
      <c r="J482" s="236"/>
      <c r="K482" s="1930"/>
      <c r="L482" s="432"/>
      <c r="M482" s="1931"/>
      <c r="N482" s="236"/>
    </row>
    <row r="483" spans="1:14" s="60" customFormat="1" ht="15.75" customHeight="1" x14ac:dyDescent="0.25">
      <c r="A483" s="1955"/>
      <c r="B483" s="1955"/>
      <c r="D483" s="1929"/>
      <c r="E483" s="240"/>
      <c r="G483" s="432"/>
      <c r="H483" s="240"/>
      <c r="I483" s="240"/>
      <c r="J483" s="236"/>
      <c r="K483" s="1930"/>
      <c r="L483" s="432"/>
      <c r="M483" s="1931"/>
      <c r="N483" s="236"/>
    </row>
    <row r="484" spans="1:14" s="60" customFormat="1" ht="15.75" customHeight="1" x14ac:dyDescent="0.25">
      <c r="A484" s="1955"/>
      <c r="B484" s="1955"/>
      <c r="D484" s="1929"/>
      <c r="E484" s="240"/>
      <c r="G484" s="432"/>
      <c r="H484" s="240"/>
      <c r="I484" s="240"/>
      <c r="J484" s="236"/>
      <c r="K484" s="1930"/>
      <c r="L484" s="432"/>
      <c r="M484" s="1931"/>
      <c r="N484" s="236"/>
    </row>
    <row r="485" spans="1:14" s="60" customFormat="1" ht="15.75" customHeight="1" x14ac:dyDescent="0.25">
      <c r="A485" s="1955"/>
      <c r="B485" s="1955"/>
      <c r="D485" s="1929"/>
      <c r="E485" s="240"/>
      <c r="G485" s="432"/>
      <c r="H485" s="240"/>
      <c r="I485" s="240"/>
      <c r="J485" s="236"/>
      <c r="K485" s="1930"/>
      <c r="L485" s="432"/>
      <c r="M485" s="1931"/>
      <c r="N485" s="236"/>
    </row>
    <row r="486" spans="1:14" s="60" customFormat="1" ht="15.75" customHeight="1" x14ac:dyDescent="0.25">
      <c r="A486" s="1955"/>
      <c r="B486" s="1955"/>
      <c r="D486" s="1929"/>
      <c r="E486" s="240"/>
      <c r="G486" s="432"/>
      <c r="H486" s="240"/>
      <c r="I486" s="240"/>
      <c r="J486" s="236"/>
      <c r="K486" s="1930"/>
      <c r="L486" s="432"/>
      <c r="M486" s="1931"/>
      <c r="N486" s="236"/>
    </row>
    <row r="487" spans="1:14" s="60" customFormat="1" ht="15.75" customHeight="1" x14ac:dyDescent="0.25">
      <c r="A487" s="1955"/>
      <c r="B487" s="1955"/>
      <c r="D487" s="1929"/>
      <c r="E487" s="240"/>
      <c r="G487" s="432"/>
      <c r="H487" s="240"/>
      <c r="I487" s="240"/>
      <c r="J487" s="236"/>
      <c r="K487" s="1930"/>
      <c r="L487" s="432"/>
      <c r="M487" s="1931"/>
      <c r="N487" s="236"/>
    </row>
    <row r="488" spans="1:14" s="60" customFormat="1" ht="15.75" customHeight="1" x14ac:dyDescent="0.25">
      <c r="A488" s="1955"/>
      <c r="B488" s="1955"/>
      <c r="D488" s="1929"/>
      <c r="E488" s="240"/>
      <c r="G488" s="432"/>
      <c r="H488" s="240"/>
      <c r="I488" s="240"/>
      <c r="J488" s="236"/>
      <c r="K488" s="1930"/>
      <c r="L488" s="432"/>
      <c r="M488" s="1931"/>
      <c r="N488" s="236"/>
    </row>
    <row r="489" spans="1:14" s="60" customFormat="1" ht="15.75" customHeight="1" x14ac:dyDescent="0.25">
      <c r="A489" s="1955"/>
      <c r="B489" s="1955"/>
      <c r="D489" s="1929"/>
      <c r="E489" s="240"/>
      <c r="G489" s="432"/>
      <c r="H489" s="240"/>
      <c r="I489" s="240"/>
      <c r="J489" s="236"/>
      <c r="K489" s="1930"/>
      <c r="L489" s="432"/>
      <c r="M489" s="1931"/>
      <c r="N489" s="236"/>
    </row>
    <row r="490" spans="1:14" s="60" customFormat="1" ht="15.75" customHeight="1" x14ac:dyDescent="0.25">
      <c r="A490" s="1955"/>
      <c r="B490" s="1955"/>
      <c r="D490" s="1929"/>
      <c r="E490" s="240"/>
      <c r="G490" s="432"/>
      <c r="H490" s="240"/>
      <c r="I490" s="240"/>
      <c r="J490" s="236"/>
      <c r="K490" s="1930"/>
      <c r="L490" s="432"/>
      <c r="M490" s="1931"/>
      <c r="N490" s="236"/>
    </row>
    <row r="491" spans="1:14" s="60" customFormat="1" ht="15.75" customHeight="1" x14ac:dyDescent="0.25">
      <c r="A491" s="1955"/>
      <c r="B491" s="1955"/>
      <c r="D491" s="1929"/>
      <c r="E491" s="240"/>
      <c r="G491" s="432"/>
      <c r="H491" s="240"/>
      <c r="I491" s="240"/>
      <c r="J491" s="236"/>
      <c r="K491" s="1930"/>
      <c r="L491" s="432"/>
      <c r="M491" s="1931"/>
      <c r="N491" s="236"/>
    </row>
    <row r="492" spans="1:14" s="60" customFormat="1" ht="15.75" customHeight="1" x14ac:dyDescent="0.25">
      <c r="A492" s="1955"/>
      <c r="B492" s="1955"/>
      <c r="D492" s="1929"/>
      <c r="E492" s="240"/>
      <c r="G492" s="432"/>
      <c r="H492" s="240"/>
      <c r="I492" s="240"/>
      <c r="J492" s="236"/>
      <c r="K492" s="1930"/>
      <c r="L492" s="432"/>
      <c r="M492" s="1931"/>
      <c r="N492" s="236"/>
    </row>
    <row r="493" spans="1:14" s="60" customFormat="1" ht="15.75" customHeight="1" x14ac:dyDescent="0.25">
      <c r="A493" s="1955"/>
      <c r="B493" s="1955"/>
      <c r="D493" s="1929"/>
      <c r="E493" s="240"/>
      <c r="G493" s="432"/>
      <c r="H493" s="240"/>
      <c r="I493" s="240"/>
      <c r="J493" s="236"/>
      <c r="K493" s="1930"/>
      <c r="L493" s="432"/>
      <c r="M493" s="1931"/>
      <c r="N493" s="236"/>
    </row>
    <row r="494" spans="1:14" s="60" customFormat="1" ht="15.75" customHeight="1" x14ac:dyDescent="0.25">
      <c r="A494" s="1955"/>
      <c r="B494" s="1955"/>
      <c r="D494" s="1929"/>
      <c r="E494" s="240"/>
      <c r="G494" s="432"/>
      <c r="H494" s="240"/>
      <c r="I494" s="240"/>
      <c r="J494" s="236"/>
      <c r="K494" s="1930"/>
      <c r="L494" s="432"/>
      <c r="M494" s="1931"/>
      <c r="N494" s="236"/>
    </row>
    <row r="495" spans="1:14" s="60" customFormat="1" ht="15.75" customHeight="1" x14ac:dyDescent="0.25">
      <c r="A495" s="1955"/>
      <c r="B495" s="1955"/>
      <c r="D495" s="1929"/>
      <c r="E495" s="240"/>
      <c r="G495" s="432"/>
      <c r="H495" s="240"/>
      <c r="I495" s="240"/>
      <c r="J495" s="236"/>
      <c r="K495" s="1930"/>
      <c r="L495" s="432"/>
      <c r="M495" s="1931"/>
      <c r="N495" s="236"/>
    </row>
    <row r="496" spans="1:14" s="60" customFormat="1" ht="15.75" customHeight="1" x14ac:dyDescent="0.25">
      <c r="A496" s="1955"/>
      <c r="B496" s="1955"/>
      <c r="D496" s="1929"/>
      <c r="E496" s="240"/>
      <c r="G496" s="432"/>
      <c r="H496" s="240"/>
      <c r="I496" s="240"/>
      <c r="J496" s="236"/>
      <c r="K496" s="1930"/>
      <c r="L496" s="432"/>
      <c r="M496" s="1931"/>
      <c r="N496" s="236"/>
    </row>
    <row r="497" spans="1:14" s="60" customFormat="1" ht="15.75" customHeight="1" x14ac:dyDescent="0.25">
      <c r="A497" s="1955"/>
      <c r="B497" s="1955"/>
      <c r="D497" s="1929"/>
      <c r="E497" s="240"/>
      <c r="G497" s="432"/>
      <c r="H497" s="240"/>
      <c r="I497" s="240"/>
      <c r="J497" s="236"/>
      <c r="K497" s="1930"/>
      <c r="L497" s="432"/>
      <c r="M497" s="1931"/>
      <c r="N497" s="236"/>
    </row>
    <row r="498" spans="1:14" s="60" customFormat="1" ht="15.75" customHeight="1" x14ac:dyDescent="0.25">
      <c r="A498" s="1955"/>
      <c r="B498" s="1955"/>
      <c r="D498" s="1929"/>
      <c r="E498" s="240"/>
      <c r="G498" s="432"/>
      <c r="H498" s="240"/>
      <c r="I498" s="240"/>
      <c r="J498" s="236"/>
      <c r="K498" s="1930"/>
      <c r="L498" s="432"/>
      <c r="M498" s="1931"/>
      <c r="N498" s="236"/>
    </row>
    <row r="499" spans="1:14" s="60" customFormat="1" ht="15.75" customHeight="1" x14ac:dyDescent="0.25">
      <c r="A499" s="1955"/>
      <c r="B499" s="1955"/>
      <c r="D499" s="1929"/>
      <c r="E499" s="240"/>
      <c r="G499" s="432"/>
      <c r="H499" s="240"/>
      <c r="I499" s="240"/>
      <c r="J499" s="236"/>
      <c r="K499" s="1930"/>
      <c r="L499" s="432"/>
      <c r="M499" s="1931"/>
      <c r="N499" s="236"/>
    </row>
    <row r="500" spans="1:14" s="60" customFormat="1" ht="15.75" customHeight="1" x14ac:dyDescent="0.25">
      <c r="A500" s="1955"/>
      <c r="B500" s="1955"/>
      <c r="D500" s="1929"/>
      <c r="E500" s="240"/>
      <c r="G500" s="432"/>
      <c r="H500" s="240"/>
      <c r="I500" s="240"/>
      <c r="J500" s="236"/>
      <c r="K500" s="1930"/>
      <c r="L500" s="432"/>
      <c r="M500" s="1931"/>
      <c r="N500" s="236"/>
    </row>
    <row r="501" spans="1:14" s="60" customFormat="1" ht="15.75" customHeight="1" x14ac:dyDescent="0.25">
      <c r="A501" s="1955"/>
      <c r="B501" s="1955"/>
      <c r="D501" s="1929"/>
      <c r="E501" s="240"/>
      <c r="G501" s="432"/>
      <c r="H501" s="240"/>
      <c r="I501" s="240"/>
      <c r="J501" s="236"/>
      <c r="K501" s="1930"/>
      <c r="L501" s="432"/>
      <c r="M501" s="1931"/>
      <c r="N501" s="236"/>
    </row>
    <row r="502" spans="1:14" s="60" customFormat="1" ht="15.75" customHeight="1" x14ac:dyDescent="0.25">
      <c r="A502" s="1955"/>
      <c r="B502" s="1955"/>
      <c r="D502" s="1929"/>
      <c r="E502" s="240"/>
      <c r="G502" s="432"/>
      <c r="H502" s="240"/>
      <c r="I502" s="240"/>
      <c r="J502" s="236"/>
      <c r="K502" s="1930"/>
      <c r="L502" s="432"/>
      <c r="M502" s="1931"/>
      <c r="N502" s="236"/>
    </row>
    <row r="503" spans="1:14" s="60" customFormat="1" ht="15.75" customHeight="1" x14ac:dyDescent="0.25">
      <c r="A503" s="1955"/>
      <c r="B503" s="1955"/>
      <c r="D503" s="1929"/>
      <c r="E503" s="240"/>
      <c r="G503" s="432"/>
      <c r="H503" s="240"/>
      <c r="I503" s="240"/>
      <c r="J503" s="236"/>
      <c r="K503" s="1930"/>
      <c r="L503" s="432"/>
      <c r="M503" s="1931"/>
      <c r="N503" s="236"/>
    </row>
    <row r="504" spans="1:14" s="60" customFormat="1" ht="15.75" customHeight="1" x14ac:dyDescent="0.25">
      <c r="A504" s="1955"/>
      <c r="B504" s="1955"/>
      <c r="D504" s="1929"/>
      <c r="E504" s="240"/>
      <c r="G504" s="432"/>
      <c r="H504" s="240"/>
      <c r="I504" s="240"/>
      <c r="J504" s="236"/>
      <c r="K504" s="1930"/>
      <c r="L504" s="432"/>
      <c r="M504" s="1931"/>
      <c r="N504" s="236"/>
    </row>
    <row r="505" spans="1:14" s="60" customFormat="1" ht="15.75" customHeight="1" x14ac:dyDescent="0.25">
      <c r="A505" s="1955"/>
      <c r="B505" s="1955"/>
      <c r="D505" s="1929"/>
      <c r="E505" s="240"/>
      <c r="G505" s="432"/>
      <c r="H505" s="240"/>
      <c r="I505" s="240"/>
      <c r="J505" s="236"/>
      <c r="K505" s="1930"/>
      <c r="L505" s="432"/>
      <c r="M505" s="1931"/>
      <c r="N505" s="236"/>
    </row>
    <row r="506" spans="1:14" x14ac:dyDescent="0.25">
      <c r="A506" s="50" t="s">
        <v>1415</v>
      </c>
      <c r="B506" s="50"/>
      <c r="C506" s="1825"/>
      <c r="D506" s="1876">
        <v>48213</v>
      </c>
      <c r="F506" s="50"/>
      <c r="G506" s="50"/>
      <c r="H506" s="50"/>
      <c r="I506" s="50"/>
      <c r="J506" s="50"/>
      <c r="K506" s="50"/>
      <c r="L506" s="50"/>
      <c r="M506" s="50"/>
    </row>
    <row r="507" spans="1:14" x14ac:dyDescent="0.25">
      <c r="N507" s="49"/>
    </row>
    <row r="508" spans="1:14" s="49" customFormat="1" ht="66.75" customHeight="1" x14ac:dyDescent="0.25">
      <c r="A508" s="2064" t="s">
        <v>344</v>
      </c>
      <c r="B508" s="2066" t="s">
        <v>3</v>
      </c>
      <c r="C508" s="2066" t="s">
        <v>66</v>
      </c>
      <c r="D508" s="1789" t="s">
        <v>335</v>
      </c>
      <c r="E508" s="1810" t="s">
        <v>342</v>
      </c>
      <c r="F508" s="2219" t="s">
        <v>334</v>
      </c>
      <c r="G508" s="2221" t="s">
        <v>343</v>
      </c>
      <c r="H508" s="2211" t="s">
        <v>7</v>
      </c>
      <c r="I508" s="2211" t="s">
        <v>1410</v>
      </c>
      <c r="J508" s="2010" t="s">
        <v>54</v>
      </c>
      <c r="K508" s="2213" t="s">
        <v>1444</v>
      </c>
      <c r="L508" s="2202" t="s">
        <v>1411</v>
      </c>
      <c r="M508" s="2223" t="s">
        <v>1412</v>
      </c>
      <c r="N508" s="2012" t="s">
        <v>1433</v>
      </c>
    </row>
    <row r="509" spans="1:14" s="2" customFormat="1" ht="29.25" customHeight="1" x14ac:dyDescent="0.25">
      <c r="A509" s="2065"/>
      <c r="B509" s="2067"/>
      <c r="C509" s="2067"/>
      <c r="D509" s="699">
        <f ca="1">TODAY()</f>
        <v>44607</v>
      </c>
      <c r="E509" s="1811">
        <v>365.25</v>
      </c>
      <c r="F509" s="2220"/>
      <c r="G509" s="2222"/>
      <c r="H509" s="2212"/>
      <c r="I509" s="2212"/>
      <c r="J509" s="2011"/>
      <c r="K509" s="2214"/>
      <c r="L509" s="2203"/>
      <c r="M509" s="2224"/>
      <c r="N509" s="2013"/>
    </row>
    <row r="510" spans="1:14" x14ac:dyDescent="0.25">
      <c r="A510" s="694" t="s">
        <v>336</v>
      </c>
      <c r="B510" s="196"/>
      <c r="C510" s="695"/>
      <c r="D510" s="696"/>
      <c r="E510" s="17"/>
      <c r="F510" s="1807"/>
      <c r="G510" s="1808"/>
      <c r="H510" s="17"/>
      <c r="I510" s="472"/>
      <c r="J510" s="787"/>
      <c r="K510" s="1809"/>
      <c r="L510" s="472"/>
      <c r="M510" s="1809"/>
      <c r="N510" s="458"/>
    </row>
    <row r="511" spans="1:14" s="1044" customFormat="1" x14ac:dyDescent="0.25">
      <c r="A511" s="684" t="s">
        <v>164</v>
      </c>
      <c r="B511" s="101" t="s">
        <v>17</v>
      </c>
      <c r="C511" s="192">
        <v>42913</v>
      </c>
      <c r="D511" s="682">
        <f t="shared" ref="D511:D523" ca="1" si="65">($D$4-C511)/365.25</f>
        <v>4.6379192334017798</v>
      </c>
      <c r="E511" s="1283">
        <v>14</v>
      </c>
      <c r="F511" s="1797">
        <f t="shared" ref="F511:F523" si="66">C511+(E511*$E$4)</f>
        <v>48026.5</v>
      </c>
      <c r="G511" s="1827" t="s">
        <v>1416</v>
      </c>
      <c r="H511" s="1283"/>
      <c r="I511" s="1283"/>
      <c r="J511" s="754"/>
      <c r="K511" s="1802"/>
      <c r="L511" s="141"/>
      <c r="M511" s="1794"/>
      <c r="N511" s="1919"/>
    </row>
    <row r="512" spans="1:14" s="7" customFormat="1" x14ac:dyDescent="0.25">
      <c r="A512" s="1396" t="s">
        <v>215</v>
      </c>
      <c r="B512" s="101" t="s">
        <v>218</v>
      </c>
      <c r="C512" s="192">
        <v>43160</v>
      </c>
      <c r="D512" s="682">
        <f t="shared" ca="1" si="65"/>
        <v>3.9616700889801506</v>
      </c>
      <c r="E512" s="1283">
        <v>14</v>
      </c>
      <c r="F512" s="1797">
        <f t="shared" si="66"/>
        <v>48273.5</v>
      </c>
      <c r="G512" s="1798"/>
      <c r="H512" s="1283">
        <f ca="1">VLOOKUP(A512,Prehľad!$B$1:$BN$27,11,FALSE)</f>
        <v>11260.150138217001</v>
      </c>
      <c r="I512" s="1283">
        <f ca="1">H512</f>
        <v>11260.150138217001</v>
      </c>
      <c r="J512" s="755">
        <f>VLOOKUP(A512,Prehľad!$B$1:$BN$27,28,FALSE)</f>
        <v>20.894241671290384</v>
      </c>
      <c r="K512" s="1802">
        <f ca="1">I512/100*J512</f>
        <v>2352.7229824291985</v>
      </c>
      <c r="L512" s="141">
        <v>0.28791426434757439</v>
      </c>
      <c r="M512" s="1794">
        <f ca="1">I512*L512</f>
        <v>3241.9578434879859</v>
      </c>
      <c r="N512" s="1920">
        <f ca="1">26.83*I512/1000</f>
        <v>302.1098282083621</v>
      </c>
    </row>
    <row r="513" spans="1:14" s="7" customFormat="1" x14ac:dyDescent="0.25">
      <c r="A513" s="1396" t="s">
        <v>1139</v>
      </c>
      <c r="B513" s="101" t="s">
        <v>1137</v>
      </c>
      <c r="C513" s="192">
        <v>44004</v>
      </c>
      <c r="D513" s="682">
        <f t="shared" ca="1" si="65"/>
        <v>1.6509240246406571</v>
      </c>
      <c r="E513" s="1283">
        <v>13</v>
      </c>
      <c r="F513" s="1797">
        <f t="shared" si="66"/>
        <v>48752.25</v>
      </c>
      <c r="G513" s="1798"/>
      <c r="H513" s="1283">
        <f ca="1">VLOOKUP(A513,Prehľad!$B$1:$BN$27,11,FALSE)</f>
        <v>5976.6529850746265</v>
      </c>
      <c r="I513" s="1283">
        <f ca="1">H513</f>
        <v>5976.6529850746265</v>
      </c>
      <c r="J513" s="755">
        <f>VLOOKUP(A513,Prehľad!$B$1:$BN$27,28,FALSE)</f>
        <v>10.346293119878025</v>
      </c>
      <c r="K513" s="1802">
        <f ca="1">I513/100*J513</f>
        <v>618.36203659376065</v>
      </c>
      <c r="L513" s="141">
        <v>0.13184295788069372</v>
      </c>
      <c r="M513" s="1794">
        <f ca="1">I513*L513</f>
        <v>787.9796077787164</v>
      </c>
      <c r="N513" s="1920">
        <f ca="1">26.83*I513/1000</f>
        <v>160.3535995895522</v>
      </c>
    </row>
    <row r="514" spans="1:14" s="1838" customFormat="1" x14ac:dyDescent="0.25">
      <c r="A514" s="1828" t="s">
        <v>1417</v>
      </c>
      <c r="B514" s="1829" t="s">
        <v>1418</v>
      </c>
      <c r="C514" s="1839">
        <v>44926</v>
      </c>
      <c r="D514" s="1831">
        <f t="shared" ca="1" si="65"/>
        <v>-0.87337440109514031</v>
      </c>
      <c r="E514" s="1832">
        <v>12</v>
      </c>
      <c r="F514" s="1833">
        <f t="shared" si="66"/>
        <v>49309</v>
      </c>
      <c r="G514" s="1834"/>
      <c r="H514" s="1832">
        <f ca="1">$H$52</f>
        <v>14925.612569718405</v>
      </c>
      <c r="I514" s="1832">
        <v>0</v>
      </c>
      <c r="J514" s="1835">
        <v>0</v>
      </c>
      <c r="K514" s="1836">
        <v>0</v>
      </c>
      <c r="L514" s="1837">
        <v>0</v>
      </c>
      <c r="M514" s="1926">
        <v>0</v>
      </c>
      <c r="N514" s="1923">
        <v>0</v>
      </c>
    </row>
    <row r="515" spans="1:14" s="1838" customFormat="1" x14ac:dyDescent="0.25">
      <c r="A515" s="1828" t="s">
        <v>1417</v>
      </c>
      <c r="B515" s="1829" t="s">
        <v>1419</v>
      </c>
      <c r="C515" s="1839">
        <v>45291</v>
      </c>
      <c r="D515" s="1831">
        <f t="shared" ca="1" si="65"/>
        <v>-1.8726899383983573</v>
      </c>
      <c r="E515" s="1832">
        <v>12</v>
      </c>
      <c r="F515" s="1833">
        <f t="shared" si="66"/>
        <v>49674</v>
      </c>
      <c r="G515" s="1834"/>
      <c r="H515" s="1832">
        <f ca="1">$H$99</f>
        <v>11223.957389580974</v>
      </c>
      <c r="I515" s="1832">
        <v>0</v>
      </c>
      <c r="J515" s="1835">
        <v>0</v>
      </c>
      <c r="K515" s="1836">
        <v>0</v>
      </c>
      <c r="L515" s="1837">
        <v>0</v>
      </c>
      <c r="M515" s="1926">
        <v>0</v>
      </c>
      <c r="N515" s="1923">
        <v>0</v>
      </c>
    </row>
    <row r="516" spans="1:14" s="1838" customFormat="1" x14ac:dyDescent="0.25">
      <c r="A516" s="1828" t="s">
        <v>1417</v>
      </c>
      <c r="B516" s="1829" t="s">
        <v>1427</v>
      </c>
      <c r="C516" s="1839">
        <v>45657</v>
      </c>
      <c r="D516" s="1831">
        <f t="shared" ca="1" si="65"/>
        <v>-2.8747433264887063</v>
      </c>
      <c r="E516" s="1832">
        <v>12</v>
      </c>
      <c r="F516" s="1833">
        <f t="shared" si="66"/>
        <v>50040</v>
      </c>
      <c r="G516" s="1834"/>
      <c r="H516" s="1832">
        <f ca="1">$H$145</f>
        <v>7769.9932656646497</v>
      </c>
      <c r="I516" s="1832">
        <v>0</v>
      </c>
      <c r="J516" s="1835">
        <v>0</v>
      </c>
      <c r="K516" s="1836">
        <v>0</v>
      </c>
      <c r="L516" s="1837">
        <v>0</v>
      </c>
      <c r="M516" s="1926">
        <v>0</v>
      </c>
      <c r="N516" s="1923">
        <v>0</v>
      </c>
    </row>
    <row r="517" spans="1:14" s="1838" customFormat="1" x14ac:dyDescent="0.25">
      <c r="A517" s="1828" t="s">
        <v>1417</v>
      </c>
      <c r="B517" s="1829" t="s">
        <v>1428</v>
      </c>
      <c r="C517" s="1839">
        <v>46022</v>
      </c>
      <c r="D517" s="1831">
        <f t="shared" ca="1" si="65"/>
        <v>-3.8740588637919235</v>
      </c>
      <c r="E517" s="1832">
        <v>12</v>
      </c>
      <c r="F517" s="1833">
        <f t="shared" si="66"/>
        <v>50405</v>
      </c>
      <c r="G517" s="1834"/>
      <c r="H517" s="1832">
        <f ca="1">$H$190</f>
        <v>13676.443130481</v>
      </c>
      <c r="I517" s="1832">
        <v>0</v>
      </c>
      <c r="J517" s="1835">
        <v>0</v>
      </c>
      <c r="K517" s="1836">
        <v>0</v>
      </c>
      <c r="L517" s="1837">
        <v>0</v>
      </c>
      <c r="M517" s="1926">
        <v>0</v>
      </c>
      <c r="N517" s="1923">
        <v>0</v>
      </c>
    </row>
    <row r="518" spans="1:14" s="1900" customFormat="1" x14ac:dyDescent="0.25">
      <c r="A518" s="1890" t="s">
        <v>1417</v>
      </c>
      <c r="B518" s="1891" t="s">
        <v>1430</v>
      </c>
      <c r="C518" s="1892">
        <v>46387</v>
      </c>
      <c r="D518" s="1893">
        <f t="shared" ca="1" si="65"/>
        <v>-4.8733744010951403</v>
      </c>
      <c r="E518" s="1894">
        <v>12</v>
      </c>
      <c r="F518" s="1895">
        <f t="shared" si="66"/>
        <v>50770</v>
      </c>
      <c r="G518" s="1896"/>
      <c r="H518" s="1894">
        <f ca="1">$H$236</f>
        <v>26706.803659539473</v>
      </c>
      <c r="I518" s="1894">
        <f t="shared" ref="I518:I523" ca="1" si="67">H518/3*2</f>
        <v>17804.535773026317</v>
      </c>
      <c r="J518" s="1897">
        <f>$J$236/100*90</f>
        <v>5.7921827233819547</v>
      </c>
      <c r="K518" s="1898">
        <f t="shared" ref="K518:K523" ca="1" si="68">I518/100*J518</f>
        <v>1031.2712450235902</v>
      </c>
      <c r="L518" s="1899">
        <f>$L$236/3*2</f>
        <v>5.0419832882056655E-2</v>
      </c>
      <c r="M518" s="1928">
        <f t="shared" ref="M518:M523" ca="1" si="69">I518*L518</f>
        <v>897.70171821858628</v>
      </c>
      <c r="N518" s="1927">
        <f t="shared" ref="N518:N523" ca="1" si="70">((26.83+23.38)/2)*I518/1000</f>
        <v>446.98287058182564</v>
      </c>
    </row>
    <row r="519" spans="1:14" s="1900" customFormat="1" x14ac:dyDescent="0.25">
      <c r="A519" s="1890" t="s">
        <v>1417</v>
      </c>
      <c r="B519" s="1891" t="s">
        <v>1435</v>
      </c>
      <c r="C519" s="1892">
        <v>46752</v>
      </c>
      <c r="D519" s="1893">
        <f t="shared" ca="1" si="65"/>
        <v>-5.8726899383983575</v>
      </c>
      <c r="E519" s="1894">
        <v>12</v>
      </c>
      <c r="F519" s="1895">
        <f t="shared" si="66"/>
        <v>51135</v>
      </c>
      <c r="G519" s="1896"/>
      <c r="H519" s="1894">
        <f ca="1">$H$282</f>
        <v>23634.669242029926</v>
      </c>
      <c r="I519" s="1894">
        <f t="shared" ca="1" si="67"/>
        <v>15756.446161353284</v>
      </c>
      <c r="J519" s="1897">
        <f>$J$282/100*90</f>
        <v>6.0804839654735146</v>
      </c>
      <c r="K519" s="1898">
        <f t="shared" ca="1" si="68"/>
        <v>958.06818236955348</v>
      </c>
      <c r="L519" s="1899">
        <f>$L$282/3*2</f>
        <v>5.9839377800321232E-2</v>
      </c>
      <c r="M519" s="1928">
        <f t="shared" ca="1" si="69"/>
        <v>942.8559346396404</v>
      </c>
      <c r="N519" s="1927">
        <f t="shared" ca="1" si="70"/>
        <v>395.56558088077412</v>
      </c>
    </row>
    <row r="520" spans="1:14" s="1900" customFormat="1" x14ac:dyDescent="0.25">
      <c r="A520" s="1890" t="s">
        <v>1417</v>
      </c>
      <c r="B520" s="1891" t="s">
        <v>1437</v>
      </c>
      <c r="C520" s="1892">
        <v>47118</v>
      </c>
      <c r="D520" s="1893">
        <f t="shared" ca="1" si="65"/>
        <v>-6.8747433264887068</v>
      </c>
      <c r="E520" s="1894">
        <v>12</v>
      </c>
      <c r="F520" s="1895">
        <f t="shared" si="66"/>
        <v>51501</v>
      </c>
      <c r="G520" s="1896"/>
      <c r="H520" s="1894">
        <f ca="1">$H$328</f>
        <v>19060.602676864244</v>
      </c>
      <c r="I520" s="1894">
        <f t="shared" ca="1" si="67"/>
        <v>12707.068451242829</v>
      </c>
      <c r="J520" s="1897">
        <f>$J$328/100*90</f>
        <v>4.7779390348638913</v>
      </c>
      <c r="K520" s="1898">
        <f t="shared" ca="1" si="68"/>
        <v>607.13598371880562</v>
      </c>
      <c r="L520" s="1899">
        <f>$L$328/3*2</f>
        <v>4.2945727171265817E-2</v>
      </c>
      <c r="M520" s="1928">
        <f t="shared" ca="1" si="69"/>
        <v>545.71429485367378</v>
      </c>
      <c r="N520" s="1927">
        <f t="shared" ca="1" si="70"/>
        <v>319.01095346845113</v>
      </c>
    </row>
    <row r="521" spans="1:14" s="1900" customFormat="1" x14ac:dyDescent="0.25">
      <c r="A521" s="1890" t="s">
        <v>1417</v>
      </c>
      <c r="B521" s="1891" t="s">
        <v>1438</v>
      </c>
      <c r="C521" s="1892">
        <v>47483</v>
      </c>
      <c r="D521" s="1893">
        <f t="shared" ca="1" si="65"/>
        <v>-7.8740588637919231</v>
      </c>
      <c r="E521" s="1894">
        <v>12</v>
      </c>
      <c r="F521" s="1895">
        <f t="shared" si="66"/>
        <v>51866</v>
      </c>
      <c r="G521" s="1896"/>
      <c r="H521" s="1894">
        <f ca="1">$H$374</f>
        <v>26724.422478898265</v>
      </c>
      <c r="I521" s="1894">
        <f t="shared" ca="1" si="67"/>
        <v>17816.281652598842</v>
      </c>
      <c r="J521" s="1897">
        <f>$J$374/100*90</f>
        <v>5.8325344115371687</v>
      </c>
      <c r="K521" s="1898">
        <f t="shared" ca="1" si="68"/>
        <v>1039.1407582442105</v>
      </c>
      <c r="L521" s="1899">
        <f>$L$374/3*2</f>
        <v>5.7347891031348679E-2</v>
      </c>
      <c r="M521" s="1928">
        <f t="shared" ca="1" si="69"/>
        <v>1021.7261787970551</v>
      </c>
      <c r="N521" s="1927">
        <f t="shared" ca="1" si="70"/>
        <v>447.27775088849387</v>
      </c>
    </row>
    <row r="522" spans="1:14" s="1900" customFormat="1" x14ac:dyDescent="0.25">
      <c r="A522" s="1890" t="s">
        <v>1417</v>
      </c>
      <c r="B522" s="1891" t="s">
        <v>1440</v>
      </c>
      <c r="C522" s="1892">
        <v>47848</v>
      </c>
      <c r="D522" s="1893">
        <f t="shared" ca="1" si="65"/>
        <v>-8.8733744010951412</v>
      </c>
      <c r="E522" s="1894">
        <v>12</v>
      </c>
      <c r="F522" s="1895">
        <f t="shared" si="66"/>
        <v>52231</v>
      </c>
      <c r="G522" s="1896"/>
      <c r="H522" s="1894">
        <f ca="1">$H$420</f>
        <v>31085.855421686749</v>
      </c>
      <c r="I522" s="1894">
        <f t="shared" ca="1" si="67"/>
        <v>20723.903614457831</v>
      </c>
      <c r="J522" s="1897">
        <f>$J$420/100*90</f>
        <v>5.8061208661267116</v>
      </c>
      <c r="K522" s="1898">
        <f t="shared" ca="1" si="68"/>
        <v>1203.2548920350239</v>
      </c>
      <c r="L522" s="1899">
        <f>$L$420/3*2</f>
        <v>5.2859837166821355E-2</v>
      </c>
      <c r="M522" s="1928">
        <f t="shared" ca="1" si="69"/>
        <v>1095.4621705211414</v>
      </c>
      <c r="N522" s="1927">
        <f t="shared" ca="1" si="70"/>
        <v>520.27360024096379</v>
      </c>
    </row>
    <row r="523" spans="1:14" s="1900" customFormat="1" x14ac:dyDescent="0.25">
      <c r="A523" s="1890" t="s">
        <v>1417</v>
      </c>
      <c r="B523" s="1891" t="s">
        <v>1441</v>
      </c>
      <c r="C523" s="1892">
        <v>48213</v>
      </c>
      <c r="D523" s="1893">
        <f t="shared" ca="1" si="65"/>
        <v>-9.8726899383983575</v>
      </c>
      <c r="E523" s="1894">
        <v>12</v>
      </c>
      <c r="F523" s="1895">
        <f t="shared" si="66"/>
        <v>52596</v>
      </c>
      <c r="G523" s="1896">
        <v>50000</v>
      </c>
      <c r="H523" s="1894">
        <f ca="1">$H$466</f>
        <v>25956.036304604484</v>
      </c>
      <c r="I523" s="1894">
        <f t="shared" ca="1" si="67"/>
        <v>17304.024203069657</v>
      </c>
      <c r="J523" s="1897">
        <f>$J$466/100*90</f>
        <v>6.1579916406539326</v>
      </c>
      <c r="K523" s="1898">
        <f t="shared" ca="1" si="68"/>
        <v>1065.5803639217627</v>
      </c>
      <c r="L523" s="1899">
        <f>$L$466/3*2</f>
        <v>6.1408861377117006E-2</v>
      </c>
      <c r="M523" s="1928">
        <f t="shared" ca="1" si="69"/>
        <v>1062.6204235525822</v>
      </c>
      <c r="N523" s="1927">
        <f t="shared" ca="1" si="70"/>
        <v>434.41752761806367</v>
      </c>
    </row>
    <row r="524" spans="1:14" x14ac:dyDescent="0.25">
      <c r="A524" s="700"/>
      <c r="B524" s="202"/>
      <c r="C524" s="701"/>
      <c r="D524" s="702"/>
      <c r="E524" s="1812"/>
      <c r="F524" s="1813"/>
      <c r="G524" s="1814"/>
      <c r="H524" s="1812"/>
      <c r="I524" s="1733"/>
      <c r="J524" s="1815"/>
      <c r="K524" s="1816"/>
      <c r="L524" s="1733"/>
      <c r="M524" s="1816"/>
      <c r="N524" s="1921"/>
    </row>
    <row r="525" spans="1:14" s="50" customFormat="1" ht="15.75" customHeight="1" x14ac:dyDescent="0.25">
      <c r="A525" s="2215" t="s">
        <v>85</v>
      </c>
      <c r="B525" s="2216"/>
      <c r="C525" s="1817"/>
      <c r="D525" s="1822"/>
      <c r="E525" s="1819"/>
      <c r="F525" s="1817"/>
      <c r="G525" s="1818">
        <f>SUM(G511:G524)</f>
        <v>50000</v>
      </c>
      <c r="H525" s="1819">
        <f ca="1">SUM(H511:H524)</f>
        <v>218001.19926235979</v>
      </c>
      <c r="I525" s="1819">
        <f ca="1">SUM(I511:I524)</f>
        <v>119349.06297904038</v>
      </c>
      <c r="J525" s="1820"/>
      <c r="K525" s="1821">
        <f ca="1">SUM(K511:K524)</f>
        <v>8875.5364443359049</v>
      </c>
      <c r="L525" s="1817"/>
      <c r="M525" s="1924">
        <f ca="1">SUM(M511:M524)</f>
        <v>9596.0181718493805</v>
      </c>
      <c r="N525" s="1889">
        <f ca="1">SUM(N510:N524)</f>
        <v>3025.9917114764862</v>
      </c>
    </row>
    <row r="526" spans="1:14" s="50" customFormat="1" ht="15.75" customHeight="1" x14ac:dyDescent="0.25">
      <c r="A526" s="2217" t="s">
        <v>1413</v>
      </c>
      <c r="B526" s="2218"/>
      <c r="C526" s="1803"/>
      <c r="D526" s="1823">
        <f ca="1">AVERAGE(D511:D524)</f>
        <v>-3.3450218501553204</v>
      </c>
      <c r="E526" s="1805">
        <f>AVERAGE(E511:E524)</f>
        <v>12.384615384615385</v>
      </c>
      <c r="F526" s="1803"/>
      <c r="G526" s="1804">
        <f t="shared" ref="G526:N526" si="71">AVERAGE(G511:G524)</f>
        <v>50000</v>
      </c>
      <c r="H526" s="1805">
        <f t="shared" ca="1" si="71"/>
        <v>18166.766605196648</v>
      </c>
      <c r="I526" s="1805">
        <f t="shared" ca="1" si="71"/>
        <v>9945.7552482533647</v>
      </c>
      <c r="J526" s="1806">
        <f t="shared" si="71"/>
        <v>5.4739822861004654</v>
      </c>
      <c r="K526" s="1824">
        <f t="shared" ca="1" si="71"/>
        <v>739.62803702799204</v>
      </c>
      <c r="L526" s="1804">
        <f t="shared" si="71"/>
        <v>6.2048229138099903E-2</v>
      </c>
      <c r="M526" s="1925">
        <f t="shared" ca="1" si="71"/>
        <v>799.66818098744841</v>
      </c>
      <c r="N526" s="1922">
        <f t="shared" ca="1" si="71"/>
        <v>252.16597595637384</v>
      </c>
    </row>
    <row r="527" spans="1:14" s="60" customFormat="1" ht="15.75" customHeight="1" x14ac:dyDescent="0.25">
      <c r="A527" s="1790"/>
      <c r="B527" s="1790"/>
      <c r="D527" s="1929"/>
      <c r="E527" s="240"/>
      <c r="G527" s="432"/>
      <c r="H527" s="240"/>
      <c r="I527" s="240"/>
      <c r="J527" s="236"/>
      <c r="K527" s="1930"/>
      <c r="L527" s="432"/>
      <c r="M527" s="1931"/>
      <c r="N527" s="236"/>
    </row>
    <row r="528" spans="1:14" s="60" customFormat="1" ht="15.75" customHeight="1" x14ac:dyDescent="0.25">
      <c r="A528" s="1955"/>
      <c r="B528" s="1955"/>
      <c r="D528" s="1929"/>
      <c r="E528" s="240"/>
      <c r="G528" s="432"/>
      <c r="H528" s="240"/>
      <c r="I528" s="240"/>
      <c r="J528" s="236"/>
      <c r="K528" s="1930"/>
      <c r="L528" s="432"/>
      <c r="M528" s="1931"/>
      <c r="N528" s="236"/>
    </row>
    <row r="529" spans="1:14" s="60" customFormat="1" ht="15.75" customHeight="1" x14ac:dyDescent="0.25">
      <c r="A529" s="1955"/>
      <c r="B529" s="1955"/>
      <c r="D529" s="1929"/>
      <c r="E529" s="240"/>
      <c r="G529" s="432"/>
      <c r="H529" s="240"/>
      <c r="I529" s="240"/>
      <c r="J529" s="236"/>
      <c r="K529" s="1930"/>
      <c r="L529" s="432"/>
      <c r="M529" s="1931"/>
      <c r="N529" s="236"/>
    </row>
    <row r="530" spans="1:14" s="60" customFormat="1" ht="15.75" customHeight="1" x14ac:dyDescent="0.25">
      <c r="A530" s="1955"/>
      <c r="B530" s="1955"/>
      <c r="D530" s="1929"/>
      <c r="E530" s="240"/>
      <c r="G530" s="432"/>
      <c r="H530" s="240"/>
      <c r="I530" s="240"/>
      <c r="J530" s="236"/>
      <c r="K530" s="1930"/>
      <c r="L530" s="432"/>
      <c r="M530" s="1931"/>
      <c r="N530" s="236"/>
    </row>
    <row r="531" spans="1:14" s="60" customFormat="1" ht="15.75" customHeight="1" x14ac:dyDescent="0.25">
      <c r="A531" s="1955"/>
      <c r="B531" s="1955"/>
      <c r="D531" s="1929"/>
      <c r="E531" s="240"/>
      <c r="G531" s="432"/>
      <c r="H531" s="240"/>
      <c r="I531" s="240"/>
      <c r="J531" s="236"/>
      <c r="K531" s="1930"/>
      <c r="L531" s="432"/>
      <c r="M531" s="1931"/>
      <c r="N531" s="236"/>
    </row>
    <row r="532" spans="1:14" s="60" customFormat="1" ht="15.75" customHeight="1" x14ac:dyDescent="0.25">
      <c r="A532" s="1955"/>
      <c r="B532" s="1955"/>
      <c r="D532" s="1929"/>
      <c r="E532" s="240"/>
      <c r="G532" s="432"/>
      <c r="H532" s="240"/>
      <c r="I532" s="240"/>
      <c r="J532" s="236"/>
      <c r="K532" s="1930"/>
      <c r="L532" s="432"/>
      <c r="M532" s="1931"/>
      <c r="N532" s="236"/>
    </row>
    <row r="533" spans="1:14" s="60" customFormat="1" ht="15.75" customHeight="1" x14ac:dyDescent="0.25">
      <c r="A533" s="1955"/>
      <c r="B533" s="1955"/>
      <c r="D533" s="1929"/>
      <c r="E533" s="240"/>
      <c r="G533" s="432"/>
      <c r="H533" s="240"/>
      <c r="I533" s="240"/>
      <c r="J533" s="236"/>
      <c r="K533" s="1930"/>
      <c r="L533" s="432"/>
      <c r="M533" s="1931"/>
      <c r="N533" s="236"/>
    </row>
    <row r="534" spans="1:14" s="60" customFormat="1" ht="15.75" customHeight="1" x14ac:dyDescent="0.25">
      <c r="A534" s="1955"/>
      <c r="B534" s="1955"/>
      <c r="D534" s="1929"/>
      <c r="E534" s="240"/>
      <c r="G534" s="432"/>
      <c r="H534" s="240"/>
      <c r="I534" s="240"/>
      <c r="J534" s="236"/>
      <c r="K534" s="1930"/>
      <c r="L534" s="432"/>
      <c r="M534" s="1931"/>
      <c r="N534" s="236"/>
    </row>
    <row r="535" spans="1:14" s="60" customFormat="1" ht="15.75" customHeight="1" x14ac:dyDescent="0.25">
      <c r="A535" s="1955"/>
      <c r="B535" s="1955"/>
      <c r="D535" s="1929"/>
      <c r="E535" s="240"/>
      <c r="G535" s="432"/>
      <c r="H535" s="240"/>
      <c r="I535" s="240"/>
      <c r="J535" s="236"/>
      <c r="K535" s="1930"/>
      <c r="L535" s="432"/>
      <c r="M535" s="1931"/>
      <c r="N535" s="236"/>
    </row>
    <row r="536" spans="1:14" s="60" customFormat="1" ht="15.75" customHeight="1" x14ac:dyDescent="0.25">
      <c r="A536" s="1955"/>
      <c r="B536" s="1955"/>
      <c r="D536" s="1929"/>
      <c r="E536" s="240"/>
      <c r="G536" s="432"/>
      <c r="H536" s="240"/>
      <c r="I536" s="240"/>
      <c r="J536" s="236"/>
      <c r="K536" s="1930"/>
      <c r="L536" s="432"/>
      <c r="M536" s="1931"/>
      <c r="N536" s="236"/>
    </row>
    <row r="537" spans="1:14" s="60" customFormat="1" ht="15.75" customHeight="1" x14ac:dyDescent="0.25">
      <c r="A537" s="1955"/>
      <c r="B537" s="1955"/>
      <c r="D537" s="1929"/>
      <c r="E537" s="240"/>
      <c r="G537" s="432"/>
      <c r="H537" s="240"/>
      <c r="I537" s="240"/>
      <c r="J537" s="236"/>
      <c r="K537" s="1930"/>
      <c r="L537" s="432"/>
      <c r="M537" s="1931"/>
      <c r="N537" s="236"/>
    </row>
    <row r="538" spans="1:14" s="60" customFormat="1" ht="15.75" customHeight="1" x14ac:dyDescent="0.25">
      <c r="A538" s="1955"/>
      <c r="B538" s="1955"/>
      <c r="D538" s="1929"/>
      <c r="E538" s="240"/>
      <c r="G538" s="432"/>
      <c r="H538" s="240"/>
      <c r="I538" s="240"/>
      <c r="J538" s="236"/>
      <c r="K538" s="1930"/>
      <c r="L538" s="432"/>
      <c r="M538" s="1931"/>
      <c r="N538" s="236"/>
    </row>
    <row r="539" spans="1:14" s="60" customFormat="1" ht="15.75" customHeight="1" x14ac:dyDescent="0.25">
      <c r="A539" s="1955"/>
      <c r="B539" s="1955"/>
      <c r="D539" s="1929"/>
      <c r="E539" s="240"/>
      <c r="G539" s="432"/>
      <c r="H539" s="240"/>
      <c r="I539" s="240"/>
      <c r="J539" s="236"/>
      <c r="K539" s="1930"/>
      <c r="L539" s="432"/>
      <c r="M539" s="1931"/>
      <c r="N539" s="236"/>
    </row>
    <row r="540" spans="1:14" s="60" customFormat="1" ht="15.75" customHeight="1" x14ac:dyDescent="0.25">
      <c r="A540" s="1955"/>
      <c r="B540" s="1955"/>
      <c r="D540" s="1929"/>
      <c r="E540" s="240"/>
      <c r="G540" s="432"/>
      <c r="H540" s="240"/>
      <c r="I540" s="240"/>
      <c r="J540" s="236"/>
      <c r="K540" s="1930"/>
      <c r="L540" s="432"/>
      <c r="M540" s="1931"/>
      <c r="N540" s="236"/>
    </row>
    <row r="541" spans="1:14" s="60" customFormat="1" ht="15.75" customHeight="1" x14ac:dyDescent="0.25">
      <c r="A541" s="1955"/>
      <c r="B541" s="1955"/>
      <c r="D541" s="1929"/>
      <c r="E541" s="240"/>
      <c r="G541" s="432"/>
      <c r="H541" s="240"/>
      <c r="I541" s="240"/>
      <c r="J541" s="236"/>
      <c r="K541" s="1930"/>
      <c r="L541" s="432"/>
      <c r="M541" s="1931"/>
      <c r="N541" s="236"/>
    </row>
    <row r="542" spans="1:14" s="60" customFormat="1" ht="15.75" customHeight="1" x14ac:dyDescent="0.25">
      <c r="A542" s="1955"/>
      <c r="B542" s="1955"/>
      <c r="D542" s="1929"/>
      <c r="E542" s="240"/>
      <c r="G542" s="432"/>
      <c r="H542" s="240"/>
      <c r="I542" s="240"/>
      <c r="J542" s="236"/>
      <c r="K542" s="1930"/>
      <c r="L542" s="432"/>
      <c r="M542" s="1931"/>
      <c r="N542" s="236"/>
    </row>
    <row r="543" spans="1:14" s="60" customFormat="1" ht="15.75" customHeight="1" x14ac:dyDescent="0.25">
      <c r="A543" s="1955"/>
      <c r="B543" s="1955"/>
      <c r="D543" s="1929"/>
      <c r="E543" s="240"/>
      <c r="G543" s="432"/>
      <c r="H543" s="240"/>
      <c r="I543" s="240"/>
      <c r="J543" s="236"/>
      <c r="K543" s="1930"/>
      <c r="L543" s="432"/>
      <c r="M543" s="1931"/>
      <c r="N543" s="236"/>
    </row>
    <row r="544" spans="1:14" s="60" customFormat="1" ht="15.75" customHeight="1" x14ac:dyDescent="0.25">
      <c r="A544" s="1955"/>
      <c r="B544" s="1955"/>
      <c r="D544" s="1929"/>
      <c r="E544" s="240"/>
      <c r="G544" s="432"/>
      <c r="H544" s="240"/>
      <c r="I544" s="240"/>
      <c r="J544" s="236"/>
      <c r="K544" s="1930"/>
      <c r="L544" s="432"/>
      <c r="M544" s="1931"/>
      <c r="N544" s="236"/>
    </row>
    <row r="545" spans="1:14" s="60" customFormat="1" ht="15.75" customHeight="1" x14ac:dyDescent="0.25">
      <c r="A545" s="1955"/>
      <c r="B545" s="1955"/>
      <c r="D545" s="1929"/>
      <c r="E545" s="240"/>
      <c r="G545" s="432"/>
      <c r="H545" s="240"/>
      <c r="I545" s="240"/>
      <c r="J545" s="236"/>
      <c r="K545" s="1930"/>
      <c r="L545" s="432"/>
      <c r="M545" s="1931"/>
      <c r="N545" s="236"/>
    </row>
    <row r="546" spans="1:14" s="60" customFormat="1" ht="15.75" customHeight="1" x14ac:dyDescent="0.25">
      <c r="A546" s="1955"/>
      <c r="B546" s="1955"/>
      <c r="D546" s="1929"/>
      <c r="E546" s="240"/>
      <c r="G546" s="432"/>
      <c r="H546" s="240"/>
      <c r="I546" s="240"/>
      <c r="J546" s="236"/>
      <c r="K546" s="1930"/>
      <c r="L546" s="432"/>
      <c r="M546" s="1931"/>
      <c r="N546" s="236"/>
    </row>
    <row r="547" spans="1:14" s="60" customFormat="1" ht="15.75" customHeight="1" x14ac:dyDescent="0.25">
      <c r="A547" s="1955"/>
      <c r="B547" s="1955"/>
      <c r="D547" s="1929"/>
      <c r="E547" s="240"/>
      <c r="G547" s="432"/>
      <c r="H547" s="240"/>
      <c r="I547" s="240"/>
      <c r="J547" s="236"/>
      <c r="K547" s="1930"/>
      <c r="L547" s="432"/>
      <c r="M547" s="1931"/>
      <c r="N547" s="236"/>
    </row>
    <row r="548" spans="1:14" s="60" customFormat="1" ht="15.75" customHeight="1" x14ac:dyDescent="0.25">
      <c r="A548" s="1955"/>
      <c r="B548" s="1955"/>
      <c r="D548" s="1929"/>
      <c r="E548" s="240"/>
      <c r="G548" s="432"/>
      <c r="H548" s="240"/>
      <c r="I548" s="240"/>
      <c r="J548" s="236"/>
      <c r="K548" s="1930"/>
      <c r="L548" s="432"/>
      <c r="M548" s="1931"/>
      <c r="N548" s="236"/>
    </row>
    <row r="549" spans="1:14" s="60" customFormat="1" ht="15.75" customHeight="1" x14ac:dyDescent="0.25">
      <c r="A549" s="1955"/>
      <c r="B549" s="1955"/>
      <c r="D549" s="1929"/>
      <c r="E549" s="240"/>
      <c r="G549" s="432"/>
      <c r="H549" s="240"/>
      <c r="I549" s="240"/>
      <c r="J549" s="236"/>
      <c r="K549" s="1930"/>
      <c r="L549" s="432"/>
      <c r="M549" s="1931"/>
      <c r="N549" s="236"/>
    </row>
    <row r="550" spans="1:14" s="60" customFormat="1" ht="15.75" customHeight="1" x14ac:dyDescent="0.25">
      <c r="A550" s="1955"/>
      <c r="B550" s="1955"/>
      <c r="D550" s="1929"/>
      <c r="E550" s="240"/>
      <c r="G550" s="432"/>
      <c r="H550" s="240"/>
      <c r="I550" s="240"/>
      <c r="J550" s="236"/>
      <c r="K550" s="1930"/>
      <c r="L550" s="432"/>
      <c r="M550" s="1931"/>
      <c r="N550" s="236"/>
    </row>
    <row r="551" spans="1:14" s="60" customFormat="1" ht="15.75" customHeight="1" x14ac:dyDescent="0.25">
      <c r="A551" s="1955"/>
      <c r="B551" s="1955"/>
      <c r="D551" s="1929"/>
      <c r="E551" s="240"/>
      <c r="G551" s="432"/>
      <c r="H551" s="240"/>
      <c r="I551" s="240"/>
      <c r="J551" s="236"/>
      <c r="K551" s="1930"/>
      <c r="L551" s="432"/>
      <c r="M551" s="1931"/>
      <c r="N551" s="236"/>
    </row>
    <row r="552" spans="1:14" x14ac:dyDescent="0.25">
      <c r="A552" s="50" t="s">
        <v>1415</v>
      </c>
      <c r="B552" s="50"/>
      <c r="C552" s="1825"/>
      <c r="D552" s="1876">
        <v>48579</v>
      </c>
      <c r="F552" s="50"/>
      <c r="G552" s="50"/>
      <c r="H552" s="50"/>
      <c r="I552" s="50"/>
      <c r="J552" s="50"/>
      <c r="K552" s="50"/>
      <c r="L552" s="50"/>
      <c r="M552" s="50"/>
    </row>
    <row r="553" spans="1:14" x14ac:dyDescent="0.25">
      <c r="N553" s="49"/>
    </row>
    <row r="554" spans="1:14" s="49" customFormat="1" ht="66.75" customHeight="1" x14ac:dyDescent="0.25">
      <c r="A554" s="2064" t="s">
        <v>344</v>
      </c>
      <c r="B554" s="2066" t="s">
        <v>3</v>
      </c>
      <c r="C554" s="2066" t="s">
        <v>66</v>
      </c>
      <c r="D554" s="1789" t="s">
        <v>335</v>
      </c>
      <c r="E554" s="1810" t="s">
        <v>342</v>
      </c>
      <c r="F554" s="2219" t="s">
        <v>334</v>
      </c>
      <c r="G554" s="2221" t="s">
        <v>343</v>
      </c>
      <c r="H554" s="2211" t="s">
        <v>7</v>
      </c>
      <c r="I554" s="2211" t="s">
        <v>1410</v>
      </c>
      <c r="J554" s="2010" t="s">
        <v>54</v>
      </c>
      <c r="K554" s="2213" t="s">
        <v>1444</v>
      </c>
      <c r="L554" s="2202" t="s">
        <v>1411</v>
      </c>
      <c r="M554" s="2223" t="s">
        <v>1412</v>
      </c>
      <c r="N554" s="2012" t="s">
        <v>1433</v>
      </c>
    </row>
    <row r="555" spans="1:14" s="2" customFormat="1" ht="29.25" customHeight="1" x14ac:dyDescent="0.25">
      <c r="A555" s="2065"/>
      <c r="B555" s="2067"/>
      <c r="C555" s="2067"/>
      <c r="D555" s="699">
        <f ca="1">TODAY()</f>
        <v>44607</v>
      </c>
      <c r="E555" s="1811">
        <v>365.25</v>
      </c>
      <c r="F555" s="2220"/>
      <c r="G555" s="2222"/>
      <c r="H555" s="2212"/>
      <c r="I555" s="2212"/>
      <c r="J555" s="2011"/>
      <c r="K555" s="2214"/>
      <c r="L555" s="2203"/>
      <c r="M555" s="2224"/>
      <c r="N555" s="2013"/>
    </row>
    <row r="556" spans="1:14" x14ac:dyDescent="0.25">
      <c r="A556" s="694" t="s">
        <v>336</v>
      </c>
      <c r="B556" s="196"/>
      <c r="C556" s="695"/>
      <c r="D556" s="696"/>
      <c r="E556" s="17"/>
      <c r="F556" s="1807"/>
      <c r="G556" s="1808"/>
      <c r="H556" s="17"/>
      <c r="I556" s="472"/>
      <c r="J556" s="787"/>
      <c r="K556" s="1809"/>
      <c r="L556" s="472"/>
      <c r="M556" s="1809"/>
      <c r="N556" s="458"/>
    </row>
    <row r="557" spans="1:14" s="7" customFormat="1" x14ac:dyDescent="0.25">
      <c r="A557" s="1396" t="s">
        <v>215</v>
      </c>
      <c r="B557" s="101" t="s">
        <v>218</v>
      </c>
      <c r="C557" s="192">
        <v>43160</v>
      </c>
      <c r="D557" s="682">
        <f t="shared" ref="D557:D569" ca="1" si="72">($D$4-C557)/365.25</f>
        <v>3.9616700889801506</v>
      </c>
      <c r="E557" s="1283">
        <v>14</v>
      </c>
      <c r="F557" s="1797">
        <f t="shared" ref="F557:F569" si="73">C557+(E557*$E$4)</f>
        <v>48273.5</v>
      </c>
      <c r="G557" s="1827" t="s">
        <v>1416</v>
      </c>
      <c r="H557" s="1283"/>
      <c r="I557" s="1283"/>
      <c r="J557" s="754"/>
      <c r="K557" s="1802"/>
      <c r="L557" s="141"/>
      <c r="M557" s="1794"/>
      <c r="N557" s="1919"/>
    </row>
    <row r="558" spans="1:14" s="7" customFormat="1" x14ac:dyDescent="0.25">
      <c r="A558" s="1396" t="s">
        <v>1139</v>
      </c>
      <c r="B558" s="101" t="s">
        <v>1137</v>
      </c>
      <c r="C558" s="192">
        <v>44004</v>
      </c>
      <c r="D558" s="682">
        <f t="shared" ca="1" si="72"/>
        <v>1.6509240246406571</v>
      </c>
      <c r="E558" s="1283">
        <v>13</v>
      </c>
      <c r="F558" s="1797">
        <f t="shared" si="73"/>
        <v>48752.25</v>
      </c>
      <c r="G558" s="1798"/>
      <c r="H558" s="1283">
        <f ca="1">VLOOKUP(A558,Prehľad!$B$1:$BN$27,11,FALSE)</f>
        <v>5976.6529850746265</v>
      </c>
      <c r="I558" s="1283">
        <f ca="1">H558</f>
        <v>5976.6529850746265</v>
      </c>
      <c r="J558" s="755">
        <f>VLOOKUP(A558,Prehľad!$B$1:$BN$27,28,FALSE)</f>
        <v>10.346293119878025</v>
      </c>
      <c r="K558" s="1802">
        <f ca="1">I558/100*J558</f>
        <v>618.36203659376065</v>
      </c>
      <c r="L558" s="141">
        <v>0.13184295788069372</v>
      </c>
      <c r="M558" s="1794">
        <f ca="1">I558*L558</f>
        <v>787.9796077787164</v>
      </c>
      <c r="N558" s="1920">
        <f ca="1">26.83*I558/1000</f>
        <v>160.3535995895522</v>
      </c>
    </row>
    <row r="559" spans="1:14" s="1838" customFormat="1" x14ac:dyDescent="0.25">
      <c r="A559" s="1828" t="s">
        <v>1417</v>
      </c>
      <c r="B559" s="1829" t="s">
        <v>1418</v>
      </c>
      <c r="C559" s="1839">
        <v>44926</v>
      </c>
      <c r="D559" s="1831">
        <f t="shared" ca="1" si="72"/>
        <v>-0.87337440109514031</v>
      </c>
      <c r="E559" s="1832">
        <v>12</v>
      </c>
      <c r="F559" s="1833">
        <f t="shared" si="73"/>
        <v>49309</v>
      </c>
      <c r="G559" s="1834"/>
      <c r="H559" s="1832">
        <f ca="1">$H$52</f>
        <v>14925.612569718405</v>
      </c>
      <c r="I559" s="1832">
        <v>0</v>
      </c>
      <c r="J559" s="1835">
        <v>0</v>
      </c>
      <c r="K559" s="1836">
        <v>0</v>
      </c>
      <c r="L559" s="1837">
        <v>0</v>
      </c>
      <c r="M559" s="1926">
        <v>0</v>
      </c>
      <c r="N559" s="1923">
        <v>0</v>
      </c>
    </row>
    <row r="560" spans="1:14" s="1838" customFormat="1" x14ac:dyDescent="0.25">
      <c r="A560" s="1828" t="s">
        <v>1417</v>
      </c>
      <c r="B560" s="1829" t="s">
        <v>1419</v>
      </c>
      <c r="C560" s="1839">
        <v>45291</v>
      </c>
      <c r="D560" s="1831">
        <f t="shared" ca="1" si="72"/>
        <v>-1.8726899383983573</v>
      </c>
      <c r="E560" s="1832">
        <v>12</v>
      </c>
      <c r="F560" s="1833">
        <f t="shared" si="73"/>
        <v>49674</v>
      </c>
      <c r="G560" s="1834"/>
      <c r="H560" s="1832">
        <f ca="1">$H$99</f>
        <v>11223.957389580974</v>
      </c>
      <c r="I560" s="1832">
        <v>0</v>
      </c>
      <c r="J560" s="1835">
        <v>0</v>
      </c>
      <c r="K560" s="1836">
        <v>0</v>
      </c>
      <c r="L560" s="1837">
        <v>0</v>
      </c>
      <c r="M560" s="1926">
        <v>0</v>
      </c>
      <c r="N560" s="1923">
        <v>0</v>
      </c>
    </row>
    <row r="561" spans="1:14" s="1838" customFormat="1" x14ac:dyDescent="0.25">
      <c r="A561" s="1828" t="s">
        <v>1417</v>
      </c>
      <c r="B561" s="1829" t="s">
        <v>1427</v>
      </c>
      <c r="C561" s="1839">
        <v>45657</v>
      </c>
      <c r="D561" s="1831">
        <f t="shared" ca="1" si="72"/>
        <v>-2.8747433264887063</v>
      </c>
      <c r="E561" s="1832">
        <v>12</v>
      </c>
      <c r="F561" s="1833">
        <f t="shared" si="73"/>
        <v>50040</v>
      </c>
      <c r="G561" s="1834"/>
      <c r="H561" s="1832">
        <f ca="1">$H$145</f>
        <v>7769.9932656646497</v>
      </c>
      <c r="I561" s="1832">
        <v>0</v>
      </c>
      <c r="J561" s="1835">
        <v>0</v>
      </c>
      <c r="K561" s="1836">
        <v>0</v>
      </c>
      <c r="L561" s="1837">
        <v>0</v>
      </c>
      <c r="M561" s="1926">
        <v>0</v>
      </c>
      <c r="N561" s="1923">
        <v>0</v>
      </c>
    </row>
    <row r="562" spans="1:14" s="1838" customFormat="1" x14ac:dyDescent="0.25">
      <c r="A562" s="1828" t="s">
        <v>1417</v>
      </c>
      <c r="B562" s="1829" t="s">
        <v>1428</v>
      </c>
      <c r="C562" s="1839">
        <v>46022</v>
      </c>
      <c r="D562" s="1831">
        <f t="shared" ca="1" si="72"/>
        <v>-3.8740588637919235</v>
      </c>
      <c r="E562" s="1832">
        <v>12</v>
      </c>
      <c r="F562" s="1833">
        <f t="shared" si="73"/>
        <v>50405</v>
      </c>
      <c r="G562" s="1834"/>
      <c r="H562" s="1832">
        <f ca="1">$H$190</f>
        <v>13676.443130481</v>
      </c>
      <c r="I562" s="1832">
        <v>0</v>
      </c>
      <c r="J562" s="1835">
        <v>0</v>
      </c>
      <c r="K562" s="1836">
        <v>0</v>
      </c>
      <c r="L562" s="1837">
        <v>0</v>
      </c>
      <c r="M562" s="1926">
        <v>0</v>
      </c>
      <c r="N562" s="1923">
        <v>0</v>
      </c>
    </row>
    <row r="563" spans="1:14" s="1900" customFormat="1" x14ac:dyDescent="0.25">
      <c r="A563" s="1890" t="s">
        <v>1417</v>
      </c>
      <c r="B563" s="1891" t="s">
        <v>1430</v>
      </c>
      <c r="C563" s="1892">
        <v>46387</v>
      </c>
      <c r="D563" s="1893">
        <f t="shared" ca="1" si="72"/>
        <v>-4.8733744010951403</v>
      </c>
      <c r="E563" s="1894">
        <v>12</v>
      </c>
      <c r="F563" s="1895">
        <f t="shared" si="73"/>
        <v>50770</v>
      </c>
      <c r="G563" s="1896"/>
      <c r="H563" s="1894">
        <f ca="1">$H$236</f>
        <v>26706.803659539473</v>
      </c>
      <c r="I563" s="1894">
        <f t="shared" ref="I563:I568" ca="1" si="74">H563/3*2</f>
        <v>17804.535773026317</v>
      </c>
      <c r="J563" s="1897">
        <f>$J$236/100*90</f>
        <v>5.7921827233819547</v>
      </c>
      <c r="K563" s="1898">
        <f t="shared" ref="K563:K569" ca="1" si="75">I563/100*J563</f>
        <v>1031.2712450235902</v>
      </c>
      <c r="L563" s="1899">
        <f>$L$236/3*2</f>
        <v>5.0419832882056655E-2</v>
      </c>
      <c r="M563" s="1928">
        <f t="shared" ref="M563:M569" ca="1" si="76">I563*L563</f>
        <v>897.70171821858628</v>
      </c>
      <c r="N563" s="1927">
        <f t="shared" ref="N563:N569" ca="1" si="77">((26.83+23.38)/2)*I563/1000</f>
        <v>446.98287058182564</v>
      </c>
    </row>
    <row r="564" spans="1:14" s="1900" customFormat="1" x14ac:dyDescent="0.25">
      <c r="A564" s="1890" t="s">
        <v>1417</v>
      </c>
      <c r="B564" s="1891" t="s">
        <v>1435</v>
      </c>
      <c r="C564" s="1892">
        <v>46752</v>
      </c>
      <c r="D564" s="1893">
        <f t="shared" ca="1" si="72"/>
        <v>-5.8726899383983575</v>
      </c>
      <c r="E564" s="1894">
        <v>12</v>
      </c>
      <c r="F564" s="1895">
        <f t="shared" si="73"/>
        <v>51135</v>
      </c>
      <c r="G564" s="1896"/>
      <c r="H564" s="1894">
        <f ca="1">$H$282</f>
        <v>23634.669242029926</v>
      </c>
      <c r="I564" s="1894">
        <f t="shared" ca="1" si="74"/>
        <v>15756.446161353284</v>
      </c>
      <c r="J564" s="1897">
        <f>$J$282/100*90</f>
        <v>6.0804839654735146</v>
      </c>
      <c r="K564" s="1898">
        <f t="shared" ca="1" si="75"/>
        <v>958.06818236955348</v>
      </c>
      <c r="L564" s="1899">
        <f>$L$282/3*2</f>
        <v>5.9839377800321232E-2</v>
      </c>
      <c r="M564" s="1928">
        <f t="shared" ca="1" si="76"/>
        <v>942.8559346396404</v>
      </c>
      <c r="N564" s="1927">
        <f t="shared" ca="1" si="77"/>
        <v>395.56558088077412</v>
      </c>
    </row>
    <row r="565" spans="1:14" s="1900" customFormat="1" x14ac:dyDescent="0.25">
      <c r="A565" s="1890" t="s">
        <v>1417</v>
      </c>
      <c r="B565" s="1891" t="s">
        <v>1437</v>
      </c>
      <c r="C565" s="1892">
        <v>47118</v>
      </c>
      <c r="D565" s="1893">
        <f t="shared" ca="1" si="72"/>
        <v>-6.8747433264887068</v>
      </c>
      <c r="E565" s="1894">
        <v>12</v>
      </c>
      <c r="F565" s="1895">
        <f t="shared" si="73"/>
        <v>51501</v>
      </c>
      <c r="G565" s="1896"/>
      <c r="H565" s="1894">
        <f ca="1">$H$328</f>
        <v>19060.602676864244</v>
      </c>
      <c r="I565" s="1894">
        <f t="shared" ca="1" si="74"/>
        <v>12707.068451242829</v>
      </c>
      <c r="J565" s="1897">
        <f>$J$328/100*90</f>
        <v>4.7779390348638913</v>
      </c>
      <c r="K565" s="1898">
        <f t="shared" ca="1" si="75"/>
        <v>607.13598371880562</v>
      </c>
      <c r="L565" s="1899">
        <f>$L$328/3*2</f>
        <v>4.2945727171265817E-2</v>
      </c>
      <c r="M565" s="1928">
        <f t="shared" ca="1" si="76"/>
        <v>545.71429485367378</v>
      </c>
      <c r="N565" s="1927">
        <f t="shared" ca="1" si="77"/>
        <v>319.01095346845113</v>
      </c>
    </row>
    <row r="566" spans="1:14" s="1900" customFormat="1" x14ac:dyDescent="0.25">
      <c r="A566" s="1890" t="s">
        <v>1417</v>
      </c>
      <c r="B566" s="1891" t="s">
        <v>1438</v>
      </c>
      <c r="C566" s="1892">
        <v>47483</v>
      </c>
      <c r="D566" s="1893">
        <f t="shared" ca="1" si="72"/>
        <v>-7.8740588637919231</v>
      </c>
      <c r="E566" s="1894">
        <v>12</v>
      </c>
      <c r="F566" s="1895">
        <f t="shared" si="73"/>
        <v>51866</v>
      </c>
      <c r="G566" s="1896"/>
      <c r="H566" s="1894">
        <f ca="1">$H$374</f>
        <v>26724.422478898265</v>
      </c>
      <c r="I566" s="1894">
        <f t="shared" ca="1" si="74"/>
        <v>17816.281652598842</v>
      </c>
      <c r="J566" s="1897">
        <f>$J$374/100*90</f>
        <v>5.8325344115371687</v>
      </c>
      <c r="K566" s="1898">
        <f t="shared" ca="1" si="75"/>
        <v>1039.1407582442105</v>
      </c>
      <c r="L566" s="1899">
        <f>$L$374/3*2</f>
        <v>5.7347891031348679E-2</v>
      </c>
      <c r="M566" s="1928">
        <f t="shared" ca="1" si="76"/>
        <v>1021.7261787970551</v>
      </c>
      <c r="N566" s="1927">
        <f t="shared" ca="1" si="77"/>
        <v>447.27775088849387</v>
      </c>
    </row>
    <row r="567" spans="1:14" s="1900" customFormat="1" x14ac:dyDescent="0.25">
      <c r="A567" s="1890" t="s">
        <v>1417</v>
      </c>
      <c r="B567" s="1891" t="s">
        <v>1440</v>
      </c>
      <c r="C567" s="1892">
        <v>47848</v>
      </c>
      <c r="D567" s="1893">
        <f t="shared" ca="1" si="72"/>
        <v>-8.8733744010951412</v>
      </c>
      <c r="E567" s="1894">
        <v>12</v>
      </c>
      <c r="F567" s="1895">
        <f t="shared" si="73"/>
        <v>52231</v>
      </c>
      <c r="G567" s="1896"/>
      <c r="H567" s="1894">
        <f ca="1">$H$420</f>
        <v>31085.855421686749</v>
      </c>
      <c r="I567" s="1894">
        <f t="shared" ca="1" si="74"/>
        <v>20723.903614457831</v>
      </c>
      <c r="J567" s="1897">
        <f>$J$420/100*90</f>
        <v>5.8061208661267116</v>
      </c>
      <c r="K567" s="1898">
        <f t="shared" ca="1" si="75"/>
        <v>1203.2548920350239</v>
      </c>
      <c r="L567" s="1899">
        <f>$L$420/3*2</f>
        <v>5.2859837166821355E-2</v>
      </c>
      <c r="M567" s="1928">
        <f t="shared" ca="1" si="76"/>
        <v>1095.4621705211414</v>
      </c>
      <c r="N567" s="1927">
        <f t="shared" ca="1" si="77"/>
        <v>520.27360024096379</v>
      </c>
    </row>
    <row r="568" spans="1:14" s="1900" customFormat="1" x14ac:dyDescent="0.25">
      <c r="A568" s="1890" t="s">
        <v>1417</v>
      </c>
      <c r="B568" s="1891" t="s">
        <v>1441</v>
      </c>
      <c r="C568" s="1892">
        <v>48213</v>
      </c>
      <c r="D568" s="1893">
        <f t="shared" ca="1" si="72"/>
        <v>-9.8726899383983575</v>
      </c>
      <c r="E568" s="1894">
        <v>12</v>
      </c>
      <c r="F568" s="1895">
        <f t="shared" si="73"/>
        <v>52596</v>
      </c>
      <c r="G568" s="1896"/>
      <c r="H568" s="1894">
        <f ca="1">$H$466</f>
        <v>25956.036304604484</v>
      </c>
      <c r="I568" s="1894">
        <f t="shared" ca="1" si="74"/>
        <v>17304.024203069657</v>
      </c>
      <c r="J568" s="1897">
        <f>$J$466/100*90</f>
        <v>6.1579916406539326</v>
      </c>
      <c r="K568" s="1898">
        <f t="shared" ca="1" si="75"/>
        <v>1065.5803639217627</v>
      </c>
      <c r="L568" s="1899">
        <f>$L$466/3*2</f>
        <v>6.1408861377117006E-2</v>
      </c>
      <c r="M568" s="1928">
        <f t="shared" ca="1" si="76"/>
        <v>1062.6204235525822</v>
      </c>
      <c r="N568" s="1927">
        <f t="shared" ca="1" si="77"/>
        <v>434.41752761806367</v>
      </c>
    </row>
    <row r="569" spans="1:14" s="143" customFormat="1" x14ac:dyDescent="0.25">
      <c r="A569" s="1933" t="s">
        <v>1417</v>
      </c>
      <c r="B569" s="1934" t="s">
        <v>1442</v>
      </c>
      <c r="C569" s="1935">
        <v>48274</v>
      </c>
      <c r="D569" s="1936">
        <f t="shared" ca="1" si="72"/>
        <v>-10.039698836413416</v>
      </c>
      <c r="E569" s="1937">
        <v>12</v>
      </c>
      <c r="F569" s="1938">
        <f t="shared" si="73"/>
        <v>52657</v>
      </c>
      <c r="G569" s="1939">
        <v>75000</v>
      </c>
      <c r="H569" s="1937">
        <f ca="1">$H$512</f>
        <v>11260.150138217001</v>
      </c>
      <c r="I569" s="1937">
        <f ca="1">H569</f>
        <v>11260.150138217001</v>
      </c>
      <c r="J569" s="1940">
        <f>$J$512/100*90</f>
        <v>18.804817504161345</v>
      </c>
      <c r="K569" s="1941">
        <f t="shared" ca="1" si="75"/>
        <v>2117.4506841862785</v>
      </c>
      <c r="L569" s="967">
        <f>$L$512</f>
        <v>0.28791426434757439</v>
      </c>
      <c r="M569" s="1942">
        <f t="shared" ca="1" si="76"/>
        <v>3241.9578434879859</v>
      </c>
      <c r="N569" s="427">
        <f t="shared" ca="1" si="77"/>
        <v>282.68606921993779</v>
      </c>
    </row>
    <row r="570" spans="1:14" x14ac:dyDescent="0.25">
      <c r="A570" s="700"/>
      <c r="B570" s="202"/>
      <c r="C570" s="701"/>
      <c r="D570" s="702"/>
      <c r="E570" s="1812"/>
      <c r="F570" s="1813"/>
      <c r="G570" s="1814"/>
      <c r="H570" s="1812"/>
      <c r="I570" s="1733"/>
      <c r="J570" s="1815"/>
      <c r="K570" s="1816"/>
      <c r="L570" s="1733"/>
      <c r="M570" s="1816"/>
      <c r="N570" s="1921"/>
    </row>
    <row r="571" spans="1:14" s="50" customFormat="1" ht="15.75" customHeight="1" x14ac:dyDescent="0.25">
      <c r="A571" s="2215" t="s">
        <v>85</v>
      </c>
      <c r="B571" s="2216"/>
      <c r="C571" s="1817"/>
      <c r="D571" s="1822"/>
      <c r="E571" s="1819"/>
      <c r="F571" s="1817"/>
      <c r="G571" s="1818">
        <f>SUM(G557:G570)</f>
        <v>75000</v>
      </c>
      <c r="H571" s="1819">
        <f ca="1">SUM(H557:H570)</f>
        <v>218001.19926235979</v>
      </c>
      <c r="I571" s="1819">
        <f ca="1">SUM(I557:I570)</f>
        <v>119349.06297904038</v>
      </c>
      <c r="J571" s="1820"/>
      <c r="K571" s="1821">
        <f ca="1">SUM(K557:K570)</f>
        <v>8640.2641460929844</v>
      </c>
      <c r="L571" s="1817"/>
      <c r="M571" s="1924">
        <f ca="1">SUM(M557:M570)</f>
        <v>9596.0181718493805</v>
      </c>
      <c r="N571" s="1889">
        <f ca="1">SUM(N556:N570)</f>
        <v>3006.5679524880625</v>
      </c>
    </row>
    <row r="572" spans="1:14" s="50" customFormat="1" ht="15.75" customHeight="1" x14ac:dyDescent="0.25">
      <c r="A572" s="2217" t="s">
        <v>1413</v>
      </c>
      <c r="B572" s="2218"/>
      <c r="C572" s="1803"/>
      <c r="D572" s="1823">
        <f ca="1">AVERAGE(D557:D570)</f>
        <v>-4.4740693939872589</v>
      </c>
      <c r="E572" s="1805">
        <f>AVERAGE(E557:E570)</f>
        <v>12.23076923076923</v>
      </c>
      <c r="F572" s="1803"/>
      <c r="G572" s="1804">
        <f t="shared" ref="G572:N572" si="78">AVERAGE(G557:G570)</f>
        <v>75000</v>
      </c>
      <c r="H572" s="1805">
        <f t="shared" ca="1" si="78"/>
        <v>18166.766605196648</v>
      </c>
      <c r="I572" s="1805">
        <f t="shared" ca="1" si="78"/>
        <v>9945.7552482533647</v>
      </c>
      <c r="J572" s="1806">
        <f t="shared" si="78"/>
        <v>5.2998636055063786</v>
      </c>
      <c r="K572" s="1824">
        <f t="shared" ca="1" si="78"/>
        <v>720.02201217441541</v>
      </c>
      <c r="L572" s="1804">
        <f t="shared" si="78"/>
        <v>6.2048229138099903E-2</v>
      </c>
      <c r="M572" s="1925">
        <f t="shared" ca="1" si="78"/>
        <v>799.66818098744841</v>
      </c>
      <c r="N572" s="1922">
        <f t="shared" ca="1" si="78"/>
        <v>250.54732937400522</v>
      </c>
    </row>
    <row r="573" spans="1:14" s="60" customFormat="1" ht="15.75" customHeight="1" x14ac:dyDescent="0.25">
      <c r="A573" s="1790"/>
      <c r="B573" s="1790"/>
      <c r="D573" s="1929"/>
      <c r="E573" s="240"/>
      <c r="G573" s="432"/>
      <c r="H573" s="240"/>
      <c r="I573" s="240"/>
      <c r="J573" s="236"/>
      <c r="K573" s="1930"/>
      <c r="L573" s="432"/>
      <c r="M573" s="1931"/>
      <c r="N573" s="236"/>
    </row>
    <row r="574" spans="1:14" s="60" customFormat="1" ht="15.75" customHeight="1" x14ac:dyDescent="0.25">
      <c r="A574" s="1955"/>
      <c r="B574" s="1955"/>
      <c r="D574" s="1929"/>
      <c r="E574" s="240"/>
      <c r="G574" s="432"/>
      <c r="H574" s="240"/>
      <c r="I574" s="240"/>
      <c r="J574" s="236"/>
      <c r="K574" s="1930"/>
      <c r="L574" s="432"/>
      <c r="M574" s="1931"/>
      <c r="N574" s="236"/>
    </row>
    <row r="575" spans="1:14" s="60" customFormat="1" ht="15.75" customHeight="1" x14ac:dyDescent="0.25">
      <c r="A575" s="1955"/>
      <c r="B575" s="1955"/>
      <c r="D575" s="1929"/>
      <c r="E575" s="240"/>
      <c r="G575" s="432"/>
      <c r="H575" s="240"/>
      <c r="I575" s="240"/>
      <c r="J575" s="236"/>
      <c r="K575" s="1930"/>
      <c r="L575" s="432"/>
      <c r="M575" s="1931"/>
      <c r="N575" s="236"/>
    </row>
    <row r="576" spans="1:14" s="60" customFormat="1" ht="15.75" customHeight="1" x14ac:dyDescent="0.25">
      <c r="A576" s="1955"/>
      <c r="B576" s="1955"/>
      <c r="D576" s="1929"/>
      <c r="E576" s="240"/>
      <c r="G576" s="432"/>
      <c r="H576" s="240"/>
      <c r="I576" s="240"/>
      <c r="J576" s="236"/>
      <c r="K576" s="1930"/>
      <c r="L576" s="432"/>
      <c r="M576" s="1931"/>
      <c r="N576" s="236"/>
    </row>
    <row r="577" spans="1:14" s="60" customFormat="1" ht="15.75" customHeight="1" x14ac:dyDescent="0.25">
      <c r="A577" s="1955"/>
      <c r="B577" s="1955"/>
      <c r="D577" s="1929"/>
      <c r="E577" s="240"/>
      <c r="G577" s="432"/>
      <c r="H577" s="240"/>
      <c r="I577" s="240"/>
      <c r="J577" s="236"/>
      <c r="K577" s="1930"/>
      <c r="L577" s="432"/>
      <c r="M577" s="1931"/>
      <c r="N577" s="236"/>
    </row>
    <row r="578" spans="1:14" s="60" customFormat="1" ht="15.75" customHeight="1" x14ac:dyDescent="0.25">
      <c r="A578" s="1955"/>
      <c r="B578" s="1955"/>
      <c r="D578" s="1929"/>
      <c r="E578" s="240"/>
      <c r="G578" s="432"/>
      <c r="H578" s="240"/>
      <c r="I578" s="240"/>
      <c r="J578" s="236"/>
      <c r="K578" s="1930"/>
      <c r="L578" s="432"/>
      <c r="M578" s="1931"/>
      <c r="N578" s="236"/>
    </row>
    <row r="579" spans="1:14" s="60" customFormat="1" ht="15.75" customHeight="1" x14ac:dyDescent="0.25">
      <c r="A579" s="1955"/>
      <c r="B579" s="1955"/>
      <c r="D579" s="1929"/>
      <c r="E579" s="240"/>
      <c r="G579" s="432"/>
      <c r="H579" s="240"/>
      <c r="I579" s="240"/>
      <c r="J579" s="236"/>
      <c r="K579" s="1930"/>
      <c r="L579" s="432"/>
      <c r="M579" s="1931"/>
      <c r="N579" s="236"/>
    </row>
    <row r="580" spans="1:14" s="60" customFormat="1" ht="15.75" customHeight="1" x14ac:dyDescent="0.25">
      <c r="A580" s="1955"/>
      <c r="B580" s="1955"/>
      <c r="D580" s="1929"/>
      <c r="E580" s="240"/>
      <c r="G580" s="432"/>
      <c r="H580" s="240"/>
      <c r="I580" s="240"/>
      <c r="J580" s="236"/>
      <c r="K580" s="1930"/>
      <c r="L580" s="432"/>
      <c r="M580" s="1931"/>
      <c r="N580" s="236"/>
    </row>
    <row r="581" spans="1:14" s="60" customFormat="1" ht="15.75" customHeight="1" x14ac:dyDescent="0.25">
      <c r="A581" s="1955"/>
      <c r="B581" s="1955"/>
      <c r="D581" s="1929"/>
      <c r="E581" s="240"/>
      <c r="G581" s="432"/>
      <c r="H581" s="240"/>
      <c r="I581" s="240"/>
      <c r="J581" s="236"/>
      <c r="K581" s="1930"/>
      <c r="L581" s="432"/>
      <c r="M581" s="1931"/>
      <c r="N581" s="236"/>
    </row>
    <row r="582" spans="1:14" s="60" customFormat="1" ht="15.75" customHeight="1" x14ac:dyDescent="0.25">
      <c r="A582" s="1955"/>
      <c r="B582" s="1955"/>
      <c r="D582" s="1929"/>
      <c r="E582" s="240"/>
      <c r="G582" s="432"/>
      <c r="H582" s="240"/>
      <c r="I582" s="240"/>
      <c r="J582" s="236"/>
      <c r="K582" s="1930"/>
      <c r="L582" s="432"/>
      <c r="M582" s="1931"/>
      <c r="N582" s="236"/>
    </row>
    <row r="583" spans="1:14" s="60" customFormat="1" ht="15.75" customHeight="1" x14ac:dyDescent="0.25">
      <c r="A583" s="1955"/>
      <c r="B583" s="1955"/>
      <c r="D583" s="1929"/>
      <c r="E583" s="240"/>
      <c r="G583" s="432"/>
      <c r="H583" s="240"/>
      <c r="I583" s="240"/>
      <c r="J583" s="236"/>
      <c r="K583" s="1930"/>
      <c r="L583" s="432"/>
      <c r="M583" s="1931"/>
      <c r="N583" s="236"/>
    </row>
    <row r="584" spans="1:14" s="60" customFormat="1" ht="15.75" customHeight="1" x14ac:dyDescent="0.25">
      <c r="A584" s="1955"/>
      <c r="B584" s="1955"/>
      <c r="D584" s="1929"/>
      <c r="E584" s="240"/>
      <c r="G584" s="432"/>
      <c r="H584" s="240"/>
      <c r="I584" s="240"/>
      <c r="J584" s="236"/>
      <c r="K584" s="1930"/>
      <c r="L584" s="432"/>
      <c r="M584" s="1931"/>
      <c r="N584" s="236"/>
    </row>
    <row r="585" spans="1:14" s="60" customFormat="1" ht="15.75" customHeight="1" x14ac:dyDescent="0.25">
      <c r="A585" s="1955"/>
      <c r="B585" s="1955"/>
      <c r="D585" s="1929"/>
      <c r="E585" s="240"/>
      <c r="G585" s="432"/>
      <c r="H585" s="240"/>
      <c r="I585" s="240"/>
      <c r="J585" s="236"/>
      <c r="K585" s="1930"/>
      <c r="L585" s="432"/>
      <c r="M585" s="1931"/>
      <c r="N585" s="236"/>
    </row>
    <row r="586" spans="1:14" s="60" customFormat="1" ht="15.75" customHeight="1" x14ac:dyDescent="0.25">
      <c r="A586" s="1955"/>
      <c r="B586" s="1955"/>
      <c r="D586" s="1929"/>
      <c r="E586" s="240"/>
      <c r="G586" s="432"/>
      <c r="H586" s="240"/>
      <c r="I586" s="240"/>
      <c r="J586" s="236"/>
      <c r="K586" s="1930"/>
      <c r="L586" s="432"/>
      <c r="M586" s="1931"/>
      <c r="N586" s="236"/>
    </row>
    <row r="587" spans="1:14" s="60" customFormat="1" ht="15.75" customHeight="1" x14ac:dyDescent="0.25">
      <c r="A587" s="1955"/>
      <c r="B587" s="1955"/>
      <c r="D587" s="1929"/>
      <c r="E587" s="240"/>
      <c r="G587" s="432"/>
      <c r="H587" s="240"/>
      <c r="I587" s="240"/>
      <c r="J587" s="236"/>
      <c r="K587" s="1930"/>
      <c r="L587" s="432"/>
      <c r="M587" s="1931"/>
      <c r="N587" s="236"/>
    </row>
    <row r="588" spans="1:14" s="60" customFormat="1" ht="15.75" customHeight="1" x14ac:dyDescent="0.25">
      <c r="A588" s="1955"/>
      <c r="B588" s="1955"/>
      <c r="D588" s="1929"/>
      <c r="E588" s="240"/>
      <c r="G588" s="432"/>
      <c r="H588" s="240"/>
      <c r="I588" s="240"/>
      <c r="J588" s="236"/>
      <c r="K588" s="1930"/>
      <c r="L588" s="432"/>
      <c r="M588" s="1931"/>
      <c r="N588" s="236"/>
    </row>
    <row r="589" spans="1:14" s="60" customFormat="1" ht="15.75" customHeight="1" x14ac:dyDescent="0.25">
      <c r="A589" s="1955"/>
      <c r="B589" s="1955"/>
      <c r="D589" s="1929"/>
      <c r="E589" s="240"/>
      <c r="G589" s="432"/>
      <c r="H589" s="240"/>
      <c r="I589" s="240"/>
      <c r="J589" s="236"/>
      <c r="K589" s="1930"/>
      <c r="L589" s="432"/>
      <c r="M589" s="1931"/>
      <c r="N589" s="236"/>
    </row>
    <row r="590" spans="1:14" s="60" customFormat="1" ht="15.75" customHeight="1" x14ac:dyDescent="0.25">
      <c r="A590" s="1955"/>
      <c r="B590" s="1955"/>
      <c r="D590" s="1929"/>
      <c r="E590" s="240"/>
      <c r="G590" s="432"/>
      <c r="H590" s="240"/>
      <c r="I590" s="240"/>
      <c r="J590" s="236"/>
      <c r="K590" s="1930"/>
      <c r="L590" s="432"/>
      <c r="M590" s="1931"/>
      <c r="N590" s="236"/>
    </row>
    <row r="591" spans="1:14" s="60" customFormat="1" ht="15.75" customHeight="1" x14ac:dyDescent="0.25">
      <c r="A591" s="1955"/>
      <c r="B591" s="1955"/>
      <c r="D591" s="1929"/>
      <c r="E591" s="240"/>
      <c r="G591" s="432"/>
      <c r="H591" s="240"/>
      <c r="I591" s="240"/>
      <c r="J591" s="236"/>
      <c r="K591" s="1930"/>
      <c r="L591" s="432"/>
      <c r="M591" s="1931"/>
      <c r="N591" s="236"/>
    </row>
    <row r="592" spans="1:14" s="60" customFormat="1" ht="15.75" customHeight="1" x14ac:dyDescent="0.25">
      <c r="A592" s="1955"/>
      <c r="B592" s="1955"/>
      <c r="D592" s="1929"/>
      <c r="E592" s="240"/>
      <c r="G592" s="432"/>
      <c r="H592" s="240"/>
      <c r="I592" s="240"/>
      <c r="J592" s="236"/>
      <c r="K592" s="1930"/>
      <c r="L592" s="432"/>
      <c r="M592" s="1931"/>
      <c r="N592" s="236"/>
    </row>
    <row r="593" spans="1:14" s="60" customFormat="1" ht="15.75" customHeight="1" x14ac:dyDescent="0.25">
      <c r="A593" s="1955"/>
      <c r="B593" s="1955"/>
      <c r="D593" s="1929"/>
      <c r="E593" s="240"/>
      <c r="G593" s="432"/>
      <c r="H593" s="240"/>
      <c r="I593" s="240"/>
      <c r="J593" s="236"/>
      <c r="K593" s="1930"/>
      <c r="L593" s="432"/>
      <c r="M593" s="1931"/>
      <c r="N593" s="236"/>
    </row>
    <row r="594" spans="1:14" s="60" customFormat="1" ht="15.75" customHeight="1" x14ac:dyDescent="0.25">
      <c r="A594" s="1955"/>
      <c r="B594" s="1955"/>
      <c r="D594" s="1929"/>
      <c r="E594" s="240"/>
      <c r="G594" s="432"/>
      <c r="H594" s="240"/>
      <c r="I594" s="240"/>
      <c r="J594" s="236"/>
      <c r="K594" s="1930"/>
      <c r="L594" s="432"/>
      <c r="M594" s="1931"/>
      <c r="N594" s="236"/>
    </row>
    <row r="595" spans="1:14" s="60" customFormat="1" ht="15.75" customHeight="1" x14ac:dyDescent="0.25">
      <c r="A595" s="1955"/>
      <c r="B595" s="1955"/>
      <c r="D595" s="1929"/>
      <c r="E595" s="240"/>
      <c r="G595" s="432"/>
      <c r="H595" s="240"/>
      <c r="I595" s="240"/>
      <c r="J595" s="236"/>
      <c r="K595" s="1930"/>
      <c r="L595" s="432"/>
      <c r="M595" s="1931"/>
      <c r="N595" s="236"/>
    </row>
    <row r="596" spans="1:14" s="60" customFormat="1" ht="15.75" customHeight="1" x14ac:dyDescent="0.25">
      <c r="A596" s="1955"/>
      <c r="B596" s="1955"/>
      <c r="D596" s="1929"/>
      <c r="E596" s="240"/>
      <c r="G596" s="432"/>
      <c r="H596" s="240"/>
      <c r="I596" s="240"/>
      <c r="J596" s="236"/>
      <c r="K596" s="1930"/>
      <c r="L596" s="432"/>
      <c r="M596" s="1931"/>
      <c r="N596" s="236"/>
    </row>
    <row r="597" spans="1:14" s="60" customFormat="1" ht="15.75" customHeight="1" x14ac:dyDescent="0.25">
      <c r="A597" s="1955"/>
      <c r="B597" s="1955"/>
      <c r="D597" s="1929"/>
      <c r="E597" s="240"/>
      <c r="G597" s="432"/>
      <c r="H597" s="240"/>
      <c r="I597" s="240"/>
      <c r="J597" s="236"/>
      <c r="K597" s="1930"/>
      <c r="L597" s="432"/>
      <c r="M597" s="1931"/>
      <c r="N597" s="236"/>
    </row>
    <row r="598" spans="1:14" x14ac:dyDescent="0.25">
      <c r="A598" s="50" t="s">
        <v>1415</v>
      </c>
      <c r="B598" s="50"/>
      <c r="C598" s="1825"/>
      <c r="D598" s="1876">
        <v>48944</v>
      </c>
      <c r="F598" s="50"/>
      <c r="G598" s="50"/>
      <c r="H598" s="50"/>
      <c r="I598" s="50"/>
      <c r="J598" s="50"/>
      <c r="K598" s="50"/>
      <c r="L598" s="50"/>
      <c r="M598" s="50"/>
    </row>
    <row r="599" spans="1:14" x14ac:dyDescent="0.25">
      <c r="N599" s="49"/>
    </row>
    <row r="600" spans="1:14" s="49" customFormat="1" ht="66.75" customHeight="1" x14ac:dyDescent="0.25">
      <c r="A600" s="2064" t="s">
        <v>344</v>
      </c>
      <c r="B600" s="2066" t="s">
        <v>3</v>
      </c>
      <c r="C600" s="2066" t="s">
        <v>66</v>
      </c>
      <c r="D600" s="1789" t="s">
        <v>335</v>
      </c>
      <c r="E600" s="1810" t="s">
        <v>342</v>
      </c>
      <c r="F600" s="2219" t="s">
        <v>334</v>
      </c>
      <c r="G600" s="2221" t="s">
        <v>343</v>
      </c>
      <c r="H600" s="2211" t="s">
        <v>7</v>
      </c>
      <c r="I600" s="2211" t="s">
        <v>1410</v>
      </c>
      <c r="J600" s="2010" t="s">
        <v>54</v>
      </c>
      <c r="K600" s="2213" t="s">
        <v>1444</v>
      </c>
      <c r="L600" s="2202" t="s">
        <v>1411</v>
      </c>
      <c r="M600" s="2223" t="s">
        <v>1412</v>
      </c>
      <c r="N600" s="2012" t="s">
        <v>1433</v>
      </c>
    </row>
    <row r="601" spans="1:14" s="2" customFormat="1" ht="29.25" customHeight="1" x14ac:dyDescent="0.25">
      <c r="A601" s="2065"/>
      <c r="B601" s="2067"/>
      <c r="C601" s="2067"/>
      <c r="D601" s="699">
        <f ca="1">TODAY()</f>
        <v>44607</v>
      </c>
      <c r="E601" s="1811">
        <v>365.25</v>
      </c>
      <c r="F601" s="2220"/>
      <c r="G601" s="2222"/>
      <c r="H601" s="2212"/>
      <c r="I601" s="2212"/>
      <c r="J601" s="2011"/>
      <c r="K601" s="2214"/>
      <c r="L601" s="2203"/>
      <c r="M601" s="2224"/>
      <c r="N601" s="2013"/>
    </row>
    <row r="602" spans="1:14" x14ac:dyDescent="0.25">
      <c r="A602" s="694" t="s">
        <v>336</v>
      </c>
      <c r="B602" s="196"/>
      <c r="C602" s="695"/>
      <c r="D602" s="696"/>
      <c r="E602" s="17"/>
      <c r="F602" s="1807"/>
      <c r="G602" s="1808"/>
      <c r="H602" s="17"/>
      <c r="I602" s="472"/>
      <c r="J602" s="787"/>
      <c r="K602" s="1809"/>
      <c r="L602" s="472"/>
      <c r="M602" s="1809"/>
      <c r="N602" s="458"/>
    </row>
    <row r="603" spans="1:14" s="7" customFormat="1" x14ac:dyDescent="0.25">
      <c r="A603" s="1396" t="s">
        <v>1139</v>
      </c>
      <c r="B603" s="101" t="s">
        <v>1137</v>
      </c>
      <c r="C603" s="192">
        <v>44004</v>
      </c>
      <c r="D603" s="682">
        <f t="shared" ref="D603:D615" ca="1" si="79">($D$4-C603)/365.25</f>
        <v>1.6509240246406571</v>
      </c>
      <c r="E603" s="1283">
        <v>13</v>
      </c>
      <c r="F603" s="1797">
        <f t="shared" ref="F603:F615" si="80">C603+(E603*$E$4)</f>
        <v>48752.25</v>
      </c>
      <c r="G603" s="1827" t="s">
        <v>1416</v>
      </c>
      <c r="H603" s="1283"/>
      <c r="I603" s="1283"/>
      <c r="J603" s="754"/>
      <c r="K603" s="1802"/>
      <c r="L603" s="141"/>
      <c r="M603" s="1794"/>
      <c r="N603" s="1919"/>
    </row>
    <row r="604" spans="1:14" s="1838" customFormat="1" x14ac:dyDescent="0.25">
      <c r="A604" s="1828" t="s">
        <v>1417</v>
      </c>
      <c r="B604" s="1829" t="s">
        <v>1418</v>
      </c>
      <c r="C604" s="1839">
        <v>44926</v>
      </c>
      <c r="D604" s="1831">
        <f t="shared" ca="1" si="79"/>
        <v>-0.87337440109514031</v>
      </c>
      <c r="E604" s="1832">
        <v>12</v>
      </c>
      <c r="F604" s="1833">
        <f t="shared" si="80"/>
        <v>49309</v>
      </c>
      <c r="G604" s="1834"/>
      <c r="H604" s="1832">
        <f ca="1">$H$52</f>
        <v>14925.612569718405</v>
      </c>
      <c r="I604" s="1832">
        <v>0</v>
      </c>
      <c r="J604" s="1835">
        <v>0</v>
      </c>
      <c r="K604" s="1836">
        <v>0</v>
      </c>
      <c r="L604" s="1837">
        <v>0</v>
      </c>
      <c r="M604" s="1926">
        <v>0</v>
      </c>
      <c r="N604" s="1923">
        <v>0</v>
      </c>
    </row>
    <row r="605" spans="1:14" s="1838" customFormat="1" x14ac:dyDescent="0.25">
      <c r="A605" s="1828" t="s">
        <v>1417</v>
      </c>
      <c r="B605" s="1829" t="s">
        <v>1419</v>
      </c>
      <c r="C605" s="1839">
        <v>45291</v>
      </c>
      <c r="D605" s="1831">
        <f t="shared" ca="1" si="79"/>
        <v>-1.8726899383983573</v>
      </c>
      <c r="E605" s="1832">
        <v>12</v>
      </c>
      <c r="F605" s="1833">
        <f t="shared" si="80"/>
        <v>49674</v>
      </c>
      <c r="G605" s="1834"/>
      <c r="H605" s="1832">
        <f ca="1">$H$99</f>
        <v>11223.957389580974</v>
      </c>
      <c r="I605" s="1832">
        <v>0</v>
      </c>
      <c r="J605" s="1835">
        <v>0</v>
      </c>
      <c r="K605" s="1836">
        <v>0</v>
      </c>
      <c r="L605" s="1837">
        <v>0</v>
      </c>
      <c r="M605" s="1926">
        <v>0</v>
      </c>
      <c r="N605" s="1923">
        <v>0</v>
      </c>
    </row>
    <row r="606" spans="1:14" s="1838" customFormat="1" x14ac:dyDescent="0.25">
      <c r="A606" s="1828" t="s">
        <v>1417</v>
      </c>
      <c r="B606" s="1829" t="s">
        <v>1427</v>
      </c>
      <c r="C606" s="1839">
        <v>45657</v>
      </c>
      <c r="D606" s="1831">
        <f t="shared" ca="1" si="79"/>
        <v>-2.8747433264887063</v>
      </c>
      <c r="E606" s="1832">
        <v>12</v>
      </c>
      <c r="F606" s="1833">
        <f t="shared" si="80"/>
        <v>50040</v>
      </c>
      <c r="G606" s="1834"/>
      <c r="H606" s="1832">
        <f ca="1">$H$145</f>
        <v>7769.9932656646497</v>
      </c>
      <c r="I606" s="1832">
        <v>0</v>
      </c>
      <c r="J606" s="1835">
        <v>0</v>
      </c>
      <c r="K606" s="1836">
        <v>0</v>
      </c>
      <c r="L606" s="1837">
        <v>0</v>
      </c>
      <c r="M606" s="1926">
        <v>0</v>
      </c>
      <c r="N606" s="1923">
        <v>0</v>
      </c>
    </row>
    <row r="607" spans="1:14" s="1838" customFormat="1" x14ac:dyDescent="0.25">
      <c r="A607" s="1828" t="s">
        <v>1417</v>
      </c>
      <c r="B607" s="1829" t="s">
        <v>1428</v>
      </c>
      <c r="C607" s="1839">
        <v>46022</v>
      </c>
      <c r="D607" s="1831">
        <f t="shared" ca="1" si="79"/>
        <v>-3.8740588637919235</v>
      </c>
      <c r="E607" s="1832">
        <v>12</v>
      </c>
      <c r="F607" s="1833">
        <f t="shared" si="80"/>
        <v>50405</v>
      </c>
      <c r="G607" s="1834"/>
      <c r="H607" s="1832">
        <f ca="1">$H$190</f>
        <v>13676.443130481</v>
      </c>
      <c r="I607" s="1832">
        <v>0</v>
      </c>
      <c r="J607" s="1835">
        <v>0</v>
      </c>
      <c r="K607" s="1836">
        <v>0</v>
      </c>
      <c r="L607" s="1837">
        <v>0</v>
      </c>
      <c r="M607" s="1926">
        <v>0</v>
      </c>
      <c r="N607" s="1923">
        <v>0</v>
      </c>
    </row>
    <row r="608" spans="1:14" s="1900" customFormat="1" x14ac:dyDescent="0.25">
      <c r="A608" s="1890" t="s">
        <v>1417</v>
      </c>
      <c r="B608" s="1891" t="s">
        <v>1430</v>
      </c>
      <c r="C608" s="1892">
        <v>46387</v>
      </c>
      <c r="D608" s="1893">
        <f t="shared" ca="1" si="79"/>
        <v>-4.8733744010951403</v>
      </c>
      <c r="E608" s="1894">
        <v>12</v>
      </c>
      <c r="F608" s="1895">
        <f t="shared" si="80"/>
        <v>50770</v>
      </c>
      <c r="G608" s="1896"/>
      <c r="H608" s="1894">
        <f ca="1">$H$236</f>
        <v>26706.803659539473</v>
      </c>
      <c r="I608" s="1894">
        <f t="shared" ref="I608:I613" ca="1" si="81">H608/3*2</f>
        <v>17804.535773026317</v>
      </c>
      <c r="J608" s="1897">
        <f>$J$236/100*90</f>
        <v>5.7921827233819547</v>
      </c>
      <c r="K608" s="1898">
        <f t="shared" ref="K608:K615" ca="1" si="82">I608/100*J608</f>
        <v>1031.2712450235902</v>
      </c>
      <c r="L608" s="1899">
        <f>$L$236/3*2</f>
        <v>5.0419832882056655E-2</v>
      </c>
      <c r="M608" s="1928">
        <f t="shared" ref="M608:M614" ca="1" si="83">I608*L608</f>
        <v>897.70171821858628</v>
      </c>
      <c r="N608" s="1927">
        <f t="shared" ref="N608:N615" ca="1" si="84">((26.83+23.38)/2)*I608/1000</f>
        <v>446.98287058182564</v>
      </c>
    </row>
    <row r="609" spans="1:14" s="1900" customFormat="1" x14ac:dyDescent="0.25">
      <c r="A609" s="1890" t="s">
        <v>1417</v>
      </c>
      <c r="B609" s="1891" t="s">
        <v>1435</v>
      </c>
      <c r="C609" s="1892">
        <v>46752</v>
      </c>
      <c r="D609" s="1893">
        <f t="shared" ca="1" si="79"/>
        <v>-5.8726899383983575</v>
      </c>
      <c r="E609" s="1894">
        <v>12</v>
      </c>
      <c r="F609" s="1895">
        <f t="shared" si="80"/>
        <v>51135</v>
      </c>
      <c r="G609" s="1896"/>
      <c r="H609" s="1894">
        <f ca="1">$H$282</f>
        <v>23634.669242029926</v>
      </c>
      <c r="I609" s="1894">
        <f t="shared" ca="1" si="81"/>
        <v>15756.446161353284</v>
      </c>
      <c r="J609" s="1897">
        <f>$J$282/100*90</f>
        <v>6.0804839654735146</v>
      </c>
      <c r="K609" s="1898">
        <f t="shared" ca="1" si="82"/>
        <v>958.06818236955348</v>
      </c>
      <c r="L609" s="1899">
        <f>$L$282/3*2</f>
        <v>5.9839377800321232E-2</v>
      </c>
      <c r="M609" s="1928">
        <f t="shared" ca="1" si="83"/>
        <v>942.8559346396404</v>
      </c>
      <c r="N609" s="1927">
        <f t="shared" ca="1" si="84"/>
        <v>395.56558088077412</v>
      </c>
    </row>
    <row r="610" spans="1:14" s="1900" customFormat="1" x14ac:dyDescent="0.25">
      <c r="A610" s="1890" t="s">
        <v>1417</v>
      </c>
      <c r="B610" s="1891" t="s">
        <v>1437</v>
      </c>
      <c r="C610" s="1892">
        <v>47118</v>
      </c>
      <c r="D610" s="1893">
        <f t="shared" ca="1" si="79"/>
        <v>-6.8747433264887068</v>
      </c>
      <c r="E610" s="1894">
        <v>12</v>
      </c>
      <c r="F610" s="1895">
        <f t="shared" si="80"/>
        <v>51501</v>
      </c>
      <c r="G610" s="1896"/>
      <c r="H610" s="1894">
        <f ca="1">$H$328</f>
        <v>19060.602676864244</v>
      </c>
      <c r="I610" s="1894">
        <f t="shared" ca="1" si="81"/>
        <v>12707.068451242829</v>
      </c>
      <c r="J610" s="1897">
        <f>$J$328/100*90</f>
        <v>4.7779390348638913</v>
      </c>
      <c r="K610" s="1898">
        <f t="shared" ca="1" si="82"/>
        <v>607.13598371880562</v>
      </c>
      <c r="L610" s="1899">
        <f>$L$328/3*2</f>
        <v>4.2945727171265817E-2</v>
      </c>
      <c r="M610" s="1928">
        <f t="shared" ca="1" si="83"/>
        <v>545.71429485367378</v>
      </c>
      <c r="N610" s="1927">
        <f t="shared" ca="1" si="84"/>
        <v>319.01095346845113</v>
      </c>
    </row>
    <row r="611" spans="1:14" s="1900" customFormat="1" x14ac:dyDescent="0.25">
      <c r="A611" s="1890" t="s">
        <v>1417</v>
      </c>
      <c r="B611" s="1891" t="s">
        <v>1438</v>
      </c>
      <c r="C611" s="1892">
        <v>47483</v>
      </c>
      <c r="D611" s="1893">
        <f t="shared" ca="1" si="79"/>
        <v>-7.8740588637919231</v>
      </c>
      <c r="E611" s="1894">
        <v>12</v>
      </c>
      <c r="F611" s="1895">
        <f t="shared" si="80"/>
        <v>51866</v>
      </c>
      <c r="G611" s="1896"/>
      <c r="H611" s="1894">
        <f ca="1">$H$374</f>
        <v>26724.422478898265</v>
      </c>
      <c r="I611" s="1894">
        <f t="shared" ca="1" si="81"/>
        <v>17816.281652598842</v>
      </c>
      <c r="J611" s="1897">
        <f>$J$374/100*90</f>
        <v>5.8325344115371687</v>
      </c>
      <c r="K611" s="1898">
        <f t="shared" ca="1" si="82"/>
        <v>1039.1407582442105</v>
      </c>
      <c r="L611" s="1899">
        <f>$L$374/3*2</f>
        <v>5.7347891031348679E-2</v>
      </c>
      <c r="M611" s="1928">
        <f t="shared" ca="1" si="83"/>
        <v>1021.7261787970551</v>
      </c>
      <c r="N611" s="1927">
        <f t="shared" ca="1" si="84"/>
        <v>447.27775088849387</v>
      </c>
    </row>
    <row r="612" spans="1:14" s="1900" customFormat="1" x14ac:dyDescent="0.25">
      <c r="A612" s="1890" t="s">
        <v>1417</v>
      </c>
      <c r="B612" s="1891" t="s">
        <v>1440</v>
      </c>
      <c r="C612" s="1892">
        <v>47848</v>
      </c>
      <c r="D612" s="1893">
        <f t="shared" ca="1" si="79"/>
        <v>-8.8733744010951412</v>
      </c>
      <c r="E612" s="1894">
        <v>12</v>
      </c>
      <c r="F612" s="1895">
        <f t="shared" si="80"/>
        <v>52231</v>
      </c>
      <c r="G612" s="1896"/>
      <c r="H612" s="1894">
        <f ca="1">$H$420</f>
        <v>31085.855421686749</v>
      </c>
      <c r="I612" s="1894">
        <f t="shared" ca="1" si="81"/>
        <v>20723.903614457831</v>
      </c>
      <c r="J612" s="1897">
        <f>$J$420/100*90</f>
        <v>5.8061208661267116</v>
      </c>
      <c r="K612" s="1898">
        <f t="shared" ca="1" si="82"/>
        <v>1203.2548920350239</v>
      </c>
      <c r="L612" s="1899">
        <f>$L$420/3*2</f>
        <v>5.2859837166821355E-2</v>
      </c>
      <c r="M612" s="1928">
        <f t="shared" ca="1" si="83"/>
        <v>1095.4621705211414</v>
      </c>
      <c r="N612" s="1927">
        <f t="shared" ca="1" si="84"/>
        <v>520.27360024096379</v>
      </c>
    </row>
    <row r="613" spans="1:14" s="1900" customFormat="1" x14ac:dyDescent="0.25">
      <c r="A613" s="1890" t="s">
        <v>1417</v>
      </c>
      <c r="B613" s="1891" t="s">
        <v>1441</v>
      </c>
      <c r="C613" s="1892">
        <v>48213</v>
      </c>
      <c r="D613" s="1893">
        <f t="shared" ca="1" si="79"/>
        <v>-9.8726899383983575</v>
      </c>
      <c r="E613" s="1894">
        <v>12</v>
      </c>
      <c r="F613" s="1895">
        <f t="shared" si="80"/>
        <v>52596</v>
      </c>
      <c r="G613" s="1896"/>
      <c r="H613" s="1894">
        <f ca="1">$H$466</f>
        <v>25956.036304604484</v>
      </c>
      <c r="I613" s="1894">
        <f t="shared" ca="1" si="81"/>
        <v>17304.024203069657</v>
      </c>
      <c r="J613" s="1897">
        <f>$J$466/100*90</f>
        <v>6.1579916406539326</v>
      </c>
      <c r="K613" s="1898">
        <f t="shared" ca="1" si="82"/>
        <v>1065.5803639217627</v>
      </c>
      <c r="L613" s="1899">
        <f>$L$466/3*2</f>
        <v>6.1408861377117006E-2</v>
      </c>
      <c r="M613" s="1928">
        <f t="shared" ca="1" si="83"/>
        <v>1062.6204235525822</v>
      </c>
      <c r="N613" s="1927">
        <f t="shared" ca="1" si="84"/>
        <v>434.41752761806367</v>
      </c>
    </row>
    <row r="614" spans="1:14" s="143" customFormat="1" x14ac:dyDescent="0.25">
      <c r="A614" s="1933" t="s">
        <v>1417</v>
      </c>
      <c r="B614" s="1934" t="s">
        <v>1442</v>
      </c>
      <c r="C614" s="1935">
        <v>48274</v>
      </c>
      <c r="D614" s="1936">
        <f t="shared" ca="1" si="79"/>
        <v>-10.039698836413416</v>
      </c>
      <c r="E614" s="1937">
        <v>12</v>
      </c>
      <c r="F614" s="1938">
        <f t="shared" si="80"/>
        <v>52657</v>
      </c>
      <c r="G614" s="1939"/>
      <c r="H614" s="1937">
        <f ca="1">$H$512</f>
        <v>11260.150138217001</v>
      </c>
      <c r="I614" s="1937">
        <f ca="1">H614</f>
        <v>11260.150138217001</v>
      </c>
      <c r="J614" s="1940">
        <f>$J$512/100*90</f>
        <v>18.804817504161345</v>
      </c>
      <c r="K614" s="1941">
        <f t="shared" ca="1" si="82"/>
        <v>2117.4506841862785</v>
      </c>
      <c r="L614" s="967">
        <f>$L$512</f>
        <v>0.28791426434757439</v>
      </c>
      <c r="M614" s="1942">
        <f t="shared" ca="1" si="83"/>
        <v>3241.9578434879859</v>
      </c>
      <c r="N614" s="427">
        <f t="shared" ca="1" si="84"/>
        <v>282.68606921993779</v>
      </c>
    </row>
    <row r="615" spans="1:14" s="1900" customFormat="1" x14ac:dyDescent="0.25">
      <c r="A615" s="1890" t="s">
        <v>1417</v>
      </c>
      <c r="B615" s="1891" t="s">
        <v>1443</v>
      </c>
      <c r="C615" s="1892">
        <v>48944</v>
      </c>
      <c r="D615" s="1893">
        <f t="shared" ca="1" si="79"/>
        <v>-11.874058863791923</v>
      </c>
      <c r="E615" s="1894">
        <v>12</v>
      </c>
      <c r="F615" s="1895">
        <f t="shared" si="80"/>
        <v>53327</v>
      </c>
      <c r="G615" s="1896">
        <v>50000</v>
      </c>
      <c r="H615" s="1894">
        <f ca="1">$H$558</f>
        <v>5976.6529850746265</v>
      </c>
      <c r="I615" s="1894">
        <f ca="1">H615/3*2</f>
        <v>3984.4353233830843</v>
      </c>
      <c r="J615" s="1897">
        <f>$J$558/100*90</f>
        <v>9.3116638078902234</v>
      </c>
      <c r="K615" s="1898">
        <f t="shared" ca="1" si="82"/>
        <v>371.01722195625644</v>
      </c>
      <c r="L615" s="1899">
        <f>$L$558/3*2</f>
        <v>8.7895305253795811E-2</v>
      </c>
      <c r="M615" s="1928">
        <f ca="1">I615*L615</f>
        <v>350.21315901276284</v>
      </c>
      <c r="N615" s="1927">
        <f t="shared" ca="1" si="84"/>
        <v>100.02924879353232</v>
      </c>
    </row>
    <row r="616" spans="1:14" x14ac:dyDescent="0.25">
      <c r="A616" s="700"/>
      <c r="B616" s="202"/>
      <c r="C616" s="701"/>
      <c r="D616" s="702"/>
      <c r="E616" s="1812"/>
      <c r="F616" s="1813"/>
      <c r="G616" s="1814"/>
      <c r="H616" s="1812"/>
      <c r="I616" s="1733"/>
      <c r="J616" s="1815"/>
      <c r="K616" s="1816"/>
      <c r="L616" s="1733"/>
      <c r="M616" s="1816"/>
      <c r="N616" s="1921"/>
    </row>
    <row r="617" spans="1:14" s="50" customFormat="1" ht="15.75" customHeight="1" x14ac:dyDescent="0.25">
      <c r="A617" s="2215" t="s">
        <v>85</v>
      </c>
      <c r="B617" s="2216"/>
      <c r="C617" s="1817"/>
      <c r="D617" s="1822"/>
      <c r="E617" s="1819"/>
      <c r="F617" s="1817"/>
      <c r="G617" s="1818">
        <f>SUM(G603:G616)</f>
        <v>50000</v>
      </c>
      <c r="H617" s="1819">
        <f ca="1">SUM(H603:H616)</f>
        <v>218001.19926235979</v>
      </c>
      <c r="I617" s="1819">
        <f ca="1">SUM(I603:I616)</f>
        <v>117356.84531734884</v>
      </c>
      <c r="J617" s="1820"/>
      <c r="K617" s="1821">
        <f ca="1">SUM(K603:K616)</f>
        <v>8392.9193314554814</v>
      </c>
      <c r="L617" s="1817"/>
      <c r="M617" s="1924">
        <f ca="1">SUM(M603:M616)</f>
        <v>9158.2517230834274</v>
      </c>
      <c r="N617" s="1889">
        <f ca="1">SUM(N602:N616)</f>
        <v>2946.2436016920424</v>
      </c>
    </row>
    <row r="618" spans="1:14" s="50" customFormat="1" ht="15.75" customHeight="1" x14ac:dyDescent="0.25">
      <c r="A618" s="2217" t="s">
        <v>1413</v>
      </c>
      <c r="B618" s="2218"/>
      <c r="C618" s="1803"/>
      <c r="D618" s="1823">
        <f ca="1">AVERAGE(D603:D616)</f>
        <v>-5.6922023903543408</v>
      </c>
      <c r="E618" s="1805">
        <f>AVERAGE(E603:E616)</f>
        <v>12.076923076923077</v>
      </c>
      <c r="F618" s="1803"/>
      <c r="G618" s="1804">
        <f t="shared" ref="G618:N618" si="85">AVERAGE(G603:G616)</f>
        <v>50000</v>
      </c>
      <c r="H618" s="1805">
        <f t="shared" ca="1" si="85"/>
        <v>18166.766605196648</v>
      </c>
      <c r="I618" s="1805">
        <f t="shared" ca="1" si="85"/>
        <v>9779.7371097790692</v>
      </c>
      <c r="J618" s="1806">
        <f t="shared" si="85"/>
        <v>5.2136444961740622</v>
      </c>
      <c r="K618" s="1824">
        <f t="shared" ca="1" si="85"/>
        <v>699.40994428795682</v>
      </c>
      <c r="L618" s="1804">
        <f t="shared" si="85"/>
        <v>5.8385924752525076E-2</v>
      </c>
      <c r="M618" s="1925">
        <f t="shared" ca="1" si="85"/>
        <v>763.18764359028557</v>
      </c>
      <c r="N618" s="1922">
        <f t="shared" ca="1" si="85"/>
        <v>245.52030014100353</v>
      </c>
    </row>
    <row r="619" spans="1:14" s="60" customFormat="1" ht="15.75" customHeight="1" x14ac:dyDescent="0.25">
      <c r="A619" s="1790"/>
      <c r="B619" s="1790"/>
      <c r="D619" s="1929"/>
      <c r="E619" s="240"/>
      <c r="G619" s="432"/>
      <c r="H619" s="240"/>
      <c r="I619" s="240"/>
      <c r="J619" s="236"/>
      <c r="K619" s="1930"/>
      <c r="L619" s="432"/>
      <c r="M619" s="1931"/>
      <c r="N619" s="236"/>
    </row>
    <row r="620" spans="1:14" s="60" customFormat="1" ht="15.75" customHeight="1" x14ac:dyDescent="0.25">
      <c r="A620" s="1955"/>
      <c r="B620" s="1955"/>
      <c r="D620" s="1929"/>
      <c r="E620" s="240"/>
      <c r="G620" s="432"/>
      <c r="H620" s="240"/>
      <c r="I620" s="240"/>
      <c r="J620" s="236"/>
      <c r="K620" s="1930"/>
      <c r="L620" s="432"/>
      <c r="M620" s="1931"/>
      <c r="N620" s="236"/>
    </row>
    <row r="621" spans="1:14" s="60" customFormat="1" ht="15.75" customHeight="1" x14ac:dyDescent="0.25">
      <c r="A621" s="1955"/>
      <c r="B621" s="1955"/>
      <c r="D621" s="1929"/>
      <c r="E621" s="240"/>
      <c r="G621" s="432"/>
      <c r="H621" s="240"/>
      <c r="I621" s="240"/>
      <c r="J621" s="236"/>
      <c r="K621" s="1930"/>
      <c r="L621" s="432"/>
      <c r="M621" s="1931"/>
      <c r="N621" s="236"/>
    </row>
    <row r="622" spans="1:14" s="60" customFormat="1" ht="15.75" customHeight="1" x14ac:dyDescent="0.25">
      <c r="A622" s="1955"/>
      <c r="B622" s="1955"/>
      <c r="D622" s="1929"/>
      <c r="E622" s="240"/>
      <c r="G622" s="432"/>
      <c r="H622" s="240"/>
      <c r="I622" s="240"/>
      <c r="J622" s="236"/>
      <c r="K622" s="1930"/>
      <c r="L622" s="432"/>
      <c r="M622" s="1931"/>
      <c r="N622" s="236"/>
    </row>
    <row r="623" spans="1:14" s="60" customFormat="1" ht="15.75" customHeight="1" x14ac:dyDescent="0.25">
      <c r="A623" s="1955"/>
      <c r="B623" s="1955"/>
      <c r="D623" s="1929"/>
      <c r="E623" s="240"/>
      <c r="G623" s="432"/>
      <c r="H623" s="240"/>
      <c r="I623" s="240"/>
      <c r="J623" s="236"/>
      <c r="K623" s="1930"/>
      <c r="L623" s="432"/>
      <c r="M623" s="1931"/>
      <c r="N623" s="236"/>
    </row>
    <row r="624" spans="1:14" s="60" customFormat="1" ht="15.75" customHeight="1" x14ac:dyDescent="0.25">
      <c r="A624" s="1955"/>
      <c r="B624" s="1955"/>
      <c r="D624" s="1929"/>
      <c r="E624" s="240"/>
      <c r="G624" s="432"/>
      <c r="H624" s="240"/>
      <c r="I624" s="240"/>
      <c r="J624" s="236"/>
      <c r="K624" s="1930"/>
      <c r="L624" s="432"/>
      <c r="M624" s="1931"/>
      <c r="N624" s="236"/>
    </row>
    <row r="625" spans="1:14" s="60" customFormat="1" ht="15.75" customHeight="1" x14ac:dyDescent="0.25">
      <c r="A625" s="1955"/>
      <c r="B625" s="1955"/>
      <c r="D625" s="1929"/>
      <c r="E625" s="240"/>
      <c r="G625" s="432"/>
      <c r="H625" s="240"/>
      <c r="I625" s="240"/>
      <c r="J625" s="236"/>
      <c r="K625" s="1930"/>
      <c r="L625" s="432"/>
      <c r="M625" s="1931"/>
      <c r="N625" s="236"/>
    </row>
    <row r="626" spans="1:14" s="60" customFormat="1" ht="15.75" customHeight="1" x14ac:dyDescent="0.25">
      <c r="A626" s="1955"/>
      <c r="B626" s="1955"/>
      <c r="D626" s="1929"/>
      <c r="E626" s="240"/>
      <c r="G626" s="432"/>
      <c r="H626" s="240"/>
      <c r="I626" s="240"/>
      <c r="J626" s="236"/>
      <c r="K626" s="1930"/>
      <c r="L626" s="432"/>
      <c r="M626" s="1931"/>
      <c r="N626" s="236"/>
    </row>
    <row r="627" spans="1:14" s="60" customFormat="1" ht="15.75" customHeight="1" x14ac:dyDescent="0.25">
      <c r="A627" s="1955"/>
      <c r="B627" s="1955"/>
      <c r="D627" s="1929"/>
      <c r="E627" s="240"/>
      <c r="G627" s="432"/>
      <c r="H627" s="240"/>
      <c r="I627" s="240"/>
      <c r="J627" s="236"/>
      <c r="K627" s="1930"/>
      <c r="L627" s="432"/>
      <c r="M627" s="1931"/>
      <c r="N627" s="236"/>
    </row>
    <row r="628" spans="1:14" s="60" customFormat="1" ht="15.75" customHeight="1" x14ac:dyDescent="0.25">
      <c r="A628" s="1955"/>
      <c r="B628" s="1955"/>
      <c r="D628" s="1929"/>
      <c r="E628" s="240"/>
      <c r="G628" s="432"/>
      <c r="H628" s="240"/>
      <c r="I628" s="240"/>
      <c r="J628" s="236"/>
      <c r="K628" s="1930"/>
      <c r="L628" s="432"/>
      <c r="M628" s="1931"/>
      <c r="N628" s="236"/>
    </row>
    <row r="629" spans="1:14" s="60" customFormat="1" ht="15.75" customHeight="1" x14ac:dyDescent="0.25">
      <c r="A629" s="1955"/>
      <c r="B629" s="1955"/>
      <c r="D629" s="1929"/>
      <c r="E629" s="240"/>
      <c r="G629" s="432"/>
      <c r="H629" s="240"/>
      <c r="I629" s="240"/>
      <c r="J629" s="236"/>
      <c r="K629" s="1930"/>
      <c r="L629" s="432"/>
      <c r="M629" s="1931"/>
      <c r="N629" s="236"/>
    </row>
    <row r="630" spans="1:14" s="60" customFormat="1" ht="15.75" customHeight="1" x14ac:dyDescent="0.25">
      <c r="A630" s="1955"/>
      <c r="B630" s="1955"/>
      <c r="D630" s="1929"/>
      <c r="E630" s="240"/>
      <c r="G630" s="432"/>
      <c r="H630" s="240"/>
      <c r="I630" s="240"/>
      <c r="J630" s="236"/>
      <c r="K630" s="1930"/>
      <c r="L630" s="432"/>
      <c r="M630" s="1931"/>
      <c r="N630" s="236"/>
    </row>
    <row r="631" spans="1:14" s="60" customFormat="1" ht="15.75" customHeight="1" x14ac:dyDescent="0.25">
      <c r="A631" s="1955"/>
      <c r="B631" s="1955"/>
      <c r="D631" s="1929"/>
      <c r="E631" s="240"/>
      <c r="G631" s="432"/>
      <c r="H631" s="240"/>
      <c r="I631" s="240"/>
      <c r="J631" s="236"/>
      <c r="K631" s="1930"/>
      <c r="L631" s="432"/>
      <c r="M631" s="1931"/>
      <c r="N631" s="236"/>
    </row>
    <row r="632" spans="1:14" s="60" customFormat="1" ht="15.75" customHeight="1" x14ac:dyDescent="0.25">
      <c r="A632" s="1955"/>
      <c r="B632" s="1955"/>
      <c r="D632" s="1929"/>
      <c r="E632" s="240"/>
      <c r="G632" s="432"/>
      <c r="H632" s="240"/>
      <c r="I632" s="240"/>
      <c r="J632" s="236"/>
      <c r="K632" s="1930"/>
      <c r="L632" s="432"/>
      <c r="M632" s="1931"/>
      <c r="N632" s="236"/>
    </row>
    <row r="633" spans="1:14" s="60" customFormat="1" ht="15.75" customHeight="1" x14ac:dyDescent="0.25">
      <c r="A633" s="1955"/>
      <c r="B633" s="1955"/>
      <c r="D633" s="1929"/>
      <c r="E633" s="240"/>
      <c r="G633" s="432"/>
      <c r="H633" s="240"/>
      <c r="I633" s="240"/>
      <c r="J633" s="236"/>
      <c r="K633" s="1930"/>
      <c r="L633" s="432"/>
      <c r="M633" s="1931"/>
      <c r="N633" s="236"/>
    </row>
    <row r="634" spans="1:14" s="60" customFormat="1" ht="15.75" customHeight="1" x14ac:dyDescent="0.25">
      <c r="A634" s="1955"/>
      <c r="B634" s="1955"/>
      <c r="D634" s="1929"/>
      <c r="E634" s="240"/>
      <c r="G634" s="432"/>
      <c r="H634" s="240"/>
      <c r="I634" s="240"/>
      <c r="J634" s="236"/>
      <c r="K634" s="1930"/>
      <c r="L634" s="432"/>
      <c r="M634" s="1931"/>
      <c r="N634" s="236"/>
    </row>
    <row r="635" spans="1:14" s="60" customFormat="1" ht="15.75" customHeight="1" x14ac:dyDescent="0.25">
      <c r="A635" s="1955"/>
      <c r="B635" s="1955"/>
      <c r="D635" s="1929"/>
      <c r="E635" s="240"/>
      <c r="G635" s="432"/>
      <c r="H635" s="240"/>
      <c r="I635" s="240"/>
      <c r="J635" s="236"/>
      <c r="K635" s="1930"/>
      <c r="L635" s="432"/>
      <c r="M635" s="1931"/>
      <c r="N635" s="236"/>
    </row>
    <row r="636" spans="1:14" s="60" customFormat="1" ht="15.75" customHeight="1" x14ac:dyDescent="0.25">
      <c r="A636" s="1955"/>
      <c r="B636" s="1955"/>
      <c r="D636" s="1929"/>
      <c r="E636" s="240"/>
      <c r="G636" s="432"/>
      <c r="H636" s="240"/>
      <c r="I636" s="240"/>
      <c r="J636" s="236"/>
      <c r="K636" s="1930"/>
      <c r="L636" s="432"/>
      <c r="M636" s="1931"/>
      <c r="N636" s="236"/>
    </row>
    <row r="637" spans="1:14" s="60" customFormat="1" ht="15.75" customHeight="1" x14ac:dyDescent="0.25">
      <c r="A637" s="1955"/>
      <c r="B637" s="1955"/>
      <c r="D637" s="1929"/>
      <c r="E637" s="240"/>
      <c r="G637" s="432"/>
      <c r="H637" s="240"/>
      <c r="I637" s="240"/>
      <c r="J637" s="236"/>
      <c r="K637" s="1930"/>
      <c r="L637" s="432"/>
      <c r="M637" s="1931"/>
      <c r="N637" s="236"/>
    </row>
    <row r="638" spans="1:14" s="60" customFormat="1" ht="15.75" customHeight="1" x14ac:dyDescent="0.25">
      <c r="A638" s="1955"/>
      <c r="B638" s="1955"/>
      <c r="D638" s="1929"/>
      <c r="E638" s="240"/>
      <c r="G638" s="432"/>
      <c r="H638" s="240"/>
      <c r="I638" s="240"/>
      <c r="J638" s="236"/>
      <c r="K638" s="1930"/>
      <c r="L638" s="432"/>
      <c r="M638" s="1931"/>
      <c r="N638" s="236"/>
    </row>
    <row r="639" spans="1:14" s="60" customFormat="1" ht="15.75" customHeight="1" x14ac:dyDescent="0.25">
      <c r="A639" s="1955"/>
      <c r="B639" s="1955"/>
      <c r="D639" s="1929"/>
      <c r="E639" s="240"/>
      <c r="G639" s="432"/>
      <c r="H639" s="240"/>
      <c r="I639" s="240"/>
      <c r="J639" s="236"/>
      <c r="K639" s="1930"/>
      <c r="L639" s="432"/>
      <c r="M639" s="1931"/>
      <c r="N639" s="236"/>
    </row>
    <row r="640" spans="1:14" s="60" customFormat="1" ht="15.75" customHeight="1" x14ac:dyDescent="0.25">
      <c r="A640" s="1955"/>
      <c r="B640" s="1955"/>
      <c r="D640" s="1929"/>
      <c r="E640" s="240"/>
      <c r="G640" s="432"/>
      <c r="H640" s="240"/>
      <c r="I640" s="240"/>
      <c r="J640" s="236"/>
      <c r="K640" s="1930"/>
      <c r="L640" s="432"/>
      <c r="M640" s="1931"/>
      <c r="N640" s="236"/>
    </row>
    <row r="641" spans="1:22" s="60" customFormat="1" ht="15.75" customHeight="1" x14ac:dyDescent="0.25">
      <c r="A641" s="1955"/>
      <c r="B641" s="1955"/>
      <c r="D641" s="1929"/>
      <c r="E641" s="240"/>
      <c r="G641" s="432"/>
      <c r="H641" s="240"/>
      <c r="I641" s="240"/>
      <c r="J641" s="236"/>
      <c r="K641" s="1930"/>
      <c r="L641" s="432"/>
      <c r="M641" s="1931"/>
      <c r="N641" s="236"/>
    </row>
    <row r="642" spans="1:22" s="60" customFormat="1" ht="15.75" customHeight="1" x14ac:dyDescent="0.25">
      <c r="A642" s="1955"/>
      <c r="B642" s="1955"/>
      <c r="D642" s="1929"/>
      <c r="E642" s="240"/>
      <c r="G642" s="432"/>
      <c r="H642" s="240"/>
      <c r="I642" s="240"/>
      <c r="J642" s="236"/>
      <c r="K642" s="1930"/>
      <c r="L642" s="432"/>
      <c r="M642" s="1931"/>
      <c r="N642" s="236"/>
    </row>
    <row r="643" spans="1:22" s="60" customFormat="1" ht="15.75" customHeight="1" x14ac:dyDescent="0.25">
      <c r="A643" s="1955"/>
      <c r="B643" s="1955"/>
      <c r="D643" s="1929"/>
      <c r="E643" s="240"/>
      <c r="G643" s="432"/>
      <c r="H643" s="240"/>
      <c r="I643" s="240"/>
      <c r="J643" s="236"/>
      <c r="K643" s="1930"/>
      <c r="L643" s="432"/>
      <c r="M643" s="1931"/>
      <c r="N643" s="236"/>
    </row>
    <row r="644" spans="1:22" s="60" customFormat="1" ht="15.75" customHeight="1" x14ac:dyDescent="0.25">
      <c r="A644" s="1932" t="s">
        <v>1439</v>
      </c>
      <c r="B644" s="1790"/>
      <c r="D644" s="1929"/>
      <c r="E644" s="240"/>
      <c r="G644" s="432"/>
      <c r="H644" s="240"/>
      <c r="I644" s="240"/>
      <c r="J644" s="236"/>
      <c r="K644" s="1930"/>
      <c r="L644" s="432"/>
      <c r="M644" s="1931"/>
      <c r="N644" s="236"/>
    </row>
    <row r="645" spans="1:22" s="60" customFormat="1" ht="15.75" customHeight="1" x14ac:dyDescent="0.25">
      <c r="A645" s="1790"/>
      <c r="B645" s="1790"/>
      <c r="D645" s="1929"/>
      <c r="E645" s="240"/>
      <c r="G645" s="432"/>
      <c r="H645" s="240"/>
      <c r="I645" s="240"/>
      <c r="J645" s="236"/>
      <c r="K645" s="1930"/>
      <c r="L645" s="432"/>
      <c r="M645" s="1931"/>
      <c r="N645" s="236"/>
    </row>
    <row r="646" spans="1:22" s="49" customFormat="1" ht="66.75" customHeight="1" x14ac:dyDescent="0.2">
      <c r="A646" s="2064" t="s">
        <v>1420</v>
      </c>
      <c r="B646" s="2066" t="s">
        <v>3</v>
      </c>
      <c r="C646" s="2066" t="s">
        <v>1421</v>
      </c>
      <c r="D646" s="1789" t="s">
        <v>335</v>
      </c>
      <c r="E646" s="1810" t="s">
        <v>342</v>
      </c>
      <c r="F646" s="2219" t="s">
        <v>334</v>
      </c>
      <c r="G646" s="2231" t="s">
        <v>343</v>
      </c>
      <c r="H646" s="2233" t="s">
        <v>1423</v>
      </c>
      <c r="I646" s="2225" t="s">
        <v>1424</v>
      </c>
      <c r="J646" s="2211" t="s">
        <v>1425</v>
      </c>
      <c r="K646" s="1870" t="s">
        <v>1426</v>
      </c>
      <c r="L646" s="2227" t="s">
        <v>1436</v>
      </c>
      <c r="M646" s="2229" t="s">
        <v>1431</v>
      </c>
      <c r="N646" s="2211" t="s">
        <v>1425</v>
      </c>
      <c r="O646" s="1870" t="s">
        <v>1426</v>
      </c>
      <c r="P646" s="2204" t="s">
        <v>1411</v>
      </c>
      <c r="Q646" s="2241" t="s">
        <v>1432</v>
      </c>
      <c r="R646" s="2211" t="s">
        <v>1425</v>
      </c>
      <c r="S646" s="1870" t="s">
        <v>1426</v>
      </c>
      <c r="T646" s="2237" t="s">
        <v>1434</v>
      </c>
      <c r="U646" s="2239" t="s">
        <v>1425</v>
      </c>
      <c r="V646" s="1870" t="s">
        <v>1426</v>
      </c>
    </row>
    <row r="647" spans="1:22" s="2" customFormat="1" ht="29.25" customHeight="1" x14ac:dyDescent="0.25">
      <c r="A647" s="2065"/>
      <c r="B647" s="2067"/>
      <c r="C647" s="2067"/>
      <c r="D647" s="699">
        <f ca="1">TODAY()</f>
        <v>44607</v>
      </c>
      <c r="E647" s="1811">
        <v>365.25</v>
      </c>
      <c r="F647" s="2220"/>
      <c r="G647" s="2232"/>
      <c r="H647" s="2234"/>
      <c r="I647" s="2226"/>
      <c r="J647" s="2212"/>
      <c r="K647" s="1871">
        <f ca="1">C648</f>
        <v>44607</v>
      </c>
      <c r="L647" s="2228"/>
      <c r="M647" s="2230"/>
      <c r="N647" s="2212"/>
      <c r="O647" s="1871">
        <f ca="1">D647</f>
        <v>44607</v>
      </c>
      <c r="P647" s="2205"/>
      <c r="Q647" s="2242"/>
      <c r="R647" s="2212"/>
      <c r="S647" s="1871">
        <f ca="1">C648</f>
        <v>44607</v>
      </c>
      <c r="T647" s="2238"/>
      <c r="U647" s="2240"/>
      <c r="V647" s="1871">
        <f ca="1">K647</f>
        <v>44607</v>
      </c>
    </row>
    <row r="648" spans="1:22" x14ac:dyDescent="0.25">
      <c r="A648" s="694" t="s">
        <v>1422</v>
      </c>
      <c r="B648" s="196"/>
      <c r="C648" s="1842">
        <f ca="1">C1</f>
        <v>44607</v>
      </c>
      <c r="D648" s="696"/>
      <c r="E648" s="1864"/>
      <c r="F648" s="1865"/>
      <c r="G648" s="1881"/>
      <c r="H648" s="1844">
        <f ca="1">H21</f>
        <v>264729.01046595292</v>
      </c>
      <c r="I648" s="1819">
        <f ca="1">I21</f>
        <v>264729.01046595292</v>
      </c>
      <c r="J648" s="1866"/>
      <c r="K648" s="1845"/>
      <c r="L648" s="1867">
        <f>J22</f>
        <v>8.9627795588999906</v>
      </c>
      <c r="M648" s="1877">
        <f ca="1">K21</f>
        <v>21105.974615042178</v>
      </c>
      <c r="N648" s="1866"/>
      <c r="O648" s="1845"/>
      <c r="P648" s="1868">
        <f>L22</f>
        <v>0.1164502739895331</v>
      </c>
      <c r="Q648" s="1878">
        <f ca="1">M21</f>
        <v>27330.69919844409</v>
      </c>
      <c r="R648" s="1869"/>
      <c r="S648" s="1861"/>
      <c r="T648" s="1877">
        <f ca="1">N21</f>
        <v>6941.4684021491203</v>
      </c>
      <c r="U648" s="1866"/>
      <c r="V648" s="1845"/>
    </row>
    <row r="649" spans="1:22" s="1838" customFormat="1" x14ac:dyDescent="0.25">
      <c r="A649" s="1840">
        <v>44926</v>
      </c>
      <c r="B649" s="1829" t="s">
        <v>1418</v>
      </c>
      <c r="C649" s="1830">
        <f t="shared" ref="C649:C660" si="86">A649</f>
        <v>44926</v>
      </c>
      <c r="D649" s="1831">
        <f t="shared" ref="D649:D660" ca="1" si="87">($D$4-C649)/365.25</f>
        <v>-0.87337440109514031</v>
      </c>
      <c r="E649" s="1832">
        <v>12</v>
      </c>
      <c r="F649" s="1833">
        <f t="shared" ref="F649:F660" si="88">C649+(E649*$E$4)</f>
        <v>49309</v>
      </c>
      <c r="G649" s="1882">
        <f>G112</f>
        <v>50000</v>
      </c>
      <c r="H649" s="1885">
        <f ca="1">H112</f>
        <v>236866.06580192127</v>
      </c>
      <c r="I649" s="1887">
        <f ca="1">I112</f>
        <v>221940.45323220285</v>
      </c>
      <c r="J649" s="1832">
        <f t="shared" ref="J649:J660" ca="1" si="89">I649-I648</f>
        <v>-42788.557233750063</v>
      </c>
      <c r="K649" s="1872">
        <f t="shared" ref="K649:K660" ca="1" si="90">I649-$I$648</f>
        <v>-42788.557233750063</v>
      </c>
      <c r="L649" s="1849">
        <f>J113</f>
        <v>7.9900128595944313</v>
      </c>
      <c r="M649" s="1879">
        <f ca="1">K112</f>
        <v>17016.461868817547</v>
      </c>
      <c r="N649" s="1832">
        <f t="shared" ref="N649:N660" ca="1" si="91">M649-M648</f>
        <v>-4089.512746224631</v>
      </c>
      <c r="O649" s="1872">
        <f t="shared" ref="O649:O660" ca="1" si="92">M649-$M$648</f>
        <v>-4089.512746224631</v>
      </c>
      <c r="P649" s="1855">
        <f>L113</f>
        <v>0.10349251994260932</v>
      </c>
      <c r="Q649" s="1880">
        <f ca="1">M112</f>
        <v>21953.453500432501</v>
      </c>
      <c r="R649" s="1837">
        <f t="shared" ref="R649:R660" ca="1" si="93">Q649-Q648</f>
        <v>-5377.2456980115894</v>
      </c>
      <c r="S649" s="1874">
        <f t="shared" ref="S649:S660" ca="1" si="94">Q649-$Q$648</f>
        <v>-5377.2456980115894</v>
      </c>
      <c r="T649" s="1879">
        <f ca="1">N66</f>
        <v>6290.0327559040607</v>
      </c>
      <c r="U649" s="1832">
        <f t="shared" ref="U649:U660" ca="1" si="95">T649-T648</f>
        <v>-651.43564624505962</v>
      </c>
      <c r="V649" s="1872">
        <f t="shared" ref="V649:V660" ca="1" si="96">T649-$T$648</f>
        <v>-651.43564624505962</v>
      </c>
    </row>
    <row r="650" spans="1:22" s="1838" customFormat="1" x14ac:dyDescent="0.25">
      <c r="A650" s="1840">
        <v>45291</v>
      </c>
      <c r="B650" s="1829" t="s">
        <v>1419</v>
      </c>
      <c r="C650" s="1830">
        <f t="shared" si="86"/>
        <v>45291</v>
      </c>
      <c r="D650" s="1831">
        <f t="shared" ca="1" si="87"/>
        <v>-1.8726899383983573</v>
      </c>
      <c r="E650" s="1832">
        <v>12</v>
      </c>
      <c r="F650" s="1833">
        <f t="shared" si="88"/>
        <v>49674</v>
      </c>
      <c r="G650" s="1882">
        <f>G158</f>
        <v>40000</v>
      </c>
      <c r="H650" s="1885">
        <f ca="1">H158</f>
        <v>218001.19926235982</v>
      </c>
      <c r="I650" s="1887">
        <f ca="1">I158</f>
        <v>191851.62930306041</v>
      </c>
      <c r="J650" s="1832">
        <f ca="1">I650-I649</f>
        <v>-30088.82392914244</v>
      </c>
      <c r="K650" s="1872">
        <f t="shared" ca="1" si="90"/>
        <v>-72877.381162892503</v>
      </c>
      <c r="L650" s="1849">
        <f>J159</f>
        <v>7.2168357696969272</v>
      </c>
      <c r="M650" s="1879">
        <f ca="1">K158</f>
        <v>14590.899924278809</v>
      </c>
      <c r="N650" s="1832">
        <f ca="1">M650-M649</f>
        <v>-2425.5619445387383</v>
      </c>
      <c r="O650" s="1872">
        <f t="shared" ca="1" si="92"/>
        <v>-6515.0746907633693</v>
      </c>
      <c r="P650" s="1855">
        <f>L159</f>
        <v>9.329312473011625E-2</v>
      </c>
      <c r="Q650" s="1880">
        <f ca="1">M158</f>
        <v>18805.383957676942</v>
      </c>
      <c r="R650" s="1837">
        <f ca="1">Q650-Q649</f>
        <v>-3148.0695427555584</v>
      </c>
      <c r="S650" s="1874">
        <f t="shared" ca="1" si="94"/>
        <v>-8525.3152407671478</v>
      </c>
      <c r="T650" s="1879">
        <f ca="1">N112</f>
        <v>5889.5785706585157</v>
      </c>
      <c r="U650" s="1832">
        <f ca="1">T650-T649</f>
        <v>-400.45418524554498</v>
      </c>
      <c r="V650" s="1872">
        <f t="shared" ca="1" si="96"/>
        <v>-1051.8898314906046</v>
      </c>
    </row>
    <row r="651" spans="1:22" s="1838" customFormat="1" x14ac:dyDescent="0.25">
      <c r="A651" s="1840">
        <v>45657</v>
      </c>
      <c r="B651" s="1829" t="s">
        <v>1429</v>
      </c>
      <c r="C651" s="1830">
        <f t="shared" si="86"/>
        <v>45657</v>
      </c>
      <c r="D651" s="1831">
        <f t="shared" ca="1" si="87"/>
        <v>-2.8747433264887063</v>
      </c>
      <c r="E651" s="1832">
        <v>12</v>
      </c>
      <c r="F651" s="1833">
        <f t="shared" si="88"/>
        <v>50040</v>
      </c>
      <c r="G651" s="1882">
        <f>G203</f>
        <v>50000</v>
      </c>
      <c r="H651" s="1885">
        <f ca="1">H203</f>
        <v>218001.19926235979</v>
      </c>
      <c r="I651" s="1887">
        <f ca="1">I203</f>
        <v>184081.63603739577</v>
      </c>
      <c r="J651" s="1832">
        <f t="shared" ca="1" si="89"/>
        <v>-7769.9932656646415</v>
      </c>
      <c r="K651" s="1872">
        <f t="shared" ca="1" si="90"/>
        <v>-80647.374428557145</v>
      </c>
      <c r="L651" s="1849">
        <f>J204</f>
        <v>6.4298433469263818</v>
      </c>
      <c r="M651" s="1879">
        <f ca="1">K203</f>
        <v>13857.108825272058</v>
      </c>
      <c r="N651" s="1832">
        <f t="shared" ca="1" si="91"/>
        <v>-733.7910990067503</v>
      </c>
      <c r="O651" s="1872">
        <f t="shared" ca="1" si="92"/>
        <v>-7248.8657897701196</v>
      </c>
      <c r="P651" s="1855">
        <f>L204</f>
        <v>8.405376199454212E-2</v>
      </c>
      <c r="Q651" s="1880">
        <f ca="1">M203</f>
        <v>17943.906522863617</v>
      </c>
      <c r="R651" s="1837">
        <f t="shared" ca="1" si="93"/>
        <v>-861.47743481332509</v>
      </c>
      <c r="S651" s="1874">
        <f t="shared" ca="1" si="94"/>
        <v>-9386.7926755804729</v>
      </c>
      <c r="T651" s="1879">
        <f ca="1">N158</f>
        <v>5147.3792142011107</v>
      </c>
      <c r="U651" s="1832">
        <f t="shared" ca="1" si="95"/>
        <v>-742.19935645740497</v>
      </c>
      <c r="V651" s="1872">
        <f t="shared" ca="1" si="96"/>
        <v>-1794.0891879480096</v>
      </c>
    </row>
    <row r="652" spans="1:22" s="1838" customFormat="1" x14ac:dyDescent="0.25">
      <c r="A652" s="1840">
        <v>46022</v>
      </c>
      <c r="B652" s="1829" t="s">
        <v>1428</v>
      </c>
      <c r="C652" s="1830">
        <f t="shared" si="86"/>
        <v>46022</v>
      </c>
      <c r="D652" s="1831">
        <f t="shared" ca="1" si="87"/>
        <v>-3.8740588637919235</v>
      </c>
      <c r="E652" s="1832">
        <v>12</v>
      </c>
      <c r="F652" s="1833">
        <f t="shared" si="88"/>
        <v>50405</v>
      </c>
      <c r="G652" s="1882">
        <f>G249</f>
        <v>40000</v>
      </c>
      <c r="H652" s="1885">
        <f ca="1">H249</f>
        <v>218001.19926235979</v>
      </c>
      <c r="I652" s="1887">
        <f ca="1">I249</f>
        <v>170405.19290691477</v>
      </c>
      <c r="J652" s="1832">
        <f ca="1">I652-I651</f>
        <v>-13676.443130480999</v>
      </c>
      <c r="K652" s="1872">
        <f t="shared" ca="1" si="90"/>
        <v>-94323.817559038143</v>
      </c>
      <c r="L652" s="1849">
        <f>J250</f>
        <v>5.7929383290822907</v>
      </c>
      <c r="M652" s="1879">
        <f ca="1">K249</f>
        <v>12811.837394544538</v>
      </c>
      <c r="N652" s="1832">
        <f ca="1">M652-M651</f>
        <v>-1045.2714307275201</v>
      </c>
      <c r="O652" s="1872">
        <f t="shared" ca="1" si="92"/>
        <v>-8294.1372204976396</v>
      </c>
      <c r="P652" s="1855">
        <f>L250</f>
        <v>7.5582459447638695E-2</v>
      </c>
      <c r="Q652" s="1880">
        <f ca="1">M249</f>
        <v>16553.619072577731</v>
      </c>
      <c r="R652" s="1837">
        <f ca="1">Q652-Q651</f>
        <v>-1390.2874502858867</v>
      </c>
      <c r="S652" s="1874">
        <f t="shared" ca="1" si="94"/>
        <v>-10777.08012586636</v>
      </c>
      <c r="T652" s="1879">
        <f ca="1">N203</f>
        <v>4938.9102948833279</v>
      </c>
      <c r="U652" s="1832">
        <f ca="1">T652-T651</f>
        <v>-208.46891931778282</v>
      </c>
      <c r="V652" s="1872">
        <f t="shared" ca="1" si="96"/>
        <v>-2002.5581072657924</v>
      </c>
    </row>
    <row r="653" spans="1:22" s="1900" customFormat="1" x14ac:dyDescent="0.25">
      <c r="A653" s="1901">
        <v>46387</v>
      </c>
      <c r="B653" s="1891" t="s">
        <v>1430</v>
      </c>
      <c r="C653" s="1902">
        <f t="shared" si="86"/>
        <v>46387</v>
      </c>
      <c r="D653" s="1893">
        <f t="shared" ca="1" si="87"/>
        <v>-4.8733744010951403</v>
      </c>
      <c r="E653" s="1894">
        <v>12</v>
      </c>
      <c r="F653" s="1895">
        <f t="shared" si="88"/>
        <v>50770</v>
      </c>
      <c r="G653" s="1903">
        <f>G295</f>
        <v>30000</v>
      </c>
      <c r="H653" s="1904">
        <f ca="1">H295</f>
        <v>218001.19926235976</v>
      </c>
      <c r="I653" s="1905">
        <f ca="1">I295</f>
        <v>161502.9250204016</v>
      </c>
      <c r="J653" s="1894">
        <f t="shared" ca="1" si="89"/>
        <v>-8902.2678865131747</v>
      </c>
      <c r="K653" s="1906">
        <f t="shared" ca="1" si="90"/>
        <v>-103226.08544555132</v>
      </c>
      <c r="L653" s="1907">
        <f>J296</f>
        <v>5.7393070075694945</v>
      </c>
      <c r="M653" s="1908">
        <f ca="1">K295</f>
        <v>12124.323231195476</v>
      </c>
      <c r="N653" s="1894">
        <f t="shared" ca="1" si="91"/>
        <v>-687.51416334906207</v>
      </c>
      <c r="O653" s="1906">
        <f t="shared" ca="1" si="92"/>
        <v>-8981.6513838467017</v>
      </c>
      <c r="P653" s="1909">
        <f>L296</f>
        <v>7.3481633077552996E-2</v>
      </c>
      <c r="Q653" s="1910">
        <f ca="1">M295</f>
        <v>15431.491924804497</v>
      </c>
      <c r="R653" s="1899">
        <f t="shared" ca="1" si="93"/>
        <v>-1122.1271477732334</v>
      </c>
      <c r="S653" s="1911">
        <f t="shared" ca="1" si="94"/>
        <v>-11899.207273639593</v>
      </c>
      <c r="T653" s="1908">
        <f ca="1">N295</f>
        <v>4302.4106540889052</v>
      </c>
      <c r="U653" s="1894">
        <f t="shared" ca="1" si="95"/>
        <v>-636.4996407944227</v>
      </c>
      <c r="V653" s="1906">
        <f t="shared" ca="1" si="96"/>
        <v>-2639.0577480602151</v>
      </c>
    </row>
    <row r="654" spans="1:22" s="1900" customFormat="1" x14ac:dyDescent="0.25">
      <c r="A654" s="1901">
        <v>46752</v>
      </c>
      <c r="B654" s="1891" t="s">
        <v>1435</v>
      </c>
      <c r="C654" s="1902">
        <f t="shared" si="86"/>
        <v>46752</v>
      </c>
      <c r="D654" s="1893">
        <f t="shared" ca="1" si="87"/>
        <v>-5.8726899383983575</v>
      </c>
      <c r="E654" s="1894">
        <v>12</v>
      </c>
      <c r="F654" s="1895">
        <f t="shared" si="88"/>
        <v>51135</v>
      </c>
      <c r="G654" s="1903">
        <f>G341</f>
        <v>30000</v>
      </c>
      <c r="H654" s="1904">
        <f ca="1">H341</f>
        <v>218001.19926235979</v>
      </c>
      <c r="I654" s="1905">
        <f ca="1">I341</f>
        <v>153624.70193972497</v>
      </c>
      <c r="J654" s="1894">
        <f t="shared" ca="1" si="89"/>
        <v>-7878.2230806766311</v>
      </c>
      <c r="K654" s="1906">
        <f t="shared" ca="1" si="90"/>
        <v>-111104.30852622795</v>
      </c>
      <c r="L654" s="1907">
        <f>J342</f>
        <v>5.683006230111407</v>
      </c>
      <c r="M654" s="1908">
        <f ca="1">K341</f>
        <v>11485.611109615775</v>
      </c>
      <c r="N654" s="1894">
        <f t="shared" ca="1" si="91"/>
        <v>-638.71212157970149</v>
      </c>
      <c r="O654" s="1906">
        <f t="shared" ca="1" si="92"/>
        <v>-9620.3635054264032</v>
      </c>
      <c r="P654" s="1909">
        <f>L342</f>
        <v>7.0988325669206265E-2</v>
      </c>
      <c r="Q654" s="1910">
        <f ca="1">M341</f>
        <v>14252.922006504945</v>
      </c>
      <c r="R654" s="1899">
        <f t="shared" ca="1" si="93"/>
        <v>-1178.5699182995522</v>
      </c>
      <c r="S654" s="1911">
        <f t="shared" ca="1" si="94"/>
        <v>-13077.777191939145</v>
      </c>
      <c r="T654" s="1908">
        <f ca="1">N341</f>
        <v>4063.8580592060162</v>
      </c>
      <c r="U654" s="1894">
        <f t="shared" ca="1" si="95"/>
        <v>-238.55259488288903</v>
      </c>
      <c r="V654" s="1906">
        <f t="shared" ca="1" si="96"/>
        <v>-2877.6103429431041</v>
      </c>
    </row>
    <row r="655" spans="1:22" s="1900" customFormat="1" x14ac:dyDescent="0.25">
      <c r="A655" s="1901">
        <v>47118</v>
      </c>
      <c r="B655" s="1891" t="s">
        <v>1437</v>
      </c>
      <c r="C655" s="1902">
        <f t="shared" si="86"/>
        <v>47118</v>
      </c>
      <c r="D655" s="1893">
        <f t="shared" ca="1" si="87"/>
        <v>-6.8747433264887068</v>
      </c>
      <c r="E655" s="1894">
        <v>12</v>
      </c>
      <c r="F655" s="1895">
        <f t="shared" si="88"/>
        <v>51501</v>
      </c>
      <c r="G655" s="1903">
        <f>G387</f>
        <v>30000</v>
      </c>
      <c r="H655" s="1904">
        <f ca="1">H387</f>
        <v>218001.19926235979</v>
      </c>
      <c r="I655" s="1905">
        <f ca="1">I387</f>
        <v>147271.16771410356</v>
      </c>
      <c r="J655" s="1894">
        <f t="shared" ca="1" si="89"/>
        <v>-6353.5342256214062</v>
      </c>
      <c r="K655" s="1906">
        <f t="shared" ca="1" si="90"/>
        <v>-117457.84275184936</v>
      </c>
      <c r="L655" s="1907">
        <f>J388</f>
        <v>5.6387660538626676</v>
      </c>
      <c r="M655" s="1908">
        <f ca="1">K387</f>
        <v>11080.85378713657</v>
      </c>
      <c r="N655" s="1894">
        <f t="shared" ca="1" si="91"/>
        <v>-404.75732247920496</v>
      </c>
      <c r="O655" s="1906">
        <f t="shared" ca="1" si="92"/>
        <v>-10025.120827905608</v>
      </c>
      <c r="P655" s="1909">
        <f>L388</f>
        <v>6.9198920370403524E-2</v>
      </c>
      <c r="Q655" s="1910">
        <f ca="1">M387</f>
        <v>13570.779137937852</v>
      </c>
      <c r="R655" s="1899">
        <f t="shared" ca="1" si="93"/>
        <v>-682.14286856709259</v>
      </c>
      <c r="S655" s="1911">
        <f t="shared" ca="1" si="94"/>
        <v>-13759.920060506238</v>
      </c>
      <c r="T655" s="1908">
        <f ca="1">N387</f>
        <v>3871.4730428541993</v>
      </c>
      <c r="U655" s="1894">
        <f t="shared" ca="1" si="95"/>
        <v>-192.38501635181683</v>
      </c>
      <c r="V655" s="1906">
        <f t="shared" ca="1" si="96"/>
        <v>-3069.9953592949209</v>
      </c>
    </row>
    <row r="656" spans="1:22" s="1900" customFormat="1" x14ac:dyDescent="0.25">
      <c r="A656" s="1901">
        <v>47483</v>
      </c>
      <c r="B656" s="1891" t="s">
        <v>1438</v>
      </c>
      <c r="C656" s="1902">
        <f t="shared" si="86"/>
        <v>47483</v>
      </c>
      <c r="D656" s="1893">
        <f t="shared" ca="1" si="87"/>
        <v>-7.8740588637919231</v>
      </c>
      <c r="E656" s="1894">
        <v>12</v>
      </c>
      <c r="F656" s="1895">
        <f t="shared" si="88"/>
        <v>51866</v>
      </c>
      <c r="G656" s="1903">
        <f>G433</f>
        <v>40000</v>
      </c>
      <c r="H656" s="1904">
        <f ca="1">H433</f>
        <v>218001.19926235979</v>
      </c>
      <c r="I656" s="1905">
        <f ca="1">I433</f>
        <v>138363.02688780412</v>
      </c>
      <c r="J656" s="1894">
        <f t="shared" ca="1" si="89"/>
        <v>-8908.1408262994373</v>
      </c>
      <c r="K656" s="1906">
        <f t="shared" ca="1" si="90"/>
        <v>-126365.98357814879</v>
      </c>
      <c r="L656" s="1907">
        <f>J434</f>
        <v>5.5847611056076936</v>
      </c>
      <c r="M656" s="1908">
        <f ca="1">K433</f>
        <v>10388.093281640429</v>
      </c>
      <c r="N656" s="1894">
        <f t="shared" ca="1" si="91"/>
        <v>-692.76050549614047</v>
      </c>
      <c r="O656" s="1906">
        <f t="shared" ca="1" si="92"/>
        <v>-10717.881333401749</v>
      </c>
      <c r="P656" s="1909">
        <f>L434</f>
        <v>6.6809424910763984E-2</v>
      </c>
      <c r="Q656" s="1910">
        <f ca="1">M433</f>
        <v>12293.621414441533</v>
      </c>
      <c r="R656" s="1899">
        <f t="shared" ca="1" si="93"/>
        <v>-1277.1577234963188</v>
      </c>
      <c r="S656" s="1911">
        <f t="shared" ca="1" si="94"/>
        <v>-15037.077784002557</v>
      </c>
      <c r="T656" s="1908">
        <f ca="1">N433</f>
        <v>3601.7345386338525</v>
      </c>
      <c r="U656" s="1894">
        <f t="shared" ca="1" si="95"/>
        <v>-269.73850422034684</v>
      </c>
      <c r="V656" s="1906">
        <f t="shared" ca="1" si="96"/>
        <v>-3339.7338635152678</v>
      </c>
    </row>
    <row r="657" spans="1:22" s="1900" customFormat="1" x14ac:dyDescent="0.25">
      <c r="A657" s="1901">
        <v>47848</v>
      </c>
      <c r="B657" s="1891" t="s">
        <v>1440</v>
      </c>
      <c r="C657" s="1902">
        <f t="shared" si="86"/>
        <v>47848</v>
      </c>
      <c r="D657" s="1893">
        <f t="shared" ca="1" si="87"/>
        <v>-8.8733744010951412</v>
      </c>
      <c r="E657" s="1894">
        <v>12</v>
      </c>
      <c r="F657" s="1895">
        <f t="shared" si="88"/>
        <v>52231</v>
      </c>
      <c r="G657" s="1903">
        <f>G477</f>
        <v>40000</v>
      </c>
      <c r="H657" s="1904">
        <f ca="1">H479</f>
        <v>218001.19926235979</v>
      </c>
      <c r="I657" s="1905">
        <f ca="1">I479</f>
        <v>128001.07508057522</v>
      </c>
      <c r="J657" s="1894">
        <f t="shared" ca="1" si="89"/>
        <v>-10361.951807228907</v>
      </c>
      <c r="K657" s="1906">
        <f t="shared" ca="1" si="90"/>
        <v>-136727.9353853777</v>
      </c>
      <c r="L657" s="1907">
        <f>J480</f>
        <v>5.5310007272176307</v>
      </c>
      <c r="M657" s="1908">
        <f ca="1">K479</f>
        <v>9585.9233536170796</v>
      </c>
      <c r="N657" s="1894">
        <f t="shared" ca="1" si="91"/>
        <v>-802.16992802334971</v>
      </c>
      <c r="O657" s="1906">
        <f t="shared" ca="1" si="92"/>
        <v>-11520.051261425098</v>
      </c>
      <c r="P657" s="1909">
        <f>L480</f>
        <v>6.4606931695479777E-2</v>
      </c>
      <c r="Q657" s="1910">
        <f ca="1">M479</f>
        <v>10924.293701290106</v>
      </c>
      <c r="R657" s="1899">
        <f t="shared" ca="1" si="93"/>
        <v>-1369.3277131514278</v>
      </c>
      <c r="S657" s="1911">
        <f t="shared" ca="1" si="94"/>
        <v>-16406.405497153984</v>
      </c>
      <c r="T657" s="1908">
        <f ca="1">N479</f>
        <v>3287.9746379109611</v>
      </c>
      <c r="U657" s="1894">
        <f t="shared" ca="1" si="95"/>
        <v>-313.75990072289142</v>
      </c>
      <c r="V657" s="1906">
        <f t="shared" ca="1" si="96"/>
        <v>-3653.4937642381592</v>
      </c>
    </row>
    <row r="658" spans="1:22" s="1900" customFormat="1" x14ac:dyDescent="0.25">
      <c r="A658" s="1901">
        <v>48213</v>
      </c>
      <c r="B658" s="1891" t="s">
        <v>1441</v>
      </c>
      <c r="C658" s="1902">
        <f t="shared" si="86"/>
        <v>48213</v>
      </c>
      <c r="D658" s="1893">
        <f t="shared" ca="1" si="87"/>
        <v>-9.8726899383983575</v>
      </c>
      <c r="E658" s="1894">
        <v>12</v>
      </c>
      <c r="F658" s="1895">
        <f t="shared" si="88"/>
        <v>52596</v>
      </c>
      <c r="G658" s="1903">
        <f>G525</f>
        <v>50000</v>
      </c>
      <c r="H658" s="1904">
        <f ca="1">H525</f>
        <v>218001.19926235979</v>
      </c>
      <c r="I658" s="1905">
        <f ca="1">I525</f>
        <v>119349.06297904038</v>
      </c>
      <c r="J658" s="1894">
        <f t="shared" ca="1" si="89"/>
        <v>-8652.0121015348413</v>
      </c>
      <c r="K658" s="1906">
        <f t="shared" ca="1" si="90"/>
        <v>-145379.94748691254</v>
      </c>
      <c r="L658" s="1907">
        <f>J526</f>
        <v>5.4739822861004654</v>
      </c>
      <c r="M658" s="1908">
        <f ca="1">K525</f>
        <v>8875.5364443359049</v>
      </c>
      <c r="N658" s="1894">
        <f t="shared" ca="1" si="91"/>
        <v>-710.38690928117467</v>
      </c>
      <c r="O658" s="1906">
        <f t="shared" ca="1" si="92"/>
        <v>-12230.438170706273</v>
      </c>
      <c r="P658" s="1909">
        <f>L526</f>
        <v>6.2048229138099903E-2</v>
      </c>
      <c r="Q658" s="1910">
        <f ca="1">M525</f>
        <v>9596.0181718493805</v>
      </c>
      <c r="R658" s="1899">
        <f t="shared" ca="1" si="93"/>
        <v>-1328.2755294407252</v>
      </c>
      <c r="S658" s="1911">
        <f t="shared" ca="1" si="94"/>
        <v>-17734.68102659471</v>
      </c>
      <c r="T658" s="1908">
        <f ca="1">N525</f>
        <v>3025.9917114764862</v>
      </c>
      <c r="U658" s="1894">
        <f t="shared" ca="1" si="95"/>
        <v>-261.98292643447485</v>
      </c>
      <c r="V658" s="1906">
        <f t="shared" ca="1" si="96"/>
        <v>-3915.476690672634</v>
      </c>
    </row>
    <row r="659" spans="1:22" s="143" customFormat="1" x14ac:dyDescent="0.25">
      <c r="A659" s="1943">
        <v>48579</v>
      </c>
      <c r="B659" s="1934" t="s">
        <v>1442</v>
      </c>
      <c r="C659" s="1944">
        <f t="shared" si="86"/>
        <v>48579</v>
      </c>
      <c r="D659" s="1936">
        <f t="shared" ca="1" si="87"/>
        <v>-10.874743326488707</v>
      </c>
      <c r="E659" s="1937">
        <v>12</v>
      </c>
      <c r="F659" s="1938">
        <f t="shared" si="88"/>
        <v>52962</v>
      </c>
      <c r="G659" s="1945">
        <f>G571</f>
        <v>75000</v>
      </c>
      <c r="H659" s="1946">
        <f ca="1">H571</f>
        <v>218001.19926235979</v>
      </c>
      <c r="I659" s="1947">
        <f ca="1">I571</f>
        <v>119349.06297904038</v>
      </c>
      <c r="J659" s="1937">
        <f t="shared" ca="1" si="89"/>
        <v>0</v>
      </c>
      <c r="K659" s="1948">
        <f t="shared" ca="1" si="90"/>
        <v>-145379.94748691254</v>
      </c>
      <c r="L659" s="1949">
        <f>J572</f>
        <v>5.2998636055063786</v>
      </c>
      <c r="M659" s="1950">
        <f ca="1">K571</f>
        <v>8640.2641460929844</v>
      </c>
      <c r="N659" s="1937">
        <f t="shared" ca="1" si="91"/>
        <v>-235.27229824292044</v>
      </c>
      <c r="O659" s="1948">
        <f t="shared" ca="1" si="92"/>
        <v>-12465.710468949193</v>
      </c>
      <c r="P659" s="1951">
        <f>L572</f>
        <v>6.2048229138099903E-2</v>
      </c>
      <c r="Q659" s="1952">
        <f ca="1">M571</f>
        <v>9596.0181718493805</v>
      </c>
      <c r="R659" s="967">
        <f t="shared" ca="1" si="93"/>
        <v>0</v>
      </c>
      <c r="S659" s="1953">
        <f t="shared" ca="1" si="94"/>
        <v>-17734.68102659471</v>
      </c>
      <c r="T659" s="1950">
        <f ca="1">N571</f>
        <v>3006.5679524880625</v>
      </c>
      <c r="U659" s="1937">
        <f t="shared" ca="1" si="95"/>
        <v>-19.423758988423742</v>
      </c>
      <c r="V659" s="1948">
        <f t="shared" ca="1" si="96"/>
        <v>-3934.9004496610578</v>
      </c>
    </row>
    <row r="660" spans="1:22" s="1900" customFormat="1" x14ac:dyDescent="0.25">
      <c r="A660" s="1901">
        <v>48944</v>
      </c>
      <c r="B660" s="1891" t="s">
        <v>1443</v>
      </c>
      <c r="C660" s="1902">
        <f t="shared" si="86"/>
        <v>48944</v>
      </c>
      <c r="D660" s="1893">
        <f t="shared" ca="1" si="87"/>
        <v>-11.874058863791923</v>
      </c>
      <c r="E660" s="1894">
        <v>12</v>
      </c>
      <c r="F660" s="1895">
        <f t="shared" si="88"/>
        <v>53327</v>
      </c>
      <c r="G660" s="1903">
        <f>G617</f>
        <v>50000</v>
      </c>
      <c r="H660" s="1904">
        <f ca="1">H617</f>
        <v>218001.19926235979</v>
      </c>
      <c r="I660" s="1905">
        <f ca="1">I617</f>
        <v>117356.84531734884</v>
      </c>
      <c r="J660" s="1894">
        <f t="shared" ca="1" si="89"/>
        <v>-1992.2176616915385</v>
      </c>
      <c r="K660" s="1906">
        <f t="shared" ca="1" si="90"/>
        <v>-147372.16514860408</v>
      </c>
      <c r="L660" s="1907">
        <f>J618</f>
        <v>5.2136444961740622</v>
      </c>
      <c r="M660" s="1908">
        <f ca="1">K617</f>
        <v>8392.9193314554814</v>
      </c>
      <c r="N660" s="1894">
        <f t="shared" ca="1" si="91"/>
        <v>-247.34481463750308</v>
      </c>
      <c r="O660" s="1906">
        <f t="shared" ca="1" si="92"/>
        <v>-12713.055283586697</v>
      </c>
      <c r="P660" s="1909">
        <f>L618</f>
        <v>5.8385924752525076E-2</v>
      </c>
      <c r="Q660" s="1910">
        <f ca="1">M617</f>
        <v>9158.2517230834274</v>
      </c>
      <c r="R660" s="1899">
        <f t="shared" ca="1" si="93"/>
        <v>-437.7664487659531</v>
      </c>
      <c r="S660" s="1911">
        <f t="shared" ca="1" si="94"/>
        <v>-18172.447475360663</v>
      </c>
      <c r="T660" s="1908">
        <f ca="1">N617</f>
        <v>2946.2436016920424</v>
      </c>
      <c r="U660" s="1894">
        <f t="shared" ca="1" si="95"/>
        <v>-60.324350796020099</v>
      </c>
      <c r="V660" s="1906">
        <f t="shared" ca="1" si="96"/>
        <v>-3995.2248004570779</v>
      </c>
    </row>
    <row r="661" spans="1:22" x14ac:dyDescent="0.25">
      <c r="A661" s="1841"/>
      <c r="B661" s="202"/>
      <c r="C661" s="701"/>
      <c r="D661" s="702"/>
      <c r="E661" s="1812"/>
      <c r="F661" s="1813"/>
      <c r="G661" s="1883"/>
      <c r="H661" s="1886"/>
      <c r="I661" s="1888"/>
      <c r="J661" s="1733"/>
      <c r="K661" s="1873"/>
      <c r="L661" s="1850"/>
      <c r="M661" s="1853"/>
      <c r="N661" s="1733"/>
      <c r="O661" s="1873"/>
      <c r="P661" s="1856"/>
      <c r="Q661" s="1862"/>
      <c r="R661" s="1863"/>
      <c r="S661" s="1875"/>
      <c r="T661" s="1853"/>
      <c r="U661" s="1733"/>
      <c r="V661" s="1873"/>
    </row>
    <row r="662" spans="1:22" s="50" customFormat="1" ht="15.75" customHeight="1" x14ac:dyDescent="0.25">
      <c r="A662" s="2215" t="s">
        <v>85</v>
      </c>
      <c r="B662" s="2216"/>
      <c r="C662" s="1817"/>
      <c r="D662" s="1822"/>
      <c r="E662" s="1819"/>
      <c r="F662" s="1817"/>
      <c r="G662" s="1884">
        <f>SUM(G649:G661)</f>
        <v>525000</v>
      </c>
      <c r="H662" s="1844">
        <f ca="1">SUM(H649:H661)</f>
        <v>2634879.2576878788</v>
      </c>
      <c r="I662" s="1819">
        <f ca="1">SUM(I649:I661)</f>
        <v>1853096.7793976129</v>
      </c>
      <c r="J662" s="1819"/>
      <c r="K662" s="1845">
        <f ca="1">SUM(J648:J661)</f>
        <v>-147372.16514860408</v>
      </c>
      <c r="L662" s="1848"/>
      <c r="M662" s="1852">
        <f ca="1">SUM(M649:M661)</f>
        <v>138849.83269800263</v>
      </c>
      <c r="N662" s="1819"/>
      <c r="O662" s="1889">
        <f ca="1">SUM(N648:N661)</f>
        <v>-12713.055283586697</v>
      </c>
      <c r="P662" s="1857"/>
      <c r="Q662" s="1859">
        <f ca="1">SUM(Q649:Q661)</f>
        <v>170079.75930531189</v>
      </c>
      <c r="R662" s="1843"/>
      <c r="S662" s="1861">
        <f ca="1">SUM(R649:R661)</f>
        <v>-18172.447475360663</v>
      </c>
      <c r="T662" s="1852">
        <f ca="1">SUM(T649:T661)</f>
        <v>50372.155033997537</v>
      </c>
      <c r="U662" s="1819"/>
      <c r="V662" s="1889">
        <f ca="1">SUM(U648:U661)</f>
        <v>-3995.2248004570779</v>
      </c>
    </row>
    <row r="663" spans="1:22" s="50" customFormat="1" ht="15.75" customHeight="1" x14ac:dyDescent="0.25">
      <c r="A663" s="2217" t="s">
        <v>1413</v>
      </c>
      <c r="B663" s="2218"/>
      <c r="C663" s="1803"/>
      <c r="D663" s="1823">
        <f ca="1">AVERAGE(D649:D661)</f>
        <v>-6.3737166324435321</v>
      </c>
      <c r="E663" s="1805">
        <f>AVERAGE(E649:E661)</f>
        <v>12</v>
      </c>
      <c r="F663" s="1803"/>
      <c r="G663" s="1858">
        <f>AVERAGE(G649:G661)</f>
        <v>43750</v>
      </c>
      <c r="H663" s="1846">
        <f ca="1">AVERAGE(H649:H661)</f>
        <v>219573.27147398991</v>
      </c>
      <c r="I663" s="1805">
        <f ca="1">AVERAGE(I649:I661)</f>
        <v>154424.73161646773</v>
      </c>
      <c r="J663" s="1805"/>
      <c r="K663" s="1847"/>
      <c r="L663" s="1851">
        <f>AVERAGE(L649:L661)</f>
        <v>5.9661634847874865</v>
      </c>
      <c r="M663" s="1854">
        <f ca="1">AVERAGE(M649:M661)</f>
        <v>11570.819391500219</v>
      </c>
      <c r="N663" s="1805"/>
      <c r="O663" s="1847"/>
      <c r="P663" s="1858">
        <f>AVERAGE(P649:P661)</f>
        <v>7.3665790405586504E-2</v>
      </c>
      <c r="Q663" s="1860">
        <f ca="1">AVERAGE(Q649:Q661)</f>
        <v>14173.313275442657</v>
      </c>
      <c r="R663" s="1804"/>
      <c r="S663" s="1267"/>
      <c r="T663" s="1854">
        <f ca="1">AVERAGE(T649:T661)</f>
        <v>4197.6795861664614</v>
      </c>
      <c r="U663" s="1805"/>
      <c r="V663" s="1847"/>
    </row>
  </sheetData>
  <sortState ref="A7:M17">
    <sortCondition descending="1" ref="D7:D17"/>
  </sortState>
  <mergeCells count="214">
    <mergeCell ref="G600:G601"/>
    <mergeCell ref="H600:H601"/>
    <mergeCell ref="I600:I601"/>
    <mergeCell ref="A618:B618"/>
    <mergeCell ref="J600:J601"/>
    <mergeCell ref="K600:K601"/>
    <mergeCell ref="L600:L601"/>
    <mergeCell ref="M600:M601"/>
    <mergeCell ref="N600:N601"/>
    <mergeCell ref="A617:B617"/>
    <mergeCell ref="A600:A601"/>
    <mergeCell ref="B600:B601"/>
    <mergeCell ref="C600:C601"/>
    <mergeCell ref="F600:F601"/>
    <mergeCell ref="G462:G463"/>
    <mergeCell ref="N554:N555"/>
    <mergeCell ref="A571:B571"/>
    <mergeCell ref="A572:B572"/>
    <mergeCell ref="H554:H555"/>
    <mergeCell ref="I554:I555"/>
    <mergeCell ref="J554:J555"/>
    <mergeCell ref="K554:K555"/>
    <mergeCell ref="L554:L555"/>
    <mergeCell ref="M554:M555"/>
    <mergeCell ref="A526:B526"/>
    <mergeCell ref="A554:A555"/>
    <mergeCell ref="B554:B555"/>
    <mergeCell ref="C554:C555"/>
    <mergeCell ref="F554:F555"/>
    <mergeCell ref="G554:G555"/>
    <mergeCell ref="J508:J509"/>
    <mergeCell ref="K508:K509"/>
    <mergeCell ref="L508:L509"/>
    <mergeCell ref="J416:J417"/>
    <mergeCell ref="K416:K417"/>
    <mergeCell ref="L416:L417"/>
    <mergeCell ref="M508:M509"/>
    <mergeCell ref="N508:N509"/>
    <mergeCell ref="A525:B525"/>
    <mergeCell ref="N462:N463"/>
    <mergeCell ref="A479:B479"/>
    <mergeCell ref="A480:B480"/>
    <mergeCell ref="A508:A509"/>
    <mergeCell ref="B508:B509"/>
    <mergeCell ref="C508:C509"/>
    <mergeCell ref="F508:F509"/>
    <mergeCell ref="G508:G509"/>
    <mergeCell ref="H508:H509"/>
    <mergeCell ref="I508:I509"/>
    <mergeCell ref="H462:H463"/>
    <mergeCell ref="I462:I463"/>
    <mergeCell ref="J462:J463"/>
    <mergeCell ref="K462:K463"/>
    <mergeCell ref="L462:L463"/>
    <mergeCell ref="M462:M463"/>
    <mergeCell ref="C462:C463"/>
    <mergeCell ref="F462:F463"/>
    <mergeCell ref="A295:B295"/>
    <mergeCell ref="A296:B296"/>
    <mergeCell ref="R646:R647"/>
    <mergeCell ref="P646:P647"/>
    <mergeCell ref="Q646:Q647"/>
    <mergeCell ref="A342:B342"/>
    <mergeCell ref="A370:A371"/>
    <mergeCell ref="B370:B371"/>
    <mergeCell ref="C370:C371"/>
    <mergeCell ref="F370:F371"/>
    <mergeCell ref="G370:G371"/>
    <mergeCell ref="J324:J325"/>
    <mergeCell ref="K324:K325"/>
    <mergeCell ref="L324:L325"/>
    <mergeCell ref="M416:M417"/>
    <mergeCell ref="N416:N417"/>
    <mergeCell ref="A433:B433"/>
    <mergeCell ref="N370:N371"/>
    <mergeCell ref="A387:B387"/>
    <mergeCell ref="A388:B388"/>
    <mergeCell ref="A416:A417"/>
    <mergeCell ref="B416:B417"/>
    <mergeCell ref="C416:C417"/>
    <mergeCell ref="F416:F417"/>
    <mergeCell ref="T646:T647"/>
    <mergeCell ref="U646:U647"/>
    <mergeCell ref="A324:A325"/>
    <mergeCell ref="B324:B325"/>
    <mergeCell ref="C324:C325"/>
    <mergeCell ref="F324:F325"/>
    <mergeCell ref="G324:G325"/>
    <mergeCell ref="H324:H325"/>
    <mergeCell ref="I324:I325"/>
    <mergeCell ref="G416:G417"/>
    <mergeCell ref="H416:H417"/>
    <mergeCell ref="I416:I417"/>
    <mergeCell ref="H370:H371"/>
    <mergeCell ref="I370:I371"/>
    <mergeCell ref="J370:J371"/>
    <mergeCell ref="K370:K371"/>
    <mergeCell ref="L370:L371"/>
    <mergeCell ref="M370:M371"/>
    <mergeCell ref="M324:M325"/>
    <mergeCell ref="N324:N325"/>
    <mergeCell ref="A341:B341"/>
    <mergeCell ref="A434:B434"/>
    <mergeCell ref="A462:A463"/>
    <mergeCell ref="B462:B463"/>
    <mergeCell ref="N3:N4"/>
    <mergeCell ref="N48:N49"/>
    <mergeCell ref="N94:N95"/>
    <mergeCell ref="N140:N141"/>
    <mergeCell ref="N186:N187"/>
    <mergeCell ref="N232:N233"/>
    <mergeCell ref="J278:J279"/>
    <mergeCell ref="K278:K279"/>
    <mergeCell ref="L278:L279"/>
    <mergeCell ref="M278:M279"/>
    <mergeCell ref="M232:M233"/>
    <mergeCell ref="J140:J141"/>
    <mergeCell ref="K140:K141"/>
    <mergeCell ref="L140:L141"/>
    <mergeCell ref="M140:M141"/>
    <mergeCell ref="K48:K49"/>
    <mergeCell ref="L48:L49"/>
    <mergeCell ref="M48:M49"/>
    <mergeCell ref="L3:L4"/>
    <mergeCell ref="M3:M4"/>
    <mergeCell ref="N278:N279"/>
    <mergeCell ref="A249:B249"/>
    <mergeCell ref="A250:B250"/>
    <mergeCell ref="A278:A279"/>
    <mergeCell ref="B278:B279"/>
    <mergeCell ref="C278:C279"/>
    <mergeCell ref="F278:F279"/>
    <mergeCell ref="G278:G279"/>
    <mergeCell ref="H278:H279"/>
    <mergeCell ref="I278:I279"/>
    <mergeCell ref="G232:G233"/>
    <mergeCell ref="H232:H233"/>
    <mergeCell ref="I232:I233"/>
    <mergeCell ref="J232:J233"/>
    <mergeCell ref="K232:K233"/>
    <mergeCell ref="L232:L233"/>
    <mergeCell ref="A203:B203"/>
    <mergeCell ref="A204:B204"/>
    <mergeCell ref="A232:A233"/>
    <mergeCell ref="B232:B233"/>
    <mergeCell ref="C232:C233"/>
    <mergeCell ref="F232:F233"/>
    <mergeCell ref="H186:H187"/>
    <mergeCell ref="I186:I187"/>
    <mergeCell ref="J186:J187"/>
    <mergeCell ref="K186:K187"/>
    <mergeCell ref="L186:L187"/>
    <mergeCell ref="M186:M187"/>
    <mergeCell ref="A663:B663"/>
    <mergeCell ref="J646:J647"/>
    <mergeCell ref="N646:N647"/>
    <mergeCell ref="A186:A187"/>
    <mergeCell ref="B186:B187"/>
    <mergeCell ref="C186:C187"/>
    <mergeCell ref="F186:F187"/>
    <mergeCell ref="G186:G187"/>
    <mergeCell ref="I646:I647"/>
    <mergeCell ref="L646:L647"/>
    <mergeCell ref="M646:M647"/>
    <mergeCell ref="A662:B662"/>
    <mergeCell ref="A646:A647"/>
    <mergeCell ref="B646:B647"/>
    <mergeCell ref="C646:C647"/>
    <mergeCell ref="F646:F647"/>
    <mergeCell ref="G646:G647"/>
    <mergeCell ref="H646:H647"/>
    <mergeCell ref="A158:B158"/>
    <mergeCell ref="A159:B159"/>
    <mergeCell ref="M94:M95"/>
    <mergeCell ref="A112:B112"/>
    <mergeCell ref="A113:B113"/>
    <mergeCell ref="A140:A141"/>
    <mergeCell ref="B140:B141"/>
    <mergeCell ref="C140:C141"/>
    <mergeCell ref="F140:F141"/>
    <mergeCell ref="G140:G141"/>
    <mergeCell ref="H140:H141"/>
    <mergeCell ref="I140:I141"/>
    <mergeCell ref="G94:G95"/>
    <mergeCell ref="H94:H95"/>
    <mergeCell ref="I94:I95"/>
    <mergeCell ref="J94:J95"/>
    <mergeCell ref="K94:K95"/>
    <mergeCell ref="L94:L95"/>
    <mergeCell ref="A66:B66"/>
    <mergeCell ref="A67:B67"/>
    <mergeCell ref="A94:A95"/>
    <mergeCell ref="B94:B95"/>
    <mergeCell ref="C94:C95"/>
    <mergeCell ref="F94:F95"/>
    <mergeCell ref="H48:H49"/>
    <mergeCell ref="I48:I49"/>
    <mergeCell ref="J48:J49"/>
    <mergeCell ref="I3:I4"/>
    <mergeCell ref="J3:J4"/>
    <mergeCell ref="H3:H4"/>
    <mergeCell ref="K3:K4"/>
    <mergeCell ref="A21:B21"/>
    <mergeCell ref="A22:B22"/>
    <mergeCell ref="A48:A49"/>
    <mergeCell ref="B48:B49"/>
    <mergeCell ref="C48:C49"/>
    <mergeCell ref="F48:F49"/>
    <mergeCell ref="G48:G49"/>
    <mergeCell ref="A3:A4"/>
    <mergeCell ref="B3:B4"/>
    <mergeCell ref="C3:C4"/>
    <mergeCell ref="F3:F4"/>
    <mergeCell ref="G3:G4"/>
  </mergeCells>
  <pageMargins left="0.39370078740157483" right="0.39370078740157483" top="0.39370078740157483" bottom="0.39370078740157483" header="0" footer="0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tabColor rgb="FF92D050"/>
  </sheetPr>
  <dimension ref="A1:AM128"/>
  <sheetViews>
    <sheetView workbookViewId="0">
      <pane xSplit="1" ySplit="8" topLeftCell="B60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6.5" style="51" customWidth="1"/>
    <col min="25" max="25" width="10.375" style="51" customWidth="1"/>
    <col min="26" max="26" width="9.125" style="478" customWidth="1"/>
    <col min="27" max="27" width="16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36</v>
      </c>
      <c r="B1" s="1569" t="s">
        <v>37</v>
      </c>
      <c r="C1" s="1569"/>
      <c r="D1" s="1569"/>
      <c r="E1" s="1569"/>
      <c r="F1" s="1569"/>
      <c r="G1" s="1569"/>
      <c r="H1" s="2243" t="s">
        <v>1163</v>
      </c>
      <c r="I1" s="2244"/>
      <c r="J1" s="1572">
        <v>298629</v>
      </c>
      <c r="K1" s="1573">
        <f>J1-B4</f>
        <v>55224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37256</v>
      </c>
      <c r="C2" s="1251">
        <v>37256</v>
      </c>
      <c r="D2" s="2263" t="s">
        <v>871</v>
      </c>
      <c r="E2" s="2264"/>
      <c r="F2" s="2264"/>
      <c r="G2" s="1168">
        <f ca="1">IF((TODAY()-B2)/365.25&lt;I2,I2,(TODAY()-B2)/365.25)</f>
        <v>20.125941136208077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0</v>
      </c>
      <c r="C3" s="2264"/>
      <c r="D3" s="1368" t="s">
        <v>874</v>
      </c>
      <c r="E3" s="1169"/>
      <c r="F3" s="1175">
        <f ca="1">B3/G2/12</f>
        <v>0</v>
      </c>
      <c r="G3" s="2267" t="s">
        <v>875</v>
      </c>
      <c r="H3" s="2267"/>
      <c r="I3" s="1369">
        <f ca="1">F3/(F4/((TODAY()-C2)/365.25*12))</f>
        <v>0</v>
      </c>
      <c r="J3" s="1171">
        <f ca="1">I3/$F$5</f>
        <v>0</v>
      </c>
      <c r="K3" s="1375">
        <f ca="1">(B3/G2/365.25)/(F4/(TODAY()-C2))</f>
        <v>0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1.1412076438485968E-2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243405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300392</v>
      </c>
      <c r="G4" s="1172" t="s">
        <v>876</v>
      </c>
      <c r="H4" s="1376"/>
      <c r="I4" s="1377">
        <f>F4-B4</f>
        <v>56987</v>
      </c>
      <c r="J4" s="1378">
        <f ca="1">I3/F99</f>
        <v>0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2.8860819971557348E-2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0.39541760940031134</v>
      </c>
      <c r="G5" s="1211">
        <f ca="1">J3+C7+F7+I7+K7+M7+O7+Q7+S7+V7+Y7+AB7+AE7</f>
        <v>1.0000000000000002</v>
      </c>
      <c r="H5" s="1380">
        <f>B3+C8+F8+I8+K8+M8+O8+Q8+S8+AE5</f>
        <v>22177.859999999993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650.33999999999992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0.20181696363899748</v>
      </c>
      <c r="D6" s="2252" t="s">
        <v>879</v>
      </c>
      <c r="E6" s="2246"/>
      <c r="F6" s="1180">
        <f>F8/$I$4</f>
        <v>0.16870093179146117</v>
      </c>
      <c r="G6" s="2252" t="s">
        <v>881</v>
      </c>
      <c r="H6" s="2254"/>
      <c r="I6" s="1379">
        <f>I8/$I$4</f>
        <v>2.5030270061592993E-3</v>
      </c>
      <c r="J6" s="1184" t="s">
        <v>898</v>
      </c>
      <c r="K6" s="1180">
        <f>K8/$I$4</f>
        <v>7.0156351448575987E-4</v>
      </c>
      <c r="L6" s="1181" t="s">
        <v>883</v>
      </c>
      <c r="M6" s="1180">
        <f>M8/$I$4</f>
        <v>8.5282608314176823E-3</v>
      </c>
      <c r="N6" s="1181" t="s">
        <v>908</v>
      </c>
      <c r="O6" s="1180">
        <f>O8/$I$4</f>
        <v>1.7547861793040518E-3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6.358292242090299E-3</v>
      </c>
      <c r="W6" s="2252" t="s">
        <v>912</v>
      </c>
      <c r="X6" s="2246"/>
      <c r="Y6" s="1180">
        <f>Y8/$I$4</f>
        <v>5.0537841963956692E-3</v>
      </c>
      <c r="Z6" s="2255" t="s">
        <v>889</v>
      </c>
      <c r="AA6" s="2256"/>
      <c r="AB6" s="1180">
        <f>AB8/$I$4</f>
        <v>0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14.928273938867159</v>
      </c>
      <c r="C7" s="1183">
        <f ca="1">C6/$F$5</f>
        <v>0.5103894182787464</v>
      </c>
      <c r="D7" s="1184"/>
      <c r="E7" s="1185"/>
      <c r="F7" s="1183">
        <f ca="1">F6/$F$5</f>
        <v>0.42663990621791548</v>
      </c>
      <c r="G7" s="1184"/>
      <c r="H7" s="1185"/>
      <c r="I7" s="1183">
        <f ca="1">I6/$F$5</f>
        <v>6.3300848183149442E-3</v>
      </c>
      <c r="J7" s="1243">
        <f>COUNT(J9:J97)</f>
        <v>5</v>
      </c>
      <c r="K7" s="1183">
        <f ca="1">K6/$F$5</f>
        <v>1.7742343735013422E-3</v>
      </c>
      <c r="L7" s="1184"/>
      <c r="M7" s="1183">
        <f ca="1">M6/$F$5</f>
        <v>2.1567731503793184E-2</v>
      </c>
      <c r="N7" s="1184"/>
      <c r="O7" s="1183">
        <f ca="1">O6/$F$5</f>
        <v>4.437804836171442E-3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1.6079942043383595E-2</v>
      </c>
      <c r="W7" s="1184"/>
      <c r="X7" s="1185"/>
      <c r="Y7" s="1183">
        <f ca="1">Y6/$F$5</f>
        <v>1.2780877928173753E-2</v>
      </c>
      <c r="Z7" s="1184"/>
      <c r="AA7" s="1185"/>
      <c r="AB7" s="1183">
        <f ca="1">AB6/$F$5</f>
        <v>0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8243.99</v>
      </c>
      <c r="C8" s="1156">
        <f>SUM(C9:C97)</f>
        <v>11145.139999999998</v>
      </c>
      <c r="D8" s="2251" t="s">
        <v>880</v>
      </c>
      <c r="E8" s="2250"/>
      <c r="F8" s="1158">
        <f>SUM(F9:F97)</f>
        <v>9613.7599999999984</v>
      </c>
      <c r="G8" s="2251" t="s">
        <v>882</v>
      </c>
      <c r="H8" s="2250"/>
      <c r="I8" s="1158">
        <f>SUM(I9:I97)</f>
        <v>142.63999999999999</v>
      </c>
      <c r="J8" s="1157" t="s">
        <v>899</v>
      </c>
      <c r="K8" s="1158">
        <f>SUM(K9:K97)</f>
        <v>39.979999999999997</v>
      </c>
      <c r="L8" s="1157" t="s">
        <v>884</v>
      </c>
      <c r="M8" s="1158">
        <f>SUM(M9:M97)</f>
        <v>485.99999999999943</v>
      </c>
      <c r="N8" s="1157" t="s">
        <v>909</v>
      </c>
      <c r="O8" s="1158">
        <f>SUM(O9:O97)</f>
        <v>100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362.33999999999986</v>
      </c>
      <c r="W8" s="2251" t="s">
        <v>913</v>
      </c>
      <c r="X8" s="2250"/>
      <c r="Y8" s="1158">
        <f>SUM(Y9:Y97)</f>
        <v>288</v>
      </c>
      <c r="Z8" s="2251" t="s">
        <v>890</v>
      </c>
      <c r="AA8" s="2250"/>
      <c r="AB8" s="1158">
        <f>SUM(AB9:AB97)</f>
        <v>0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0</v>
      </c>
      <c r="AK8" s="833">
        <f>SUM(AK9:AK97)</f>
        <v>0</v>
      </c>
      <c r="AL8" s="54">
        <f>SUM(C9:C97)/SUM(B9:B97)</f>
        <v>1.3519109072184705</v>
      </c>
    </row>
    <row r="9" spans="1:39" x14ac:dyDescent="0.25">
      <c r="A9" s="64">
        <v>42643</v>
      </c>
      <c r="B9" s="65">
        <v>310.06</v>
      </c>
      <c r="C9" s="66">
        <v>400.31</v>
      </c>
      <c r="D9" s="67">
        <v>42685</v>
      </c>
      <c r="E9" s="68" t="s">
        <v>94</v>
      </c>
      <c r="F9" s="66">
        <v>238.73</v>
      </c>
      <c r="G9" s="1355">
        <v>42684</v>
      </c>
      <c r="H9" s="1356" t="s">
        <v>95</v>
      </c>
      <c r="I9" s="1357">
        <v>165.8</v>
      </c>
      <c r="J9" s="69">
        <v>43139</v>
      </c>
      <c r="K9" s="66">
        <v>5</v>
      </c>
      <c r="L9" s="64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20.2</v>
      </c>
      <c r="W9" s="1152"/>
      <c r="X9" s="1198"/>
      <c r="Y9" s="66"/>
      <c r="Z9" s="1152"/>
      <c r="AA9" s="1198"/>
      <c r="AB9" s="66"/>
      <c r="AC9" s="1152"/>
      <c r="AD9" s="1198"/>
      <c r="AE9" s="66"/>
      <c r="AF9" s="1118">
        <v>0.19</v>
      </c>
      <c r="AG9" s="1119">
        <v>15.07</v>
      </c>
      <c r="AH9" s="1117"/>
      <c r="AI9" s="237"/>
      <c r="AJ9" s="838"/>
      <c r="AK9" s="839"/>
      <c r="AL9" s="51">
        <f t="shared" ref="AL9:AL72" si="0">C9/B9</f>
        <v>1.2910726956073018</v>
      </c>
      <c r="AM9" s="51">
        <f t="shared" ref="AM9:AM72" si="1">AL9-$AL$8</f>
        <v>-6.0838211611168758E-2</v>
      </c>
    </row>
    <row r="10" spans="1:39" x14ac:dyDescent="0.25">
      <c r="A10" s="71">
        <v>42674</v>
      </c>
      <c r="B10" s="72">
        <v>271.68</v>
      </c>
      <c r="C10" s="73">
        <v>341.79</v>
      </c>
      <c r="D10" s="345"/>
      <c r="E10" s="346"/>
      <c r="F10" s="347"/>
      <c r="G10" s="1162">
        <v>42710</v>
      </c>
      <c r="H10" s="75" t="s">
        <v>100</v>
      </c>
      <c r="I10" s="73">
        <v>-165.8</v>
      </c>
      <c r="J10" s="234">
        <v>43221</v>
      </c>
      <c r="K10" s="73">
        <v>13.991999999999999</v>
      </c>
      <c r="L10" s="71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0.3</v>
      </c>
      <c r="AG10" s="1113">
        <v>15.04</v>
      </c>
      <c r="AH10" s="1110"/>
      <c r="AI10" s="238"/>
      <c r="AJ10" s="838"/>
      <c r="AK10" s="839"/>
      <c r="AL10" s="51">
        <f t="shared" si="0"/>
        <v>1.2580609540636043</v>
      </c>
      <c r="AM10" s="51">
        <f t="shared" si="1"/>
        <v>-9.3849953154866217E-2</v>
      </c>
    </row>
    <row r="11" spans="1:39" x14ac:dyDescent="0.25">
      <c r="A11" s="71">
        <v>42704</v>
      </c>
      <c r="B11" s="72">
        <v>178.02</v>
      </c>
      <c r="C11" s="73">
        <v>218.66</v>
      </c>
      <c r="D11" s="345"/>
      <c r="E11" s="346"/>
      <c r="F11" s="347"/>
      <c r="G11" s="1162">
        <v>42716</v>
      </c>
      <c r="H11" s="75" t="s">
        <v>99</v>
      </c>
      <c r="I11" s="73">
        <v>21.82</v>
      </c>
      <c r="J11" s="234">
        <v>43343</v>
      </c>
      <c r="K11" s="73">
        <v>6.9959999999999996</v>
      </c>
      <c r="L11" s="71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0.27</v>
      </c>
      <c r="AG11" s="1113">
        <v>15.01</v>
      </c>
      <c r="AH11" s="1110"/>
      <c r="AI11" s="238"/>
      <c r="AJ11" s="838"/>
      <c r="AK11" s="839"/>
      <c r="AL11" s="51">
        <f t="shared" si="0"/>
        <v>1.2282889562970452</v>
      </c>
      <c r="AM11" s="51">
        <f t="shared" si="1"/>
        <v>-0.12362195092142536</v>
      </c>
    </row>
    <row r="12" spans="1:39" x14ac:dyDescent="0.25">
      <c r="A12" s="71">
        <v>42735</v>
      </c>
      <c r="B12" s="72">
        <v>5.88</v>
      </c>
      <c r="C12" s="73">
        <v>7.22</v>
      </c>
      <c r="D12" s="147"/>
      <c r="E12" s="75"/>
      <c r="F12" s="73"/>
      <c r="G12" s="147"/>
      <c r="H12" s="75"/>
      <c r="I12" s="73"/>
      <c r="J12" s="234">
        <v>43524</v>
      </c>
      <c r="K12" s="73">
        <v>6.9959999999999996</v>
      </c>
      <c r="L12" s="71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0.28000000000000003</v>
      </c>
      <c r="AG12" s="1113">
        <v>15.03</v>
      </c>
      <c r="AH12" s="1110"/>
      <c r="AI12" s="238"/>
      <c r="AJ12" s="838"/>
      <c r="AK12" s="839"/>
      <c r="AL12" s="51">
        <f t="shared" si="0"/>
        <v>1.227891156462585</v>
      </c>
      <c r="AM12" s="51">
        <f t="shared" si="1"/>
        <v>-0.12401975075588556</v>
      </c>
    </row>
    <row r="13" spans="1:39" x14ac:dyDescent="0.25">
      <c r="A13" s="71">
        <v>42766</v>
      </c>
      <c r="B13" s="72">
        <v>179.05</v>
      </c>
      <c r="C13" s="73">
        <v>232.34</v>
      </c>
      <c r="D13" s="147"/>
      <c r="E13" s="75"/>
      <c r="F13" s="73"/>
      <c r="G13" s="147">
        <v>42815</v>
      </c>
      <c r="H13" s="75" t="s">
        <v>132</v>
      </c>
      <c r="I13" s="73">
        <v>16.62</v>
      </c>
      <c r="J13" s="234">
        <v>43585</v>
      </c>
      <c r="K13" s="73">
        <v>6.9959999999999996</v>
      </c>
      <c r="L13" s="71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20.2</v>
      </c>
      <c r="W13" s="894"/>
      <c r="X13" s="1199"/>
      <c r="Y13" s="73"/>
      <c r="Z13" s="147"/>
      <c r="AA13" s="75"/>
      <c r="AB13" s="73"/>
      <c r="AC13" s="894"/>
      <c r="AD13" s="1199"/>
      <c r="AE13" s="73"/>
      <c r="AF13" s="1112">
        <v>0.24</v>
      </c>
      <c r="AG13" s="1113">
        <v>15.01</v>
      </c>
      <c r="AH13" s="1110">
        <v>1128</v>
      </c>
      <c r="AI13" s="238">
        <v>51.51</v>
      </c>
      <c r="AJ13" s="838"/>
      <c r="AK13" s="839"/>
      <c r="AL13" s="51">
        <f t="shared" si="0"/>
        <v>1.2976263613515777</v>
      </c>
      <c r="AM13" s="51">
        <f t="shared" si="1"/>
        <v>-5.4284545866892797E-2</v>
      </c>
    </row>
    <row r="14" spans="1:39" x14ac:dyDescent="0.25">
      <c r="A14" s="71">
        <v>42794</v>
      </c>
      <c r="B14" s="72">
        <v>2.42</v>
      </c>
      <c r="C14" s="73">
        <v>3.16</v>
      </c>
      <c r="D14" s="147">
        <v>42916</v>
      </c>
      <c r="E14" s="75" t="s">
        <v>168</v>
      </c>
      <c r="F14" s="73">
        <v>1386.84</v>
      </c>
      <c r="G14" s="147"/>
      <c r="H14" s="75"/>
      <c r="I14" s="73"/>
      <c r="J14" s="234"/>
      <c r="K14" s="73"/>
      <c r="L14" s="71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20.2</v>
      </c>
      <c r="W14" s="894"/>
      <c r="X14" s="1199"/>
      <c r="Y14" s="73"/>
      <c r="Z14" s="894"/>
      <c r="AA14" s="1199"/>
      <c r="AB14" s="73"/>
      <c r="AC14" s="894"/>
      <c r="AD14" s="1199"/>
      <c r="AE14" s="73"/>
      <c r="AF14" s="1112">
        <v>0.24</v>
      </c>
      <c r="AG14" s="1113">
        <v>15.02</v>
      </c>
      <c r="AH14" s="1110">
        <v>14</v>
      </c>
      <c r="AI14" s="238">
        <v>68.69</v>
      </c>
      <c r="AJ14" s="838"/>
      <c r="AK14" s="839"/>
      <c r="AL14" s="51">
        <f t="shared" si="0"/>
        <v>1.3057851239669422</v>
      </c>
      <c r="AM14" s="51">
        <f t="shared" si="1"/>
        <v>-4.6125783251528274E-2</v>
      </c>
    </row>
    <row r="15" spans="1:39" x14ac:dyDescent="0.25">
      <c r="A15" s="71">
        <v>42825</v>
      </c>
      <c r="B15" s="72">
        <v>10.62</v>
      </c>
      <c r="C15" s="73">
        <v>13.85</v>
      </c>
      <c r="D15" s="147"/>
      <c r="E15" s="75"/>
      <c r="F15" s="73"/>
      <c r="G15" s="1162"/>
      <c r="H15" s="75"/>
      <c r="I15" s="73"/>
      <c r="J15" s="234"/>
      <c r="K15" s="73"/>
      <c r="L15" s="71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20.2</v>
      </c>
      <c r="W15" s="894"/>
      <c r="X15" s="1199"/>
      <c r="Y15" s="73"/>
      <c r="Z15" s="147"/>
      <c r="AA15" s="75"/>
      <c r="AB15" s="73"/>
      <c r="AC15" s="894"/>
      <c r="AD15" s="1199"/>
      <c r="AE15" s="73"/>
      <c r="AF15" s="1112">
        <v>0.24</v>
      </c>
      <c r="AG15" s="1113">
        <v>15.03</v>
      </c>
      <c r="AH15" s="1110">
        <v>66</v>
      </c>
      <c r="AI15" s="238">
        <v>58.07</v>
      </c>
      <c r="AJ15" s="838"/>
      <c r="AK15" s="839"/>
      <c r="AL15" s="51">
        <f t="shared" si="0"/>
        <v>1.3041431261770244</v>
      </c>
      <c r="AM15" s="51">
        <f t="shared" si="1"/>
        <v>-4.7767781041446078E-2</v>
      </c>
    </row>
    <row r="16" spans="1:39" x14ac:dyDescent="0.25">
      <c r="A16" s="71">
        <v>42855</v>
      </c>
      <c r="B16" s="72">
        <v>312.42</v>
      </c>
      <c r="C16" s="73">
        <v>405.77</v>
      </c>
      <c r="D16" s="147">
        <v>43145</v>
      </c>
      <c r="E16" s="75" t="s">
        <v>284</v>
      </c>
      <c r="F16" s="73">
        <v>965.76</v>
      </c>
      <c r="G16" s="147"/>
      <c r="H16" s="75"/>
      <c r="I16" s="73"/>
      <c r="J16" s="836"/>
      <c r="K16" s="835"/>
      <c r="L16" s="83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20.2</v>
      </c>
      <c r="W16" s="1153"/>
      <c r="X16" s="1200"/>
      <c r="Y16" s="835"/>
      <c r="Z16" s="894"/>
      <c r="AA16" s="1199"/>
      <c r="AB16" s="73"/>
      <c r="AC16" s="1153"/>
      <c r="AD16" s="1200"/>
      <c r="AE16" s="835"/>
      <c r="AF16" s="1112">
        <v>0.23</v>
      </c>
      <c r="AG16" s="1113">
        <v>15.03</v>
      </c>
      <c r="AH16" s="1110">
        <v>2078</v>
      </c>
      <c r="AI16" s="238">
        <v>72.650000000000006</v>
      </c>
      <c r="AJ16" s="838"/>
      <c r="AK16" s="839"/>
      <c r="AL16" s="51">
        <f t="shared" si="0"/>
        <v>1.2987964919019268</v>
      </c>
      <c r="AM16" s="51">
        <f t="shared" si="1"/>
        <v>-5.3114415316543706E-2</v>
      </c>
    </row>
    <row r="17" spans="1:39" x14ac:dyDescent="0.25">
      <c r="A17" s="71">
        <v>42886</v>
      </c>
      <c r="B17" s="72">
        <v>370.7</v>
      </c>
      <c r="C17" s="73">
        <v>476.82</v>
      </c>
      <c r="D17" s="147">
        <v>43257</v>
      </c>
      <c r="E17" s="75" t="s">
        <v>460</v>
      </c>
      <c r="F17" s="73">
        <v>221.17</v>
      </c>
      <c r="G17" s="147"/>
      <c r="H17" s="75"/>
      <c r="I17" s="73"/>
      <c r="J17" s="234"/>
      <c r="K17" s="73"/>
      <c r="L17" s="71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0.22</v>
      </c>
      <c r="AG17" s="1113">
        <v>15.02</v>
      </c>
      <c r="AH17" s="1110">
        <v>2473</v>
      </c>
      <c r="AI17" s="238">
        <v>62.46</v>
      </c>
      <c r="AJ17" s="838"/>
      <c r="AK17" s="839"/>
      <c r="AL17" s="51">
        <f t="shared" si="0"/>
        <v>1.2862692203938495</v>
      </c>
      <c r="AM17" s="51">
        <f t="shared" si="1"/>
        <v>-6.5641686824621015E-2</v>
      </c>
    </row>
    <row r="18" spans="1:39" x14ac:dyDescent="0.25">
      <c r="A18" s="71">
        <v>42916</v>
      </c>
      <c r="B18" s="72">
        <v>175.97</v>
      </c>
      <c r="C18" s="73">
        <v>220.48</v>
      </c>
      <c r="D18" s="147">
        <v>43396</v>
      </c>
      <c r="E18" s="75" t="s">
        <v>455</v>
      </c>
      <c r="F18" s="73">
        <v>41.95</v>
      </c>
      <c r="G18" s="147"/>
      <c r="H18" s="75"/>
      <c r="I18" s="73"/>
      <c r="J18" s="431"/>
      <c r="K18" s="347"/>
      <c r="L18" s="1160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0.33</v>
      </c>
      <c r="AG18" s="1113">
        <v>15.03</v>
      </c>
      <c r="AH18" s="1110">
        <v>1166</v>
      </c>
      <c r="AI18" s="238">
        <v>52.49</v>
      </c>
      <c r="AJ18" s="838"/>
      <c r="AK18" s="839"/>
      <c r="AL18" s="51">
        <f t="shared" si="0"/>
        <v>1.2529408421890094</v>
      </c>
      <c r="AM18" s="51">
        <f t="shared" si="1"/>
        <v>-9.8970065029461152E-2</v>
      </c>
    </row>
    <row r="19" spans="1:39" x14ac:dyDescent="0.25">
      <c r="A19" s="71">
        <v>42947</v>
      </c>
      <c r="B19" s="72">
        <v>0</v>
      </c>
      <c r="C19" s="73">
        <v>0</v>
      </c>
      <c r="D19" s="147"/>
      <c r="E19" s="75"/>
      <c r="F19" s="73"/>
      <c r="G19" s="147"/>
      <c r="H19" s="75"/>
      <c r="I19" s="73"/>
      <c r="J19" s="234"/>
      <c r="K19" s="73"/>
      <c r="L19" s="71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0.33</v>
      </c>
      <c r="AG19" s="1113">
        <v>15.03</v>
      </c>
      <c r="AH19" s="1110">
        <v>0</v>
      </c>
      <c r="AI19" s="238">
        <v>52.49</v>
      </c>
      <c r="AJ19" s="838"/>
      <c r="AK19" s="839"/>
      <c r="AL19" s="51" t="e">
        <f t="shared" si="0"/>
        <v>#DIV/0!</v>
      </c>
      <c r="AM19" s="51" t="e">
        <f t="shared" si="1"/>
        <v>#DIV/0!</v>
      </c>
    </row>
    <row r="20" spans="1:39" x14ac:dyDescent="0.25">
      <c r="A20" s="71">
        <v>42978</v>
      </c>
      <c r="B20" s="72">
        <v>0</v>
      </c>
      <c r="C20" s="73">
        <v>0</v>
      </c>
      <c r="D20" s="147"/>
      <c r="E20" s="75"/>
      <c r="F20" s="73"/>
      <c r="G20" s="147"/>
      <c r="H20" s="75"/>
      <c r="I20" s="73"/>
      <c r="J20" s="234"/>
      <c r="K20" s="73"/>
      <c r="L20" s="71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0.33</v>
      </c>
      <c r="AG20" s="1113">
        <v>15.03</v>
      </c>
      <c r="AH20" s="1110">
        <v>0</v>
      </c>
      <c r="AI20" s="238">
        <v>52.49</v>
      </c>
      <c r="AJ20" s="838"/>
      <c r="AK20" s="839"/>
      <c r="AL20" s="51" t="e">
        <f t="shared" si="0"/>
        <v>#DIV/0!</v>
      </c>
      <c r="AM20" s="51" t="e">
        <f t="shared" si="1"/>
        <v>#DIV/0!</v>
      </c>
    </row>
    <row r="21" spans="1:39" x14ac:dyDescent="0.25">
      <c r="A21" s="71">
        <v>43008</v>
      </c>
      <c r="B21" s="72">
        <v>93.38</v>
      </c>
      <c r="C21" s="73">
        <v>119.47</v>
      </c>
      <c r="D21" s="147"/>
      <c r="E21" s="75"/>
      <c r="F21" s="73"/>
      <c r="G21" s="147"/>
      <c r="H21" s="75"/>
      <c r="I21" s="73"/>
      <c r="J21" s="234"/>
      <c r="K21" s="73"/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0.33</v>
      </c>
      <c r="AG21" s="1113">
        <v>15.03</v>
      </c>
      <c r="AH21" s="1110">
        <v>623</v>
      </c>
      <c r="AI21" s="238">
        <v>79.61</v>
      </c>
      <c r="AJ21" s="838"/>
      <c r="AK21" s="839"/>
      <c r="AL21" s="51">
        <f t="shared" si="0"/>
        <v>1.2793960162775755</v>
      </c>
      <c r="AM21" s="51">
        <f t="shared" si="1"/>
        <v>-7.2514890940895027E-2</v>
      </c>
    </row>
    <row r="22" spans="1:39" x14ac:dyDescent="0.25">
      <c r="A22" s="71">
        <v>43039</v>
      </c>
      <c r="B22" s="72">
        <v>258.06</v>
      </c>
      <c r="C22" s="73">
        <v>324.27999999999997</v>
      </c>
      <c r="D22" s="147"/>
      <c r="E22" s="75"/>
      <c r="F22" s="73"/>
      <c r="G22" s="147"/>
      <c r="H22" s="75"/>
      <c r="I22" s="73"/>
      <c r="J22" s="234"/>
      <c r="K22" s="73"/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0.31</v>
      </c>
      <c r="AG22" s="1113">
        <v>15.01</v>
      </c>
      <c r="AH22" s="1110">
        <v>1734</v>
      </c>
      <c r="AI22" s="238">
        <v>79.05</v>
      </c>
      <c r="AJ22" s="838"/>
      <c r="AK22" s="839"/>
      <c r="AL22" s="51">
        <f t="shared" si="0"/>
        <v>1.2566069906223358</v>
      </c>
      <c r="AM22" s="51">
        <f t="shared" si="1"/>
        <v>-9.5303916596134686E-2</v>
      </c>
    </row>
    <row r="23" spans="1:39" x14ac:dyDescent="0.25">
      <c r="A23" s="71">
        <v>43069</v>
      </c>
      <c r="B23" s="72">
        <v>67.459999999999994</v>
      </c>
      <c r="C23" s="73">
        <v>86.55</v>
      </c>
      <c r="D23" s="147"/>
      <c r="E23" s="75"/>
      <c r="F23" s="73"/>
      <c r="G23" s="147"/>
      <c r="H23" s="75"/>
      <c r="I23" s="73"/>
      <c r="J23" s="431"/>
      <c r="K23" s="347"/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0.44</v>
      </c>
      <c r="AG23" s="1113">
        <v>15.01</v>
      </c>
      <c r="AH23" s="1110">
        <v>445</v>
      </c>
      <c r="AI23" s="238">
        <v>69.59</v>
      </c>
      <c r="AJ23" s="838"/>
      <c r="AK23" s="839"/>
      <c r="AL23" s="51">
        <f t="shared" si="0"/>
        <v>1.2829825081529795</v>
      </c>
      <c r="AM23" s="51">
        <f t="shared" si="1"/>
        <v>-6.8928399065490975E-2</v>
      </c>
    </row>
    <row r="24" spans="1:39" x14ac:dyDescent="0.25">
      <c r="A24" s="71">
        <v>43100</v>
      </c>
      <c r="B24" s="72">
        <v>39.44</v>
      </c>
      <c r="C24" s="73">
        <v>50.8</v>
      </c>
      <c r="D24" s="147"/>
      <c r="E24" s="75"/>
      <c r="F24" s="73"/>
      <c r="G24" s="147"/>
      <c r="H24" s="75"/>
      <c r="I24" s="73"/>
      <c r="J24" s="234"/>
      <c r="K24" s="73"/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0.5</v>
      </c>
      <c r="AG24" s="1113">
        <v>15.02</v>
      </c>
      <c r="AH24" s="1110">
        <v>254</v>
      </c>
      <c r="AI24" s="238">
        <v>57.15</v>
      </c>
      <c r="AJ24" s="838"/>
      <c r="AK24" s="839"/>
      <c r="AL24" s="51">
        <f t="shared" si="0"/>
        <v>1.2880324543610548</v>
      </c>
      <c r="AM24" s="51">
        <f t="shared" si="1"/>
        <v>-6.3878452857415668E-2</v>
      </c>
    </row>
    <row r="25" spans="1:39" x14ac:dyDescent="0.25">
      <c r="A25" s="71">
        <v>43101</v>
      </c>
      <c r="B25" s="72">
        <v>10.210000000000001</v>
      </c>
      <c r="C25" s="73">
        <v>13.28</v>
      </c>
      <c r="D25" s="528">
        <v>43445</v>
      </c>
      <c r="E25" s="516" t="s">
        <v>489</v>
      </c>
      <c r="F25" s="380">
        <v>960.67</v>
      </c>
      <c r="G25" s="147">
        <v>43105</v>
      </c>
      <c r="H25" s="75" t="s">
        <v>211</v>
      </c>
      <c r="I25" s="73">
        <v>16.2</v>
      </c>
      <c r="J25" s="234"/>
      <c r="K25" s="73"/>
      <c r="L25" s="71"/>
      <c r="M25" s="73"/>
      <c r="N25" s="1153">
        <v>43125</v>
      </c>
      <c r="O25" s="835">
        <v>50</v>
      </c>
      <c r="P25" s="71"/>
      <c r="Q25" s="73"/>
      <c r="R25" s="71"/>
      <c r="S25" s="73"/>
      <c r="T25" s="894">
        <v>43101</v>
      </c>
      <c r="U25" s="1199" t="s">
        <v>953</v>
      </c>
      <c r="V25" s="73">
        <v>20.2</v>
      </c>
      <c r="W25" s="894">
        <v>43251</v>
      </c>
      <c r="X25" s="1199" t="s">
        <v>945</v>
      </c>
      <c r="Y25" s="73">
        <v>54</v>
      </c>
      <c r="Z25" s="894"/>
      <c r="AA25" s="1199"/>
      <c r="AB25" s="73"/>
      <c r="AC25" s="894"/>
      <c r="AD25" s="1199"/>
      <c r="AE25" s="73"/>
      <c r="AF25" s="1112">
        <v>0.51</v>
      </c>
      <c r="AG25" s="1113">
        <v>15.03</v>
      </c>
      <c r="AH25" s="1110">
        <v>59</v>
      </c>
      <c r="AI25" s="238">
        <v>66.2</v>
      </c>
      <c r="AJ25" s="838"/>
      <c r="AK25" s="839"/>
      <c r="AL25" s="51">
        <f t="shared" si="0"/>
        <v>1.3006856023506363</v>
      </c>
      <c r="AM25" s="51">
        <f t="shared" si="1"/>
        <v>-5.1225304867834165E-2</v>
      </c>
    </row>
    <row r="26" spans="1:39" x14ac:dyDescent="0.25">
      <c r="A26" s="71">
        <v>43159</v>
      </c>
      <c r="B26" s="72">
        <v>207.66</v>
      </c>
      <c r="C26" s="73">
        <v>272.64999999999998</v>
      </c>
      <c r="D26" s="147"/>
      <c r="E26" s="75"/>
      <c r="F26" s="73"/>
      <c r="G26" s="147">
        <v>43129</v>
      </c>
      <c r="H26" s="75" t="s">
        <v>212</v>
      </c>
      <c r="I26" s="73">
        <v>49.5</v>
      </c>
      <c r="J26" s="234"/>
      <c r="K26" s="73"/>
      <c r="L26" s="71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20.2</v>
      </c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v>0.5</v>
      </c>
      <c r="AG26" s="1113">
        <v>15.03</v>
      </c>
      <c r="AH26" s="1110">
        <v>1383</v>
      </c>
      <c r="AI26" s="238">
        <v>36.340000000000003</v>
      </c>
      <c r="AJ26" s="838"/>
      <c r="AK26" s="839"/>
      <c r="AL26" s="51">
        <f t="shared" si="0"/>
        <v>1.3129634980256186</v>
      </c>
      <c r="AM26" s="51">
        <f t="shared" si="1"/>
        <v>-3.894740919285189E-2</v>
      </c>
    </row>
    <row r="27" spans="1:39" x14ac:dyDescent="0.25">
      <c r="A27" s="71">
        <v>43190</v>
      </c>
      <c r="B27" s="72">
        <v>101.06</v>
      </c>
      <c r="C27" s="73">
        <v>133.30000000000001</v>
      </c>
      <c r="D27" s="147"/>
      <c r="E27" s="75"/>
      <c r="F27" s="73"/>
      <c r="G27" s="147"/>
      <c r="H27" s="75"/>
      <c r="I27" s="73"/>
      <c r="J27" s="234"/>
      <c r="K27" s="73"/>
      <c r="L27" s="71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20.2</v>
      </c>
      <c r="W27" s="945"/>
      <c r="X27" s="1201"/>
      <c r="Y27" s="347"/>
      <c r="Z27" s="894"/>
      <c r="AA27" s="1199"/>
      <c r="AB27" s="73"/>
      <c r="AC27" s="894"/>
      <c r="AD27" s="1199"/>
      <c r="AE27" s="73"/>
      <c r="AF27" s="1112">
        <v>0.49</v>
      </c>
      <c r="AG27" s="1113">
        <v>15.03</v>
      </c>
      <c r="AH27" s="1110">
        <v>674</v>
      </c>
      <c r="AI27" s="238">
        <v>62.3</v>
      </c>
      <c r="AJ27" s="838"/>
      <c r="AK27" s="839"/>
      <c r="AL27" s="51">
        <f t="shared" si="0"/>
        <v>1.3190184049079756</v>
      </c>
      <c r="AM27" s="51">
        <f t="shared" si="1"/>
        <v>-3.2892502310494898E-2</v>
      </c>
    </row>
    <row r="28" spans="1:39" x14ac:dyDescent="0.25">
      <c r="A28" s="71">
        <v>43220</v>
      </c>
      <c r="B28" s="72">
        <v>80.489999999999995</v>
      </c>
      <c r="C28" s="73">
        <v>107.8</v>
      </c>
      <c r="D28" s="147"/>
      <c r="E28" s="75"/>
      <c r="F28" s="73"/>
      <c r="G28" s="147"/>
      <c r="H28" s="75"/>
      <c r="I28" s="73"/>
      <c r="J28" s="234"/>
      <c r="K28" s="73"/>
      <c r="L28" s="71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20.2</v>
      </c>
      <c r="W28" s="894"/>
      <c r="X28" s="1199"/>
      <c r="Y28" s="73"/>
      <c r="Z28" s="894"/>
      <c r="AA28" s="1199"/>
      <c r="AB28" s="73"/>
      <c r="AC28" s="894"/>
      <c r="AD28" s="1199"/>
      <c r="AE28" s="73"/>
      <c r="AF28" s="1112">
        <v>0.5</v>
      </c>
      <c r="AG28" s="1113">
        <v>15.03</v>
      </c>
      <c r="AH28" s="1110">
        <v>530</v>
      </c>
      <c r="AI28" s="238">
        <v>59.81</v>
      </c>
      <c r="AJ28" s="838"/>
      <c r="AK28" s="839"/>
      <c r="AL28" s="51">
        <f t="shared" si="0"/>
        <v>1.3392968070567772</v>
      </c>
      <c r="AM28" s="51">
        <f t="shared" si="1"/>
        <v>-1.2614100161693287E-2</v>
      </c>
    </row>
    <row r="29" spans="1:39" x14ac:dyDescent="0.25">
      <c r="A29" s="71">
        <v>43251</v>
      </c>
      <c r="B29" s="72">
        <v>329.3</v>
      </c>
      <c r="C29" s="73">
        <v>453.81</v>
      </c>
      <c r="D29" s="147"/>
      <c r="E29" s="75"/>
      <c r="F29" s="73"/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0.49</v>
      </c>
      <c r="AG29" s="1113">
        <v>15.02</v>
      </c>
      <c r="AH29" s="1110">
        <v>2202</v>
      </c>
      <c r="AI29" s="238">
        <v>50.21</v>
      </c>
      <c r="AJ29" s="838"/>
      <c r="AK29" s="839"/>
      <c r="AL29" s="51">
        <f t="shared" si="0"/>
        <v>1.3781050713634984</v>
      </c>
      <c r="AM29" s="51">
        <f t="shared" si="1"/>
        <v>2.6194164145027843E-2</v>
      </c>
    </row>
    <row r="30" spans="1:39" x14ac:dyDescent="0.25">
      <c r="A30" s="71">
        <v>43281</v>
      </c>
      <c r="B30" s="72">
        <v>198.85</v>
      </c>
      <c r="C30" s="73">
        <v>278.85000000000002</v>
      </c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0.48</v>
      </c>
      <c r="AG30" s="1113">
        <v>15.02</v>
      </c>
      <c r="AH30" s="1110">
        <v>1208</v>
      </c>
      <c r="AI30" s="238">
        <v>65.989999999999995</v>
      </c>
      <c r="AJ30" s="838"/>
      <c r="AK30" s="839"/>
      <c r="AL30" s="51">
        <f t="shared" si="0"/>
        <v>1.4023133014835305</v>
      </c>
      <c r="AM30" s="51">
        <f t="shared" si="1"/>
        <v>5.0402394265059991E-2</v>
      </c>
    </row>
    <row r="31" spans="1:39" x14ac:dyDescent="0.25">
      <c r="A31" s="71">
        <v>43312</v>
      </c>
      <c r="B31" s="72">
        <v>0</v>
      </c>
      <c r="C31" s="73">
        <v>0</v>
      </c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0.48</v>
      </c>
      <c r="AG31" s="1113">
        <v>15.02</v>
      </c>
      <c r="AH31" s="1110">
        <v>0</v>
      </c>
      <c r="AI31" s="238">
        <v>65.989999999999995</v>
      </c>
      <c r="AJ31" s="838"/>
      <c r="AK31" s="839"/>
      <c r="AL31" s="51" t="e">
        <f t="shared" si="0"/>
        <v>#DIV/0!</v>
      </c>
      <c r="AM31" s="51" t="e">
        <f t="shared" si="1"/>
        <v>#DIV/0!</v>
      </c>
    </row>
    <row r="32" spans="1:39" x14ac:dyDescent="0.25">
      <c r="A32" s="71">
        <v>43343</v>
      </c>
      <c r="B32" s="72">
        <v>30.49</v>
      </c>
      <c r="C32" s="73">
        <v>42.98</v>
      </c>
      <c r="D32" s="528"/>
      <c r="E32" s="516"/>
      <c r="F32" s="380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0.48</v>
      </c>
      <c r="AG32" s="1113">
        <v>15.02</v>
      </c>
      <c r="AH32" s="1110">
        <v>203</v>
      </c>
      <c r="AI32" s="238">
        <v>68.5</v>
      </c>
      <c r="AJ32" s="838"/>
      <c r="AK32" s="839"/>
      <c r="AL32" s="51">
        <f t="shared" si="0"/>
        <v>1.4096425057395867</v>
      </c>
      <c r="AM32" s="51">
        <f t="shared" si="1"/>
        <v>5.7731598521116201E-2</v>
      </c>
    </row>
    <row r="33" spans="1:39" x14ac:dyDescent="0.25">
      <c r="A33" s="71">
        <v>43373</v>
      </c>
      <c r="B33" s="72">
        <v>112.24</v>
      </c>
      <c r="C33" s="73">
        <v>157.87</v>
      </c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0.47</v>
      </c>
      <c r="AG33" s="1113">
        <v>15.03</v>
      </c>
      <c r="AH33" s="1110">
        <v>743</v>
      </c>
      <c r="AI33" s="238">
        <v>60.26</v>
      </c>
      <c r="AJ33" s="838"/>
      <c r="AK33" s="839"/>
      <c r="AL33" s="51">
        <f t="shared" si="0"/>
        <v>1.4065395580898077</v>
      </c>
      <c r="AM33" s="51">
        <f t="shared" si="1"/>
        <v>5.462865087133717E-2</v>
      </c>
    </row>
    <row r="34" spans="1:39" x14ac:dyDescent="0.25">
      <c r="A34" s="71">
        <v>43404</v>
      </c>
      <c r="B34" s="72">
        <v>271.79000000000002</v>
      </c>
      <c r="C34" s="73">
        <v>383.29</v>
      </c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0.46</v>
      </c>
      <c r="AG34" s="1113">
        <v>15.03</v>
      </c>
      <c r="AH34" s="1110">
        <v>1809</v>
      </c>
      <c r="AI34" s="238">
        <v>58.82</v>
      </c>
      <c r="AJ34" s="838"/>
      <c r="AK34" s="839"/>
      <c r="AL34" s="51">
        <f t="shared" si="0"/>
        <v>1.4102432024724971</v>
      </c>
      <c r="AM34" s="51">
        <f t="shared" si="1"/>
        <v>5.8332295254026612E-2</v>
      </c>
    </row>
    <row r="35" spans="1:39" x14ac:dyDescent="0.25">
      <c r="A35" s="71">
        <v>43434</v>
      </c>
      <c r="B35" s="72">
        <v>51.1</v>
      </c>
      <c r="C35" s="73">
        <v>71.069999999999993</v>
      </c>
      <c r="D35" s="147"/>
      <c r="E35" s="75"/>
      <c r="F35" s="73"/>
      <c r="G35" s="1162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0.46</v>
      </c>
      <c r="AG35" s="1113">
        <v>15.03</v>
      </c>
      <c r="AH35" s="1110">
        <v>339</v>
      </c>
      <c r="AI35" s="238">
        <v>23.91</v>
      </c>
      <c r="AJ35" s="838"/>
      <c r="AK35" s="839"/>
      <c r="AL35" s="51">
        <f t="shared" si="0"/>
        <v>1.3908023483365948</v>
      </c>
      <c r="AM35" s="51">
        <f t="shared" si="1"/>
        <v>3.8891441118124259E-2</v>
      </c>
    </row>
    <row r="36" spans="1:39" x14ac:dyDescent="0.25">
      <c r="A36" s="71">
        <v>43465</v>
      </c>
      <c r="B36" s="72">
        <v>70.73</v>
      </c>
      <c r="C36" s="73">
        <v>91.28</v>
      </c>
      <c r="D36" s="147"/>
      <c r="E36" s="75"/>
      <c r="F36" s="73"/>
      <c r="G36" s="147"/>
      <c r="H36" s="75"/>
      <c r="I36" s="73"/>
      <c r="J36" s="234"/>
      <c r="K36" s="73"/>
      <c r="L36" s="71">
        <v>43480</v>
      </c>
      <c r="M36" s="73">
        <v>166.8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0.5</v>
      </c>
      <c r="AG36" s="1113">
        <v>15.03</v>
      </c>
      <c r="AH36" s="1110">
        <v>471</v>
      </c>
      <c r="AI36" s="238">
        <v>70.73</v>
      </c>
      <c r="AJ36" s="838"/>
      <c r="AK36" s="839"/>
      <c r="AL36" s="51">
        <f t="shared" si="0"/>
        <v>1.2905414958292096</v>
      </c>
      <c r="AM36" s="51">
        <f t="shared" si="1"/>
        <v>-6.1369411389260886E-2</v>
      </c>
    </row>
    <row r="37" spans="1:39" x14ac:dyDescent="0.25">
      <c r="A37" s="71">
        <v>43496</v>
      </c>
      <c r="B37" s="72">
        <v>28.13</v>
      </c>
      <c r="C37" s="73">
        <v>35.4</v>
      </c>
      <c r="D37" s="147">
        <v>43490</v>
      </c>
      <c r="E37" s="75" t="s">
        <v>518</v>
      </c>
      <c r="F37" s="73">
        <v>172.03</v>
      </c>
      <c r="G37" s="147">
        <v>43496</v>
      </c>
      <c r="H37" s="75" t="s">
        <v>510</v>
      </c>
      <c r="I37" s="73">
        <v>17.8</v>
      </c>
      <c r="J37" s="234"/>
      <c r="K37" s="73"/>
      <c r="L37" s="71">
        <v>43480</v>
      </c>
      <c r="M37" s="73">
        <v>8.4</v>
      </c>
      <c r="N37" s="894">
        <v>43475</v>
      </c>
      <c r="O37" s="73">
        <v>50</v>
      </c>
      <c r="P37" s="71"/>
      <c r="Q37" s="73"/>
      <c r="R37" s="71"/>
      <c r="S37" s="73"/>
      <c r="T37" s="894">
        <v>43466</v>
      </c>
      <c r="U37" s="1199" t="s">
        <v>957</v>
      </c>
      <c r="V37" s="73">
        <v>20.2</v>
      </c>
      <c r="W37" s="894">
        <v>43588</v>
      </c>
      <c r="X37" s="1199" t="s">
        <v>923</v>
      </c>
      <c r="Y37" s="73">
        <v>54</v>
      </c>
      <c r="Z37" s="894"/>
      <c r="AA37" s="1199"/>
      <c r="AB37" s="73"/>
      <c r="AC37" s="894"/>
      <c r="AD37" s="1199"/>
      <c r="AE37" s="73"/>
      <c r="AF37" s="1112">
        <v>0.5</v>
      </c>
      <c r="AG37" s="1113">
        <v>14.78</v>
      </c>
      <c r="AH37" s="1110">
        <v>597</v>
      </c>
      <c r="AI37" s="238">
        <v>80</v>
      </c>
      <c r="AJ37" s="838"/>
      <c r="AK37" s="839"/>
      <c r="AL37" s="51">
        <f t="shared" si="0"/>
        <v>1.2584429434767153</v>
      </c>
      <c r="AM37" s="51">
        <f t="shared" si="1"/>
        <v>-9.3467963741755256E-2</v>
      </c>
    </row>
    <row r="38" spans="1:39" x14ac:dyDescent="0.25">
      <c r="A38" s="71">
        <v>43524</v>
      </c>
      <c r="B38" s="72">
        <v>170.11</v>
      </c>
      <c r="C38" s="73">
        <v>212.25</v>
      </c>
      <c r="D38" s="147">
        <v>43539</v>
      </c>
      <c r="E38" s="75" t="s">
        <v>570</v>
      </c>
      <c r="F38" s="73">
        <v>2156.39</v>
      </c>
      <c r="G38" s="147">
        <v>43524</v>
      </c>
      <c r="H38" s="75" t="s">
        <v>510</v>
      </c>
      <c r="I38" s="73">
        <v>3.7</v>
      </c>
      <c r="J38" s="234"/>
      <c r="K38" s="73"/>
      <c r="L38" s="71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20.2</v>
      </c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v>0.49</v>
      </c>
      <c r="AG38" s="1113">
        <v>14.58</v>
      </c>
      <c r="AH38" s="1110">
        <v>1518</v>
      </c>
      <c r="AI38" s="238">
        <v>80</v>
      </c>
      <c r="AJ38" s="838"/>
      <c r="AK38" s="839"/>
      <c r="AL38" s="51">
        <f t="shared" si="0"/>
        <v>1.2477220621950502</v>
      </c>
      <c r="AM38" s="51">
        <f t="shared" si="1"/>
        <v>-0.1041888450234203</v>
      </c>
    </row>
    <row r="39" spans="1:39" x14ac:dyDescent="0.25">
      <c r="A39" s="71">
        <v>43555</v>
      </c>
      <c r="B39" s="72">
        <v>181.5</v>
      </c>
      <c r="C39" s="73">
        <v>232.85</v>
      </c>
      <c r="D39" s="147">
        <v>43591</v>
      </c>
      <c r="E39" s="75" t="s">
        <v>628</v>
      </c>
      <c r="F39" s="73">
        <v>-1566.21</v>
      </c>
      <c r="G39" s="147">
        <v>43539</v>
      </c>
      <c r="H39" s="75" t="s">
        <v>563</v>
      </c>
      <c r="I39" s="73">
        <v>8</v>
      </c>
      <c r="J39" s="234"/>
      <c r="K39" s="73"/>
      <c r="L39" s="71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20.02</v>
      </c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v>0.56000000000000005</v>
      </c>
      <c r="AG39" s="1113">
        <v>14.4</v>
      </c>
      <c r="AH39" s="1110">
        <v>1610</v>
      </c>
      <c r="AI39" s="238">
        <v>80</v>
      </c>
      <c r="AJ39" s="838"/>
      <c r="AK39" s="839"/>
      <c r="AL39" s="51">
        <f t="shared" si="0"/>
        <v>1.2829201101928374</v>
      </c>
      <c r="AM39" s="51">
        <f t="shared" si="1"/>
        <v>-6.8990797025633155E-2</v>
      </c>
    </row>
    <row r="40" spans="1:39" x14ac:dyDescent="0.25">
      <c r="A40" s="71">
        <v>43585</v>
      </c>
      <c r="B40" s="72">
        <v>237.73</v>
      </c>
      <c r="C40" s="73">
        <v>318.99</v>
      </c>
      <c r="D40" s="147">
        <v>43595</v>
      </c>
      <c r="E40" s="75" t="s">
        <v>629</v>
      </c>
      <c r="F40" s="73">
        <v>-174.02</v>
      </c>
      <c r="G40" s="345"/>
      <c r="H40" s="346"/>
      <c r="I40" s="347"/>
      <c r="J40" s="234"/>
      <c r="K40" s="73"/>
      <c r="L40" s="71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20.02</v>
      </c>
      <c r="W40" s="894"/>
      <c r="X40" s="1199"/>
      <c r="Y40" s="73"/>
      <c r="Z40" s="894"/>
      <c r="AA40" s="1199"/>
      <c r="AB40" s="73"/>
      <c r="AC40" s="894"/>
      <c r="AD40" s="1199"/>
      <c r="AE40" s="73"/>
      <c r="AF40" s="1112">
        <v>0.54</v>
      </c>
      <c r="AG40" s="1113">
        <v>14.22</v>
      </c>
      <c r="AH40" s="1110">
        <v>2037</v>
      </c>
      <c r="AI40" s="238">
        <v>60</v>
      </c>
      <c r="AJ40" s="838"/>
      <c r="AK40" s="839"/>
      <c r="AL40" s="51">
        <f t="shared" si="0"/>
        <v>1.3418163462751862</v>
      </c>
      <c r="AM40" s="51">
        <f t="shared" si="1"/>
        <v>-1.0094560943284314E-2</v>
      </c>
    </row>
    <row r="41" spans="1:39" x14ac:dyDescent="0.25">
      <c r="A41" s="71">
        <v>43616</v>
      </c>
      <c r="B41" s="72">
        <v>199.78</v>
      </c>
      <c r="C41" s="73">
        <v>279.75</v>
      </c>
      <c r="D41" s="147">
        <v>43612</v>
      </c>
      <c r="E41" s="75" t="s">
        <v>641</v>
      </c>
      <c r="F41" s="73">
        <v>538.4</v>
      </c>
      <c r="G41" s="147"/>
      <c r="H41" s="75"/>
      <c r="I41" s="73"/>
      <c r="J41" s="234"/>
      <c r="K41" s="73"/>
      <c r="L41" s="71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0.49</v>
      </c>
      <c r="AG41" s="1113">
        <v>14.07</v>
      </c>
      <c r="AH41" s="1110">
        <v>1738</v>
      </c>
      <c r="AI41" s="238">
        <v>80</v>
      </c>
      <c r="AJ41" s="838"/>
      <c r="AK41" s="839"/>
      <c r="AL41" s="51">
        <f t="shared" si="0"/>
        <v>1.4002903193512863</v>
      </c>
      <c r="AM41" s="51">
        <f t="shared" si="1"/>
        <v>4.8379412132815824E-2</v>
      </c>
    </row>
    <row r="42" spans="1:39" x14ac:dyDescent="0.25">
      <c r="A42" s="71">
        <v>43646</v>
      </c>
      <c r="B42" s="72">
        <v>208.83</v>
      </c>
      <c r="C42" s="73">
        <v>283.27</v>
      </c>
      <c r="D42" s="147">
        <v>43570</v>
      </c>
      <c r="E42" s="75" t="s">
        <v>653</v>
      </c>
      <c r="F42" s="73">
        <v>41.95</v>
      </c>
      <c r="G42" s="147"/>
      <c r="H42" s="75"/>
      <c r="I42" s="73"/>
      <c r="J42" s="234"/>
      <c r="K42" s="73"/>
      <c r="L42" s="71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0.49</v>
      </c>
      <c r="AG42" s="1113">
        <v>14.17</v>
      </c>
      <c r="AH42" s="1110">
        <v>1251</v>
      </c>
      <c r="AI42" s="238">
        <v>80</v>
      </c>
      <c r="AJ42" s="838"/>
      <c r="AK42" s="839"/>
      <c r="AL42" s="51">
        <f t="shared" si="0"/>
        <v>1.3564621941291959</v>
      </c>
      <c r="AM42" s="51">
        <f t="shared" si="1"/>
        <v>4.5512869107253717E-3</v>
      </c>
    </row>
    <row r="43" spans="1:39" x14ac:dyDescent="0.25">
      <c r="A43" s="71">
        <v>43677</v>
      </c>
      <c r="B43" s="72">
        <v>118.89</v>
      </c>
      <c r="C43" s="73">
        <v>161.24</v>
      </c>
      <c r="D43" s="147">
        <v>43833</v>
      </c>
      <c r="E43" s="75" t="s">
        <v>841</v>
      </c>
      <c r="F43" s="73">
        <v>1126.8599999999999</v>
      </c>
      <c r="G43" s="147"/>
      <c r="H43" s="75"/>
      <c r="I43" s="73"/>
      <c r="J43" s="234"/>
      <c r="K43" s="73"/>
      <c r="L43" s="71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0.48</v>
      </c>
      <c r="AG43" s="1113">
        <v>14.22</v>
      </c>
      <c r="AH43" s="1110">
        <v>717</v>
      </c>
      <c r="AI43" s="238">
        <v>80</v>
      </c>
      <c r="AJ43" s="838"/>
      <c r="AK43" s="839"/>
      <c r="AL43" s="51">
        <f t="shared" si="0"/>
        <v>1.3562116241904283</v>
      </c>
      <c r="AM43" s="51">
        <f t="shared" si="1"/>
        <v>4.3007169719577742E-3</v>
      </c>
    </row>
    <row r="44" spans="1:39" x14ac:dyDescent="0.25">
      <c r="A44" s="71">
        <v>43708</v>
      </c>
      <c r="B44" s="72">
        <v>76.19</v>
      </c>
      <c r="C44" s="73">
        <v>101.99</v>
      </c>
      <c r="D44" s="147">
        <v>43774</v>
      </c>
      <c r="E44" s="75" t="s">
        <v>740</v>
      </c>
      <c r="F44" s="73">
        <v>41.95</v>
      </c>
      <c r="G44" s="147"/>
      <c r="H44" s="75"/>
      <c r="I44" s="73"/>
      <c r="J44" s="234"/>
      <c r="K44" s="73"/>
      <c r="L44" s="71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0.48</v>
      </c>
      <c r="AG44" s="1113">
        <v>14.25</v>
      </c>
      <c r="AH44" s="1110">
        <v>469</v>
      </c>
      <c r="AI44" s="238">
        <v>80</v>
      </c>
      <c r="AJ44" s="838"/>
      <c r="AK44" s="839"/>
      <c r="AL44" s="51">
        <f t="shared" si="0"/>
        <v>1.3386271164194776</v>
      </c>
      <c r="AM44" s="51">
        <f t="shared" si="1"/>
        <v>-1.3283790798992889E-2</v>
      </c>
    </row>
    <row r="45" spans="1:39" x14ac:dyDescent="0.25">
      <c r="A45" s="71">
        <v>43738</v>
      </c>
      <c r="B45" s="72">
        <v>159.38999999999999</v>
      </c>
      <c r="C45" s="73">
        <v>212.29</v>
      </c>
      <c r="D45" s="147">
        <v>43815</v>
      </c>
      <c r="E45" s="75" t="s">
        <v>839</v>
      </c>
      <c r="F45" s="73">
        <v>49.5</v>
      </c>
      <c r="G45" s="147"/>
      <c r="H45" s="75"/>
      <c r="I45" s="73"/>
      <c r="J45" s="234"/>
      <c r="K45" s="73"/>
      <c r="L45" s="71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0.48</v>
      </c>
      <c r="AG45" s="1113">
        <v>14.29</v>
      </c>
      <c r="AH45" s="1110">
        <v>1000</v>
      </c>
      <c r="AI45" s="238">
        <v>80</v>
      </c>
      <c r="AJ45" s="838"/>
      <c r="AK45" s="839"/>
      <c r="AL45" s="51">
        <f t="shared" si="0"/>
        <v>1.3318903318903319</v>
      </c>
      <c r="AM45" s="51">
        <f t="shared" si="1"/>
        <v>-2.0020575328138612E-2</v>
      </c>
    </row>
    <row r="46" spans="1:39" x14ac:dyDescent="0.25">
      <c r="A46" s="71">
        <v>43769</v>
      </c>
      <c r="B46" s="72">
        <v>211.12</v>
      </c>
      <c r="C46" s="73">
        <v>279.11</v>
      </c>
      <c r="D46" s="147"/>
      <c r="E46" s="75"/>
      <c r="F46" s="73"/>
      <c r="G46" s="147"/>
      <c r="H46" s="75"/>
      <c r="I46" s="73"/>
      <c r="J46" s="234"/>
      <c r="K46" s="73"/>
      <c r="L46" s="71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0.47</v>
      </c>
      <c r="AG46" s="1113">
        <v>14.31</v>
      </c>
      <c r="AH46" s="1110">
        <v>1431</v>
      </c>
      <c r="AI46" s="238">
        <v>80</v>
      </c>
      <c r="AJ46" s="838"/>
      <c r="AK46" s="839"/>
      <c r="AL46" s="51">
        <f t="shared" si="0"/>
        <v>1.3220443349753694</v>
      </c>
      <c r="AM46" s="51">
        <f t="shared" si="1"/>
        <v>-2.9866572243101075E-2</v>
      </c>
    </row>
    <row r="47" spans="1:39" x14ac:dyDescent="0.25">
      <c r="A47" s="71">
        <v>43799</v>
      </c>
      <c r="B47" s="72">
        <v>153.85</v>
      </c>
      <c r="C47" s="73">
        <v>203.48</v>
      </c>
      <c r="D47" s="147"/>
      <c r="E47" s="75"/>
      <c r="F47" s="73"/>
      <c r="G47" s="147"/>
      <c r="H47" s="75"/>
      <c r="I47" s="73"/>
      <c r="J47" s="234"/>
      <c r="K47" s="73"/>
      <c r="L47" s="71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0.47</v>
      </c>
      <c r="AG47" s="1113">
        <v>14.35</v>
      </c>
      <c r="AH47" s="1110">
        <v>962</v>
      </c>
      <c r="AI47" s="238">
        <v>80</v>
      </c>
      <c r="AJ47" s="838"/>
      <c r="AK47" s="839"/>
      <c r="AL47" s="51">
        <f t="shared" si="0"/>
        <v>1.3225869353266169</v>
      </c>
      <c r="AM47" s="51">
        <f t="shared" si="1"/>
        <v>-2.9323971891853651E-2</v>
      </c>
    </row>
    <row r="48" spans="1:39" x14ac:dyDescent="0.25">
      <c r="A48" s="71">
        <v>43830</v>
      </c>
      <c r="B48" s="72">
        <v>131.58000000000001</v>
      </c>
      <c r="C48" s="73">
        <v>174.25</v>
      </c>
      <c r="D48" s="147"/>
      <c r="E48" s="75"/>
      <c r="F48" s="73"/>
      <c r="G48" s="147"/>
      <c r="H48" s="75"/>
      <c r="I48" s="73"/>
      <c r="J48" s="234"/>
      <c r="K48" s="73"/>
      <c r="L48" s="71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0.49</v>
      </c>
      <c r="AG48" s="1113">
        <v>14.38</v>
      </c>
      <c r="AH48" s="1110">
        <v>836</v>
      </c>
      <c r="AI48" s="238">
        <v>78</v>
      </c>
      <c r="AJ48" s="838"/>
      <c r="AK48" s="839"/>
      <c r="AL48" s="51">
        <f t="shared" si="0"/>
        <v>1.3242894056847545</v>
      </c>
      <c r="AM48" s="51">
        <f t="shared" si="1"/>
        <v>-2.7621501533716009E-2</v>
      </c>
    </row>
    <row r="49" spans="1:39" x14ac:dyDescent="0.25">
      <c r="A49" s="71">
        <v>43861</v>
      </c>
      <c r="B49" s="72">
        <v>126.59</v>
      </c>
      <c r="C49" s="73">
        <v>180.17</v>
      </c>
      <c r="D49" s="147">
        <v>43923</v>
      </c>
      <c r="E49" s="75" t="s">
        <v>1056</v>
      </c>
      <c r="F49" s="73">
        <v>41.95</v>
      </c>
      <c r="G49" s="147">
        <v>43951</v>
      </c>
      <c r="H49" s="75" t="s">
        <v>510</v>
      </c>
      <c r="I49" s="73">
        <f>2</f>
        <v>2</v>
      </c>
      <c r="J49" s="234"/>
      <c r="K49" s="73"/>
      <c r="L49" s="71">
        <v>43861</v>
      </c>
      <c r="M49" s="73">
        <v>8.4</v>
      </c>
      <c r="N49" s="894"/>
      <c r="O49" s="73"/>
      <c r="P49" s="71"/>
      <c r="Q49" s="73"/>
      <c r="R49" s="71"/>
      <c r="S49" s="73"/>
      <c r="T49" s="894">
        <v>43808</v>
      </c>
      <c r="U49" s="1199" t="s">
        <v>961</v>
      </c>
      <c r="V49" s="73">
        <v>20.02</v>
      </c>
      <c r="W49" s="894">
        <v>43942</v>
      </c>
      <c r="X49" s="1199" t="s">
        <v>1079</v>
      </c>
      <c r="Y49" s="73">
        <v>90</v>
      </c>
      <c r="Z49" s="894"/>
      <c r="AA49" s="1199"/>
      <c r="AB49" s="73"/>
      <c r="AC49" s="894"/>
      <c r="AD49" s="1199"/>
      <c r="AE49" s="73"/>
      <c r="AF49" s="1112">
        <v>0.49</v>
      </c>
      <c r="AG49" s="1113">
        <v>14.41</v>
      </c>
      <c r="AH49" s="1110">
        <v>817</v>
      </c>
      <c r="AI49" s="238">
        <v>80</v>
      </c>
      <c r="AJ49" s="838"/>
      <c r="AK49" s="839"/>
      <c r="AL49" s="51">
        <f t="shared" si="0"/>
        <v>1.4232561813729361</v>
      </c>
      <c r="AM49" s="51">
        <f t="shared" si="1"/>
        <v>7.1345274154465566E-2</v>
      </c>
    </row>
    <row r="50" spans="1:39" x14ac:dyDescent="0.25">
      <c r="A50" s="71">
        <v>43890</v>
      </c>
      <c r="B50" s="72">
        <v>125.1</v>
      </c>
      <c r="C50" s="73">
        <v>179.84</v>
      </c>
      <c r="D50" s="345">
        <v>44036</v>
      </c>
      <c r="E50" s="346" t="s">
        <v>1183</v>
      </c>
      <c r="F50" s="347">
        <v>200.12</v>
      </c>
      <c r="G50" s="147">
        <v>44196</v>
      </c>
      <c r="H50" s="75" t="s">
        <v>510</v>
      </c>
      <c r="I50" s="73">
        <v>7</v>
      </c>
      <c r="J50" s="234"/>
      <c r="K50" s="73"/>
      <c r="L50" s="71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20.02</v>
      </c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v>0.49</v>
      </c>
      <c r="AG50" s="1113">
        <v>14.41</v>
      </c>
      <c r="AH50" s="1110">
        <v>853</v>
      </c>
      <c r="AI50" s="238">
        <v>80</v>
      </c>
      <c r="AJ50" s="838"/>
      <c r="AK50" s="839"/>
      <c r="AL50" s="51">
        <f t="shared" si="0"/>
        <v>1.4375699440447642</v>
      </c>
      <c r="AM50" s="51">
        <f t="shared" si="1"/>
        <v>8.5659036826293722E-2</v>
      </c>
    </row>
    <row r="51" spans="1:39" x14ac:dyDescent="0.25">
      <c r="A51" s="71">
        <v>43921</v>
      </c>
      <c r="B51" s="72">
        <v>74.25</v>
      </c>
      <c r="C51" s="73">
        <v>105.02</v>
      </c>
      <c r="D51" s="147">
        <v>44004</v>
      </c>
      <c r="E51" s="75" t="s">
        <v>1173</v>
      </c>
      <c r="F51" s="73">
        <v>41.95</v>
      </c>
      <c r="G51" s="147"/>
      <c r="H51" s="75"/>
      <c r="I51" s="73"/>
      <c r="J51" s="234"/>
      <c r="K51" s="73"/>
      <c r="L51" s="71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20.02</v>
      </c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v>0.37</v>
      </c>
      <c r="AG51" s="1113">
        <v>14.41</v>
      </c>
      <c r="AH51" s="1110">
        <v>506</v>
      </c>
      <c r="AI51" s="238">
        <v>79</v>
      </c>
      <c r="AJ51" s="838"/>
      <c r="AK51" s="839"/>
      <c r="AL51" s="51">
        <f t="shared" si="0"/>
        <v>1.4144107744107743</v>
      </c>
      <c r="AM51" s="51">
        <f t="shared" si="1"/>
        <v>6.2499867192303826E-2</v>
      </c>
    </row>
    <row r="52" spans="1:39" x14ac:dyDescent="0.25">
      <c r="A52" s="71">
        <v>43951</v>
      </c>
      <c r="B52" s="72">
        <v>60.09</v>
      </c>
      <c r="C52" s="73">
        <v>80.56</v>
      </c>
      <c r="D52" s="528">
        <v>44083</v>
      </c>
      <c r="E52" s="516" t="s">
        <v>1209</v>
      </c>
      <c r="F52" s="380">
        <v>562.17999999999995</v>
      </c>
      <c r="G52" s="147"/>
      <c r="H52" s="75"/>
      <c r="I52" s="73"/>
      <c r="J52" s="234"/>
      <c r="K52" s="73"/>
      <c r="L52" s="71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20.02</v>
      </c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v>0.37</v>
      </c>
      <c r="AG52" s="1113">
        <v>14.4</v>
      </c>
      <c r="AH52" s="1110">
        <v>457</v>
      </c>
      <c r="AI52" s="238">
        <v>80</v>
      </c>
      <c r="AJ52" s="838"/>
      <c r="AK52" s="839"/>
      <c r="AL52" s="51">
        <f t="shared" si="0"/>
        <v>1.3406556831419536</v>
      </c>
      <c r="AM52" s="51">
        <f t="shared" si="1"/>
        <v>-1.1255224076516912E-2</v>
      </c>
    </row>
    <row r="53" spans="1:39" x14ac:dyDescent="0.25">
      <c r="A53" s="71">
        <v>43982</v>
      </c>
      <c r="B53" s="72">
        <v>125.09</v>
      </c>
      <c r="C53" s="73">
        <v>160.91</v>
      </c>
      <c r="D53" s="345">
        <v>44167</v>
      </c>
      <c r="E53" s="346" t="s">
        <v>1291</v>
      </c>
      <c r="F53" s="347">
        <v>57.55</v>
      </c>
      <c r="G53" s="147"/>
      <c r="H53" s="75"/>
      <c r="I53" s="73"/>
      <c r="J53" s="234"/>
      <c r="K53" s="73"/>
      <c r="L53" s="71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0.36</v>
      </c>
      <c r="AG53" s="1113">
        <v>14.39</v>
      </c>
      <c r="AH53" s="1110">
        <v>900</v>
      </c>
      <c r="AI53" s="238">
        <v>80</v>
      </c>
      <c r="AJ53" s="838"/>
      <c r="AK53" s="839"/>
      <c r="AL53" s="51">
        <f t="shared" si="0"/>
        <v>1.2863538252458229</v>
      </c>
      <c r="AM53" s="51">
        <f t="shared" si="1"/>
        <v>-6.5557081972647646E-2</v>
      </c>
    </row>
    <row r="54" spans="1:39" x14ac:dyDescent="0.25">
      <c r="A54" s="71">
        <v>44012</v>
      </c>
      <c r="B54" s="72">
        <v>178.17</v>
      </c>
      <c r="C54" s="73">
        <v>231.37</v>
      </c>
      <c r="D54" s="528"/>
      <c r="E54" s="516"/>
      <c r="F54" s="380"/>
      <c r="G54" s="147"/>
      <c r="H54" s="75"/>
      <c r="I54" s="73"/>
      <c r="J54" s="234"/>
      <c r="K54" s="73"/>
      <c r="L54" s="71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0.36</v>
      </c>
      <c r="AG54" s="1113">
        <v>14.33</v>
      </c>
      <c r="AH54" s="1110">
        <v>1221</v>
      </c>
      <c r="AI54" s="238">
        <v>80</v>
      </c>
      <c r="AJ54" s="838"/>
      <c r="AK54" s="839"/>
      <c r="AL54" s="51">
        <f t="shared" si="0"/>
        <v>1.2985912330919909</v>
      </c>
      <c r="AM54" s="51">
        <f t="shared" si="1"/>
        <v>-5.3319674126479644E-2</v>
      </c>
    </row>
    <row r="55" spans="1:39" x14ac:dyDescent="0.25">
      <c r="A55" s="71">
        <v>44043</v>
      </c>
      <c r="B55" s="72">
        <v>183.36</v>
      </c>
      <c r="C55" s="73">
        <v>243.41</v>
      </c>
      <c r="D55" s="147"/>
      <c r="E55" s="75"/>
      <c r="F55" s="73"/>
      <c r="G55" s="147"/>
      <c r="H55" s="75"/>
      <c r="I55" s="73"/>
      <c r="J55" s="234"/>
      <c r="K55" s="73"/>
      <c r="L55" s="71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0.36</v>
      </c>
      <c r="AG55" s="1113">
        <v>14.2</v>
      </c>
      <c r="AH55" s="1110">
        <v>1174</v>
      </c>
      <c r="AI55" s="238">
        <v>80</v>
      </c>
      <c r="AJ55" s="838"/>
      <c r="AK55" s="839"/>
      <c r="AL55" s="51">
        <f t="shared" si="0"/>
        <v>1.3274978184991273</v>
      </c>
      <c r="AM55" s="51">
        <f>AL55-$AL$8</f>
        <v>-2.4413088719343223E-2</v>
      </c>
    </row>
    <row r="56" spans="1:39" x14ac:dyDescent="0.25">
      <c r="A56" s="71">
        <v>44074</v>
      </c>
      <c r="B56" s="72">
        <v>156.58000000000001</v>
      </c>
      <c r="C56" s="73">
        <v>207.64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0.37</v>
      </c>
      <c r="AG56" s="1113">
        <v>14.34</v>
      </c>
      <c r="AH56" s="1110">
        <v>893</v>
      </c>
      <c r="AI56" s="238">
        <v>73</v>
      </c>
      <c r="AJ56" s="838"/>
      <c r="AK56" s="839"/>
      <c r="AL56" s="51">
        <f t="shared" si="0"/>
        <v>1.3260952867543745</v>
      </c>
      <c r="AM56" s="51">
        <f t="shared" si="1"/>
        <v>-2.5815620464096023E-2</v>
      </c>
    </row>
    <row r="57" spans="1:39" x14ac:dyDescent="0.25">
      <c r="A57" s="71">
        <v>44104</v>
      </c>
      <c r="B57" s="72">
        <v>128.08000000000001</v>
      </c>
      <c r="C57" s="73">
        <v>169.28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0.37</v>
      </c>
      <c r="AG57" s="1113">
        <v>14.39</v>
      </c>
      <c r="AH57" s="1110">
        <v>811</v>
      </c>
      <c r="AI57" s="238">
        <v>56</v>
      </c>
      <c r="AJ57" s="838"/>
      <c r="AK57" s="839"/>
      <c r="AL57" s="51">
        <f t="shared" si="0"/>
        <v>1.321673953778888</v>
      </c>
      <c r="AM57" s="51">
        <f t="shared" si="1"/>
        <v>-3.0236953439582548E-2</v>
      </c>
    </row>
    <row r="58" spans="1:39" x14ac:dyDescent="0.25">
      <c r="A58" s="71">
        <v>44135</v>
      </c>
      <c r="B58" s="72">
        <v>133.46</v>
      </c>
      <c r="C58" s="73">
        <v>178.77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0.36</v>
      </c>
      <c r="AG58" s="1113">
        <v>14.42</v>
      </c>
      <c r="AH58" s="1110">
        <v>890</v>
      </c>
      <c r="AI58" s="238">
        <v>79</v>
      </c>
      <c r="AJ58" s="838"/>
      <c r="AK58" s="839"/>
      <c r="AL58" s="51">
        <f t="shared" si="0"/>
        <v>1.3395024726509817</v>
      </c>
      <c r="AM58" s="51">
        <f t="shared" si="1"/>
        <v>-1.2408434567488857E-2</v>
      </c>
    </row>
    <row r="59" spans="1:39" x14ac:dyDescent="0.25">
      <c r="A59" s="71">
        <v>44165</v>
      </c>
      <c r="B59" s="72">
        <v>51.15</v>
      </c>
      <c r="C59" s="73">
        <v>65.89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0.38</v>
      </c>
      <c r="AG59" s="1113">
        <v>14.12</v>
      </c>
      <c r="AH59" s="1110">
        <v>319</v>
      </c>
      <c r="AI59" s="238">
        <v>78</v>
      </c>
      <c r="AJ59" s="838"/>
      <c r="AK59" s="839"/>
      <c r="AL59" s="51">
        <f t="shared" si="0"/>
        <v>1.2881720430107528</v>
      </c>
      <c r="AM59" s="51">
        <f t="shared" si="1"/>
        <v>-6.3738864207717683E-2</v>
      </c>
    </row>
    <row r="60" spans="1:39" x14ac:dyDescent="0.25">
      <c r="A60" s="71">
        <v>44561</v>
      </c>
      <c r="B60" s="72">
        <v>95.98</v>
      </c>
      <c r="C60" s="73">
        <v>127.39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0.38</v>
      </c>
      <c r="AG60" s="1113">
        <v>13.84</v>
      </c>
      <c r="AH60" s="1110">
        <v>561</v>
      </c>
      <c r="AI60" s="238">
        <v>79</v>
      </c>
      <c r="AJ60" s="838"/>
      <c r="AK60" s="839"/>
      <c r="AL60" s="51">
        <f t="shared" si="0"/>
        <v>1.3272556782663054</v>
      </c>
      <c r="AM60" s="51">
        <f t="shared" si="1"/>
        <v>-2.4655228952165098E-2</v>
      </c>
    </row>
    <row r="61" spans="1:39" x14ac:dyDescent="0.25">
      <c r="A61" s="71">
        <v>44227</v>
      </c>
      <c r="B61" s="72">
        <v>79.3</v>
      </c>
      <c r="C61" s="73">
        <v>108.64</v>
      </c>
      <c r="D61" s="345">
        <v>44200</v>
      </c>
      <c r="E61" s="346" t="s">
        <v>1284</v>
      </c>
      <c r="F61" s="347">
        <v>724.92</v>
      </c>
      <c r="G61" s="147"/>
      <c r="H61" s="75"/>
      <c r="I61" s="73"/>
      <c r="J61" s="234"/>
      <c r="K61" s="73"/>
      <c r="L61" s="1609">
        <v>44225</v>
      </c>
      <c r="M61" s="73">
        <v>8.4</v>
      </c>
      <c r="N61" s="894"/>
      <c r="O61" s="73"/>
      <c r="P61" s="71"/>
      <c r="Q61" s="73"/>
      <c r="R61" s="71"/>
      <c r="S61" s="73"/>
      <c r="T61" s="894"/>
      <c r="U61" s="1199"/>
      <c r="V61" s="73"/>
      <c r="W61" s="894">
        <v>44312</v>
      </c>
      <c r="X61" s="1199" t="s">
        <v>1329</v>
      </c>
      <c r="Y61" s="73">
        <v>90</v>
      </c>
      <c r="Z61" s="894"/>
      <c r="AA61" s="1199"/>
      <c r="AB61" s="73"/>
      <c r="AC61" s="894"/>
      <c r="AD61" s="1199"/>
      <c r="AE61" s="73"/>
      <c r="AF61" s="1112">
        <v>0.38</v>
      </c>
      <c r="AG61" s="1113">
        <v>13.98</v>
      </c>
      <c r="AH61" s="1110">
        <v>436</v>
      </c>
      <c r="AI61" s="238">
        <v>79</v>
      </c>
      <c r="AJ61" s="838"/>
      <c r="AK61" s="839"/>
      <c r="AL61" s="51">
        <f t="shared" si="0"/>
        <v>1.3699873896595209</v>
      </c>
      <c r="AM61" s="51">
        <f t="shared" si="1"/>
        <v>1.8076482441050423E-2</v>
      </c>
    </row>
    <row r="62" spans="1:39" x14ac:dyDescent="0.25">
      <c r="A62" s="71">
        <v>44255</v>
      </c>
      <c r="B62" s="72">
        <v>100.6</v>
      </c>
      <c r="C62" s="73">
        <v>143.12</v>
      </c>
      <c r="D62" s="528">
        <v>44250</v>
      </c>
      <c r="E62" s="516" t="s">
        <v>1276</v>
      </c>
      <c r="F62" s="380">
        <v>402.68</v>
      </c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>
        <v>44378</v>
      </c>
      <c r="U62" s="1199" t="s">
        <v>1402</v>
      </c>
      <c r="V62" s="73">
        <v>20.02</v>
      </c>
      <c r="W62" s="894"/>
      <c r="X62" s="1199"/>
      <c r="Y62" s="73"/>
      <c r="Z62" s="894"/>
      <c r="AA62" s="1199"/>
      <c r="AB62" s="73"/>
      <c r="AC62" s="894"/>
      <c r="AD62" s="1199"/>
      <c r="AE62" s="73"/>
      <c r="AF62" s="1112">
        <v>0.38</v>
      </c>
      <c r="AG62" s="1113">
        <v>14.15</v>
      </c>
      <c r="AH62" s="1110">
        <v>546</v>
      </c>
      <c r="AI62" s="238">
        <v>79</v>
      </c>
      <c r="AJ62" s="838"/>
      <c r="AK62" s="839"/>
      <c r="AL62" s="51">
        <f t="shared" si="0"/>
        <v>1.4226640159045727</v>
      </c>
      <c r="AM62" s="51">
        <f t="shared" si="1"/>
        <v>7.0753108686102184E-2</v>
      </c>
    </row>
    <row r="63" spans="1:39" x14ac:dyDescent="0.25">
      <c r="A63" s="71">
        <v>44286</v>
      </c>
      <c r="B63" s="72">
        <v>119.18</v>
      </c>
      <c r="C63" s="73">
        <v>175.2</v>
      </c>
      <c r="D63" s="528">
        <v>44392</v>
      </c>
      <c r="E63" s="516" t="s">
        <v>1407</v>
      </c>
      <c r="F63" s="380">
        <v>116.1</v>
      </c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v>0.38</v>
      </c>
      <c r="AG63" s="1113">
        <v>14.28</v>
      </c>
      <c r="AH63" s="1110">
        <v>703</v>
      </c>
      <c r="AI63" s="238">
        <v>66</v>
      </c>
      <c r="AJ63" s="838"/>
      <c r="AK63" s="839"/>
      <c r="AL63" s="51">
        <f t="shared" si="0"/>
        <v>1.4700453096157071</v>
      </c>
      <c r="AM63" s="51">
        <f t="shared" si="1"/>
        <v>0.1181344023972366</v>
      </c>
    </row>
    <row r="64" spans="1:39" x14ac:dyDescent="0.25">
      <c r="A64" s="71">
        <v>44316</v>
      </c>
      <c r="B64" s="72">
        <v>134.69</v>
      </c>
      <c r="C64" s="73">
        <v>203.57</v>
      </c>
      <c r="D64" s="528">
        <v>44503</v>
      </c>
      <c r="E64" s="516" t="s">
        <v>1463</v>
      </c>
      <c r="F64" s="380">
        <v>1182.3399999999999</v>
      </c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v>0.38</v>
      </c>
      <c r="AG64" s="1113">
        <v>14.55</v>
      </c>
      <c r="AH64" s="1110">
        <v>802</v>
      </c>
      <c r="AI64" s="238">
        <v>75</v>
      </c>
      <c r="AJ64" s="838"/>
      <c r="AK64" s="839"/>
      <c r="AL64" s="51">
        <f t="shared" si="0"/>
        <v>1.5113965402034302</v>
      </c>
      <c r="AM64" s="51">
        <f t="shared" si="1"/>
        <v>0.15948563298495966</v>
      </c>
    </row>
    <row r="65" spans="1:39" x14ac:dyDescent="0.25">
      <c r="A65" s="71">
        <v>44347</v>
      </c>
      <c r="B65" s="72">
        <v>145.43</v>
      </c>
      <c r="C65" s="73">
        <v>221.65</v>
      </c>
      <c r="D65" s="147">
        <v>44545</v>
      </c>
      <c r="E65" s="75" t="s">
        <v>1511</v>
      </c>
      <c r="F65" s="73">
        <v>44</v>
      </c>
      <c r="G65" s="147"/>
      <c r="H65" s="75"/>
      <c r="I65" s="73"/>
      <c r="J65" s="234"/>
      <c r="K65" s="73"/>
      <c r="L65" s="1609">
        <v>44320</v>
      </c>
      <c r="M65" s="73">
        <v>8.4</v>
      </c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0.38</v>
      </c>
      <c r="AG65" s="1113">
        <v>14.58</v>
      </c>
      <c r="AH65" s="1110">
        <v>869</v>
      </c>
      <c r="AI65" s="238">
        <v>80</v>
      </c>
      <c r="AJ65" s="838"/>
      <c r="AK65" s="839"/>
      <c r="AL65" s="51">
        <f t="shared" si="0"/>
        <v>1.5241009420339682</v>
      </c>
      <c r="AM65" s="51">
        <f t="shared" si="1"/>
        <v>0.17219003481549766</v>
      </c>
    </row>
    <row r="66" spans="1:39" x14ac:dyDescent="0.25">
      <c r="A66" s="71">
        <v>44377</v>
      </c>
      <c r="B66" s="72">
        <v>165.53</v>
      </c>
      <c r="C66" s="73">
        <v>254.08</v>
      </c>
      <c r="D66" s="147">
        <v>44545</v>
      </c>
      <c r="E66" s="75" t="s">
        <v>1511</v>
      </c>
      <c r="F66" s="73">
        <v>38</v>
      </c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0.38</v>
      </c>
      <c r="AG66" s="1113">
        <v>14.79</v>
      </c>
      <c r="AH66" s="1110">
        <v>929</v>
      </c>
      <c r="AI66" s="238">
        <v>51</v>
      </c>
      <c r="AJ66" s="838"/>
      <c r="AK66" s="839"/>
      <c r="AL66" s="51">
        <f t="shared" si="0"/>
        <v>1.5349483477315291</v>
      </c>
      <c r="AM66" s="51">
        <f t="shared" si="1"/>
        <v>0.18303744051305859</v>
      </c>
    </row>
    <row r="67" spans="1:39" x14ac:dyDescent="0.25">
      <c r="A67" s="71">
        <v>44408</v>
      </c>
      <c r="B67" s="72">
        <v>137.46</v>
      </c>
      <c r="C67" s="73">
        <v>216.83</v>
      </c>
      <c r="D67" s="147"/>
      <c r="E67" s="75"/>
      <c r="F67" s="73"/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v>0.37</v>
      </c>
      <c r="AG67" s="1113">
        <v>14.84</v>
      </c>
      <c r="AH67" s="1110">
        <v>726</v>
      </c>
      <c r="AI67" s="238">
        <v>80</v>
      </c>
      <c r="AJ67" s="838"/>
      <c r="AK67" s="839"/>
      <c r="AL67" s="51">
        <f t="shared" si="0"/>
        <v>1.5774043358067802</v>
      </c>
      <c r="AM67" s="51">
        <f t="shared" si="1"/>
        <v>0.22549342858830967</v>
      </c>
    </row>
    <row r="68" spans="1:39" x14ac:dyDescent="0.25">
      <c r="A68" s="71">
        <v>44439</v>
      </c>
      <c r="B68" s="72">
        <v>153.31</v>
      </c>
      <c r="C68" s="73">
        <v>242.71</v>
      </c>
      <c r="D68" s="147"/>
      <c r="E68" s="75"/>
      <c r="F68" s="73"/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v>0.37</v>
      </c>
      <c r="AG68" s="1113">
        <v>14.89</v>
      </c>
      <c r="AH68" s="1110">
        <v>877</v>
      </c>
      <c r="AI68" s="238">
        <v>62</v>
      </c>
      <c r="AJ68" s="838"/>
      <c r="AK68" s="839"/>
      <c r="AL68" s="51">
        <f t="shared" si="0"/>
        <v>1.5831322157719654</v>
      </c>
      <c r="AM68" s="51">
        <f t="shared" si="1"/>
        <v>0.23122130855349488</v>
      </c>
    </row>
    <row r="69" spans="1:39" x14ac:dyDescent="0.25">
      <c r="A69" s="71">
        <v>44469</v>
      </c>
      <c r="B69" s="72">
        <v>154.41</v>
      </c>
      <c r="C69" s="73">
        <v>246.54</v>
      </c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v>0.38</v>
      </c>
      <c r="AG69" s="1113">
        <v>14.93</v>
      </c>
      <c r="AH69" s="1110">
        <v>885</v>
      </c>
      <c r="AI69" s="238">
        <v>80</v>
      </c>
      <c r="AJ69" s="838"/>
      <c r="AK69" s="839"/>
      <c r="AL69" s="51">
        <f t="shared" si="0"/>
        <v>1.5966582475228288</v>
      </c>
      <c r="AM69" s="51">
        <f t="shared" si="1"/>
        <v>0.2447473403043583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ref="AF70:AF96" ca="1" si="2">$F$5</f>
        <v>0.39541760940031134</v>
      </c>
      <c r="AG70" s="1113">
        <f>SUM($B$9:B70)/($J$1-$B$4)*100</f>
        <v>14.928273938867159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0.39541760940031134</v>
      </c>
      <c r="AG71" s="1113">
        <f>SUM($B$9:B71)/($J$1-$B$4)*100</f>
        <v>14.928273938867159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0.39541760940031134</v>
      </c>
      <c r="AG72" s="1113">
        <f>SUM($B$9:B72)/($J$1-$B$4)*100</f>
        <v>14.928273938867159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2"/>
        <v>0.39541760940031134</v>
      </c>
      <c r="AG73" s="1113">
        <f>SUM($B$9:B73)/($J$1-$B$4)*100</f>
        <v>14.928273938867159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0.39541760940031134</v>
      </c>
      <c r="AG74" s="1113">
        <f>SUM($B$9:B74)/($J$1-$B$4)*100</f>
        <v>14.928273938867159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0.39541760940031134</v>
      </c>
      <c r="AG75" s="1113">
        <f>SUM($B$9:B75)/($J$1-$B$4)*100</f>
        <v>14.928273938867159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0.39541760940031134</v>
      </c>
      <c r="AG76" s="1113">
        <f>SUM($B$9:B76)/($J$1-$B$4)*100</f>
        <v>14.928273938867159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0.39541760940031134</v>
      </c>
      <c r="AG77" s="1113">
        <f>SUM($B$9:B77)/($J$1-$B$4)*100</f>
        <v>14.928273938867159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0.39541760940031134</v>
      </c>
      <c r="AG78" s="1113">
        <f>SUM($B$9:B78)/($J$1-$B$4)*100</f>
        <v>14.928273938867159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0.39541760940031134</v>
      </c>
      <c r="AG79" s="1113">
        <f>SUM($B$9:B79)/($J$1-$B$4)*100</f>
        <v>14.928273938867159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161"/>
      <c r="H80" s="831"/>
      <c r="I80" s="835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0.39541760940031134</v>
      </c>
      <c r="AG80" s="1113">
        <f>SUM($B$9:B80)/($J$1-$B$4)*100</f>
        <v>14.928273938867159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0.39541760940031134</v>
      </c>
      <c r="AG81" s="1113">
        <f>SUM($B$9:B81)/($J$1-$B$4)*100</f>
        <v>14.928273938867159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0.39541760940031134</v>
      </c>
      <c r="AG82" s="1113">
        <f>SUM($B$9:B82)/($J$1-$B$4)*100</f>
        <v>14.928273938867159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0.39541760940031134</v>
      </c>
      <c r="AG83" s="1113">
        <f>SUM($B$9:B83)/($J$1-$B$4)*100</f>
        <v>14.928273938867159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0.39541760940031134</v>
      </c>
      <c r="AG84" s="1113">
        <f>SUM($B$9:B84)/($J$1-$B$4)*100</f>
        <v>14.928273938867159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0.39541760940031134</v>
      </c>
      <c r="AG85" s="1113">
        <f>SUM($B$9:B85)/($J$1-$B$4)*100</f>
        <v>14.928273938867159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0.39541760940031134</v>
      </c>
      <c r="AG86" s="1113">
        <f>SUM($B$9:B86)/($J$1-$B$4)*100</f>
        <v>14.928273938867159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0.39541760940031134</v>
      </c>
      <c r="AG87" s="1113">
        <f>SUM($B$9:B87)/($J$1-$B$4)*100</f>
        <v>14.928273938867159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0.39541760940031134</v>
      </c>
      <c r="AG88" s="1113">
        <f>SUM($B$9:B88)/($J$1-$B$4)*100</f>
        <v>14.928273938867159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0.39541760940031134</v>
      </c>
      <c r="AG89" s="1113">
        <f>SUM($B$9:B89)/($J$1-$B$4)*100</f>
        <v>14.928273938867159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0.39541760940031134</v>
      </c>
      <c r="AG90" s="1113">
        <f>SUM($B$9:B90)/($J$1-$B$4)*100</f>
        <v>14.928273938867159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0.39541760940031134</v>
      </c>
      <c r="AG91" s="1113">
        <f>SUM($B$9:B91)/($J$1-$B$4)*100</f>
        <v>14.928273938867159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0.39541760940031134</v>
      </c>
      <c r="AG92" s="1113">
        <f>SUM($B$9:B92)/($J$1-$B$4)*100</f>
        <v>14.928273938867159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0.39541760940031134</v>
      </c>
      <c r="AG93" s="1113">
        <f>SUM($B$9:B93)/($J$1-$B$4)*100</f>
        <v>14.928273938867159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0.39541760940031134</v>
      </c>
      <c r="AG94" s="1113">
        <f>SUM($B$9:B94)/($J$1-$B$4)*100</f>
        <v>14.928273938867159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0.39541760940031134</v>
      </c>
      <c r="AG95" s="1113">
        <f>SUM($B$9:B95)/($J$1-$B$4)*100</f>
        <v>14.928273938867159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0.39541760940031134</v>
      </c>
      <c r="AG96" s="1113">
        <f>SUM($B$9:B96)/($J$1-$B$4)*100</f>
        <v>14.928273938867159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0.40086676652055009</v>
      </c>
      <c r="AG98" s="1109">
        <f>AVERAGE(AG9:AG97)</f>
        <v>14.755379503970579</v>
      </c>
      <c r="AH98" s="1228">
        <f ca="1">SUMIFS($AH$9:$AH$97,$A$9:$A$97,"&gt;="&amp;$C99,$A$9:$A$97,"&lt;="&amp;$D99)</f>
        <v>16175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0.54211561051004653</v>
      </c>
      <c r="G99" s="1208">
        <f ca="1">J4+C101+F101+I101+K101+M101+O101+Q101+S101+V101+Y101+AB101+AE101</f>
        <v>0.99999999999999989</v>
      </c>
      <c r="H99" s="1210" t="s">
        <v>962</v>
      </c>
      <c r="I99" s="1207">
        <f ca="1">F99-F5</f>
        <v>0.14669800110973519</v>
      </c>
      <c r="J99" s="1303">
        <f ca="1">(F99/F5)-1</f>
        <v>0.37099511408259422</v>
      </c>
      <c r="K99" s="2253">
        <f ca="1">((D99-C99)/(365.25/12)*F3)+C102+F102+I102+K102+M102+O102+Q102+S102+AE106</f>
        <v>8768.7199999999993</v>
      </c>
      <c r="L99" s="2253"/>
      <c r="M99" s="1472" t="s">
        <v>1135</v>
      </c>
      <c r="N99" s="1470"/>
      <c r="O99" s="1471"/>
      <c r="P99" s="1189">
        <f ca="1">K99/AH98</f>
        <v>0.54211561051004631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15.07</v>
      </c>
      <c r="AH99" s="1226">
        <f>AVERAGE(AH9:AH97)</f>
        <v>876.19298245614038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0.23138114374034005</v>
      </c>
      <c r="D100" s="2252" t="s">
        <v>879</v>
      </c>
      <c r="E100" s="2246"/>
      <c r="F100" s="1180">
        <f ca="1">F102/$AH$98</f>
        <v>0.28059659969088097</v>
      </c>
      <c r="G100" s="2252" t="s">
        <v>881</v>
      </c>
      <c r="H100" s="2246"/>
      <c r="I100" s="1180">
        <f ca="1">I102/$AH$98</f>
        <v>5.5641421947449769E-4</v>
      </c>
      <c r="J100" s="1181" t="s">
        <v>898</v>
      </c>
      <c r="K100" s="1180">
        <f ca="1">K102/$AH$98</f>
        <v>0</v>
      </c>
      <c r="L100" s="1181" t="s">
        <v>883</v>
      </c>
      <c r="M100" s="1180">
        <f ca="1">M102/$AH$98</f>
        <v>1.3502318392581149E-2</v>
      </c>
      <c r="N100" s="1181" t="s">
        <v>908</v>
      </c>
      <c r="O100" s="1180">
        <f ca="1">O102/$AH$98</f>
        <v>0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4.9508500772797526E-3</v>
      </c>
      <c r="W100" s="2252" t="s">
        <v>912</v>
      </c>
      <c r="X100" s="2246"/>
      <c r="Y100" s="1180">
        <f ca="1">Y102/$AH$98</f>
        <v>1.1128284389489953E-2</v>
      </c>
      <c r="Z100" s="2252" t="s">
        <v>889</v>
      </c>
      <c r="AA100" s="2246"/>
      <c r="AB100" s="1180">
        <f ca="1">AB102/$AH$98</f>
        <v>0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16.246120556414219</v>
      </c>
      <c r="C101" s="1183">
        <f ca="1">C100/$F$99</f>
        <v>0.42681143884170086</v>
      </c>
      <c r="D101" s="1184"/>
      <c r="E101" s="1185"/>
      <c r="F101" s="1183">
        <f ca="1">F100/$F$99</f>
        <v>0.51759549854482734</v>
      </c>
      <c r="G101" s="1184"/>
      <c r="H101" s="1185"/>
      <c r="I101" s="1183">
        <f ca="1">I100/$F$99</f>
        <v>1.0263755713490678E-3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2.4906713864737386E-2</v>
      </c>
      <c r="N101" s="1184"/>
      <c r="O101" s="1183">
        <f ca="1">O100/$F$99</f>
        <v>0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9.1324617504037042E-3</v>
      </c>
      <c r="W101" s="1184"/>
      <c r="X101" s="1185"/>
      <c r="Y101" s="1183">
        <f ca="1">Y100/$F$99</f>
        <v>2.0527511426981355E-2</v>
      </c>
      <c r="Z101" s="1184"/>
      <c r="AA101" s="1185"/>
      <c r="AB101" s="1183">
        <f ca="1">AB100/$F$99</f>
        <v>0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2627.81</v>
      </c>
      <c r="C102" s="1197">
        <f ca="1">SUMIFS($C$9:$C$97,$A$9:$A$97,"&gt;="&amp;$C99,$A$9:$A$97,"&lt;="&amp;$D99)</f>
        <v>3742.59</v>
      </c>
      <c r="D102" s="2251" t="s">
        <v>880</v>
      </c>
      <c r="E102" s="2250"/>
      <c r="F102" s="1197">
        <f ca="1">SUMIFS($F$9:$F$97,$D$9:$D$97,"&gt;="&amp;$C99,$D$9:$D$97,"&lt;="&amp;$D99)</f>
        <v>4538.6499999999996</v>
      </c>
      <c r="G102" s="2251" t="s">
        <v>882</v>
      </c>
      <c r="H102" s="2250"/>
      <c r="I102" s="1197">
        <f ca="1">SUMIFS($I$9:$I$97,$G$9:$G$97,"&gt;="&amp;$C99,$G$9:$G$97,"&lt;="&amp;$D99)</f>
        <v>9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80.08</v>
      </c>
      <c r="W102" s="2251" t="s">
        <v>913</v>
      </c>
      <c r="X102" s="2250"/>
      <c r="Y102" s="1158">
        <f ca="1">SUMIFS(Y9:Y97,W9:W97,"&gt;="&amp;$C99,W9:W97,"&lt;="&amp;$D99)</f>
        <v>180</v>
      </c>
      <c r="Z102" s="2251" t="s">
        <v>890</v>
      </c>
      <c r="AA102" s="2250"/>
      <c r="AB102" s="1158">
        <f ca="1">SUMIFS(AB9:AB97,Z9:Z97,"&gt;="&amp;$C99,Z9:Z97,"&lt;="&amp;$D99)</f>
        <v>0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2.9564180101342569E-2</v>
      </c>
      <c r="D103" s="1205" t="s">
        <v>897</v>
      </c>
      <c r="E103" s="1195"/>
      <c r="F103" s="1206">
        <f ca="1">F100-F6</f>
        <v>0.11189566789941979</v>
      </c>
      <c r="G103" s="1204" t="s">
        <v>897</v>
      </c>
      <c r="H103" s="1195"/>
      <c r="I103" s="1203">
        <f ca="1">I100-I6</f>
        <v>-1.9466127866848016E-3</v>
      </c>
      <c r="J103" s="1205" t="s">
        <v>897</v>
      </c>
      <c r="K103" s="1206">
        <f ca="1">K100-K6</f>
        <v>-7.0156351448575987E-4</v>
      </c>
      <c r="L103" s="1204" t="s">
        <v>897</v>
      </c>
      <c r="M103" s="1203">
        <f ca="1">M100-M6</f>
        <v>4.9740575611634669E-3</v>
      </c>
      <c r="N103" s="1205" t="s">
        <v>897</v>
      </c>
      <c r="O103" s="1206">
        <f ca="1">O100-O6</f>
        <v>-1.7547861793040518E-3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-1.4074421648105464E-3</v>
      </c>
      <c r="W103" s="1205" t="s">
        <v>897</v>
      </c>
      <c r="X103" s="1195"/>
      <c r="Y103" s="1206">
        <f ca="1">Y100-Y6</f>
        <v>6.0745001930942837E-3</v>
      </c>
      <c r="Z103" s="1205" t="s">
        <v>897</v>
      </c>
      <c r="AA103" s="1195"/>
      <c r="AB103" s="1206">
        <f ca="1">AB100-AB6</f>
        <v>0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1.6079134466769705E-2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2.9659973177385057E-2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260.08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s="52" customFormat="1" x14ac:dyDescent="0.25">
      <c r="A108" s="478">
        <v>43145</v>
      </c>
      <c r="B108" s="6" t="s">
        <v>263</v>
      </c>
      <c r="C108" s="6"/>
      <c r="D108" s="6" t="s">
        <v>284</v>
      </c>
      <c r="E108" s="5"/>
      <c r="F108" s="1217">
        <v>956.76</v>
      </c>
      <c r="G108" s="6" t="s">
        <v>285</v>
      </c>
      <c r="I108" s="6"/>
      <c r="J108" s="229"/>
      <c r="L108" s="433"/>
      <c r="M108" s="479"/>
      <c r="N108" s="479"/>
    </row>
    <row r="109" spans="1:38" s="52" customFormat="1" x14ac:dyDescent="0.25">
      <c r="A109" s="478">
        <v>43234</v>
      </c>
      <c r="B109" s="6" t="s">
        <v>263</v>
      </c>
      <c r="C109" s="6"/>
      <c r="D109" s="750" t="s">
        <v>459</v>
      </c>
      <c r="E109" s="5">
        <v>260667</v>
      </c>
      <c r="F109" s="1217">
        <v>221.17</v>
      </c>
      <c r="G109" s="6" t="s">
        <v>363</v>
      </c>
      <c r="I109" s="6"/>
      <c r="J109" s="229"/>
      <c r="L109" s="433"/>
      <c r="M109" s="479"/>
      <c r="N109" s="479"/>
    </row>
    <row r="110" spans="1:38" s="52" customFormat="1" x14ac:dyDescent="0.25">
      <c r="A110" s="478">
        <v>43396</v>
      </c>
      <c r="B110" s="6" t="s">
        <v>448</v>
      </c>
      <c r="C110" s="6"/>
      <c r="D110" s="750" t="s">
        <v>458</v>
      </c>
      <c r="E110" s="5">
        <v>267464</v>
      </c>
      <c r="F110" s="1217">
        <v>41.95</v>
      </c>
      <c r="G110" s="6" t="s">
        <v>332</v>
      </c>
      <c r="I110" s="6"/>
      <c r="J110" s="229"/>
      <c r="L110" s="433"/>
      <c r="M110" s="479"/>
      <c r="N110" s="479"/>
    </row>
    <row r="111" spans="1:38" s="800" customFormat="1" x14ac:dyDescent="0.25">
      <c r="A111" s="799">
        <v>43445</v>
      </c>
      <c r="B111" s="750" t="s">
        <v>376</v>
      </c>
      <c r="C111" s="750"/>
      <c r="D111" s="750" t="s">
        <v>490</v>
      </c>
      <c r="E111" s="776">
        <v>268259</v>
      </c>
      <c r="F111" s="918">
        <v>960.67</v>
      </c>
      <c r="G111" s="750" t="s">
        <v>474</v>
      </c>
      <c r="I111" s="750"/>
      <c r="J111" s="764"/>
      <c r="L111" s="801"/>
      <c r="M111" s="802"/>
      <c r="N111" s="802"/>
    </row>
    <row r="112" spans="1:38" s="800" customFormat="1" x14ac:dyDescent="0.25">
      <c r="A112" s="799">
        <v>43490</v>
      </c>
      <c r="B112" s="750" t="s">
        <v>376</v>
      </c>
      <c r="C112" s="750"/>
      <c r="D112" s="750" t="s">
        <v>519</v>
      </c>
      <c r="E112" s="776">
        <v>268345</v>
      </c>
      <c r="F112" s="918">
        <v>172.03</v>
      </c>
      <c r="G112" s="750" t="s">
        <v>500</v>
      </c>
      <c r="I112" s="750"/>
      <c r="J112" s="764"/>
      <c r="L112" s="801"/>
      <c r="M112" s="802"/>
      <c r="N112" s="802"/>
    </row>
    <row r="113" spans="1:15" s="800" customFormat="1" x14ac:dyDescent="0.25">
      <c r="A113" s="799">
        <v>43539</v>
      </c>
      <c r="B113" s="750" t="s">
        <v>376</v>
      </c>
      <c r="C113" s="750"/>
      <c r="D113" s="750" t="s">
        <v>571</v>
      </c>
      <c r="E113" s="776">
        <v>271490</v>
      </c>
      <c r="F113" s="918">
        <v>2156.39</v>
      </c>
      <c r="G113" s="750" t="s">
        <v>572</v>
      </c>
      <c r="I113" s="750"/>
      <c r="J113" s="764"/>
      <c r="L113" s="801"/>
      <c r="M113" s="802"/>
      <c r="N113" s="802"/>
    </row>
    <row r="114" spans="1:15" s="7" customFormat="1" x14ac:dyDescent="0.25">
      <c r="A114" s="799">
        <v>43570</v>
      </c>
      <c r="B114" s="750" t="s">
        <v>385</v>
      </c>
      <c r="C114" s="750"/>
      <c r="D114" s="750" t="s">
        <v>654</v>
      </c>
      <c r="E114" s="776">
        <v>273448</v>
      </c>
      <c r="F114" s="918">
        <v>41.95</v>
      </c>
      <c r="G114" s="750" t="s">
        <v>614</v>
      </c>
      <c r="I114" s="750"/>
      <c r="J114" s="918"/>
      <c r="L114" s="776"/>
      <c r="M114" s="909"/>
      <c r="N114" s="909"/>
      <c r="O114" s="909"/>
    </row>
    <row r="115" spans="1:15" s="800" customFormat="1" x14ac:dyDescent="0.25">
      <c r="A115" s="799">
        <v>43837</v>
      </c>
      <c r="B115" s="750" t="s">
        <v>376</v>
      </c>
      <c r="C115" s="750"/>
      <c r="D115" s="750" t="s">
        <v>842</v>
      </c>
      <c r="E115" s="776">
        <v>282454</v>
      </c>
      <c r="F115" s="918">
        <v>1126.8599999999999</v>
      </c>
      <c r="G115" s="750" t="s">
        <v>726</v>
      </c>
      <c r="J115" s="764"/>
      <c r="L115" s="750" t="s">
        <v>843</v>
      </c>
      <c r="M115" s="802"/>
      <c r="N115" s="802"/>
    </row>
    <row r="116" spans="1:15" s="7" customFormat="1" x14ac:dyDescent="0.25">
      <c r="A116" s="799">
        <v>43774</v>
      </c>
      <c r="B116" s="750" t="s">
        <v>385</v>
      </c>
      <c r="C116" s="750"/>
      <c r="D116" s="750" t="s">
        <v>741</v>
      </c>
      <c r="E116" s="776">
        <v>280710</v>
      </c>
      <c r="F116" s="918">
        <v>41.95</v>
      </c>
      <c r="G116" s="750" t="s">
        <v>614</v>
      </c>
      <c r="J116" s="918"/>
      <c r="L116" s="750"/>
      <c r="M116" s="909"/>
      <c r="N116" s="909"/>
      <c r="O116" s="909"/>
    </row>
    <row r="117" spans="1:15" s="7" customFormat="1" x14ac:dyDescent="0.25">
      <c r="A117" s="799">
        <v>43815</v>
      </c>
      <c r="B117" s="750" t="s">
        <v>744</v>
      </c>
      <c r="C117" s="750"/>
      <c r="D117" s="750" t="s">
        <v>837</v>
      </c>
      <c r="E117" s="776">
        <v>282454</v>
      </c>
      <c r="F117" s="918">
        <v>49.5</v>
      </c>
      <c r="G117" s="750" t="s">
        <v>471</v>
      </c>
      <c r="J117" s="918"/>
      <c r="L117" s="750">
        <v>19314173</v>
      </c>
      <c r="M117" s="909"/>
      <c r="N117" s="909"/>
      <c r="O117" s="909"/>
    </row>
    <row r="118" spans="1:15" s="7" customFormat="1" x14ac:dyDescent="0.25">
      <c r="A118" s="799">
        <v>43923</v>
      </c>
      <c r="B118" s="750" t="s">
        <v>385</v>
      </c>
      <c r="C118" s="750"/>
      <c r="D118" s="750" t="s">
        <v>1055</v>
      </c>
      <c r="E118" s="776">
        <v>284645</v>
      </c>
      <c r="F118" s="918">
        <v>41.95</v>
      </c>
      <c r="G118" s="750" t="s">
        <v>614</v>
      </c>
      <c r="J118" s="918"/>
      <c r="L118" s="750" t="s">
        <v>1054</v>
      </c>
      <c r="M118" s="909"/>
      <c r="N118" s="909"/>
      <c r="O118" s="909"/>
    </row>
    <row r="119" spans="1:15" s="800" customFormat="1" x14ac:dyDescent="0.25">
      <c r="A119" s="799">
        <v>44032</v>
      </c>
      <c r="B119" s="750" t="s">
        <v>376</v>
      </c>
      <c r="C119" s="750"/>
      <c r="D119" s="750" t="s">
        <v>1182</v>
      </c>
      <c r="E119" s="776">
        <v>288089</v>
      </c>
      <c r="F119" s="918">
        <v>200.12</v>
      </c>
      <c r="G119" s="750" t="s">
        <v>1169</v>
      </c>
      <c r="J119" s="764"/>
      <c r="L119" s="750" t="s">
        <v>1180</v>
      </c>
      <c r="M119" s="802"/>
      <c r="N119" s="802"/>
    </row>
    <row r="120" spans="1:15" s="7" customFormat="1" x14ac:dyDescent="0.25">
      <c r="A120" s="799">
        <v>44004</v>
      </c>
      <c r="B120" s="750" t="s">
        <v>385</v>
      </c>
      <c r="C120" s="750"/>
      <c r="D120" s="750" t="s">
        <v>1172</v>
      </c>
      <c r="E120" s="776">
        <v>286875</v>
      </c>
      <c r="F120" s="918">
        <v>41.95</v>
      </c>
      <c r="G120" s="750" t="s">
        <v>1174</v>
      </c>
      <c r="J120" s="918"/>
      <c r="L120" s="750" t="s">
        <v>1171</v>
      </c>
      <c r="M120" s="909"/>
      <c r="N120" s="909"/>
      <c r="O120" s="909"/>
    </row>
    <row r="121" spans="1:15" s="600" customFormat="1" x14ac:dyDescent="0.25">
      <c r="A121" s="827">
        <v>44083</v>
      </c>
      <c r="B121" s="537" t="s">
        <v>385</v>
      </c>
      <c r="C121" s="537"/>
      <c r="D121" s="537" t="s">
        <v>1208</v>
      </c>
      <c r="E121" s="596">
        <v>289574</v>
      </c>
      <c r="F121" s="751">
        <v>562.17999999999995</v>
      </c>
      <c r="G121" s="537" t="s">
        <v>1210</v>
      </c>
      <c r="J121" s="751"/>
      <c r="L121" s="828" t="s">
        <v>1211</v>
      </c>
      <c r="M121" s="597"/>
      <c r="N121" s="597"/>
      <c r="O121" s="597"/>
    </row>
    <row r="122" spans="1:15" s="7" customFormat="1" x14ac:dyDescent="0.25">
      <c r="A122" s="799">
        <v>44167</v>
      </c>
      <c r="B122" s="750" t="s">
        <v>376</v>
      </c>
      <c r="C122" s="750"/>
      <c r="D122" s="750" t="s">
        <v>1290</v>
      </c>
      <c r="E122" s="776">
        <v>291301</v>
      </c>
      <c r="F122" s="918">
        <v>57.55</v>
      </c>
      <c r="G122" s="750" t="s">
        <v>1263</v>
      </c>
      <c r="J122" s="918"/>
      <c r="L122" s="800" t="s">
        <v>1292</v>
      </c>
      <c r="M122" s="909"/>
      <c r="N122" s="909"/>
      <c r="O122" s="909"/>
    </row>
    <row r="123" spans="1:15" s="7" customFormat="1" x14ac:dyDescent="0.25">
      <c r="A123" s="799">
        <v>44200</v>
      </c>
      <c r="B123" s="750" t="s">
        <v>376</v>
      </c>
      <c r="C123" s="750"/>
      <c r="D123" s="750" t="s">
        <v>1283</v>
      </c>
      <c r="E123" s="776">
        <v>291301</v>
      </c>
      <c r="F123" s="918">
        <v>724.92</v>
      </c>
      <c r="G123" s="750" t="s">
        <v>1264</v>
      </c>
      <c r="J123" s="918"/>
      <c r="L123" s="800" t="s">
        <v>1285</v>
      </c>
      <c r="M123" s="909"/>
      <c r="N123" s="909"/>
      <c r="O123" s="909"/>
    </row>
    <row r="124" spans="1:15" s="600" customFormat="1" x14ac:dyDescent="0.25">
      <c r="A124" s="827">
        <v>44250</v>
      </c>
      <c r="B124" s="537" t="s">
        <v>376</v>
      </c>
      <c r="C124" s="537"/>
      <c r="D124" s="537" t="s">
        <v>1275</v>
      </c>
      <c r="E124" s="596">
        <v>292748</v>
      </c>
      <c r="F124" s="751">
        <v>402.68</v>
      </c>
      <c r="G124" s="537" t="s">
        <v>378</v>
      </c>
      <c r="J124" s="751"/>
      <c r="L124" s="828" t="s">
        <v>1277</v>
      </c>
      <c r="M124" s="597"/>
      <c r="N124" s="597"/>
      <c r="O124" s="597"/>
    </row>
    <row r="125" spans="1:15" s="600" customFormat="1" x14ac:dyDescent="0.25">
      <c r="A125" s="827">
        <v>44392</v>
      </c>
      <c r="B125" s="537" t="s">
        <v>376</v>
      </c>
      <c r="C125" s="537"/>
      <c r="D125" s="537" t="s">
        <v>1406</v>
      </c>
      <c r="E125" s="596">
        <v>296618</v>
      </c>
      <c r="F125" s="751">
        <v>116.1</v>
      </c>
      <c r="G125" s="537" t="s">
        <v>1408</v>
      </c>
      <c r="J125" s="751"/>
      <c r="L125" s="828" t="s">
        <v>1409</v>
      </c>
      <c r="M125" s="597"/>
      <c r="N125" s="597"/>
      <c r="O125" s="597"/>
    </row>
    <row r="126" spans="1:15" s="600" customFormat="1" x14ac:dyDescent="0.25">
      <c r="A126" s="827">
        <v>44503</v>
      </c>
      <c r="B126" s="537" t="s">
        <v>376</v>
      </c>
      <c r="C126" s="537"/>
      <c r="D126" s="537" t="s">
        <v>1462</v>
      </c>
      <c r="E126" s="596">
        <v>299551</v>
      </c>
      <c r="F126" s="751">
        <v>1182.3399999999999</v>
      </c>
      <c r="G126" s="537" t="s">
        <v>1464</v>
      </c>
      <c r="J126" s="751"/>
      <c r="L126" s="828" t="s">
        <v>1465</v>
      </c>
      <c r="M126" s="597"/>
      <c r="N126" s="597"/>
      <c r="O126" s="597"/>
    </row>
    <row r="127" spans="1:15" s="7" customFormat="1" x14ac:dyDescent="0.25">
      <c r="A127" s="799">
        <v>44545</v>
      </c>
      <c r="B127" s="750" t="s">
        <v>1511</v>
      </c>
      <c r="C127" s="750"/>
      <c r="D127" s="750"/>
      <c r="E127" s="776"/>
      <c r="F127" s="764">
        <v>44</v>
      </c>
      <c r="G127" s="750" t="s">
        <v>1512</v>
      </c>
      <c r="J127" s="750"/>
      <c r="K127" s="918"/>
      <c r="L127" s="750" t="s">
        <v>1513</v>
      </c>
      <c r="M127" s="909"/>
      <c r="N127" s="909"/>
    </row>
    <row r="128" spans="1:15" s="7" customFormat="1" x14ac:dyDescent="0.25">
      <c r="A128" s="799">
        <v>44545</v>
      </c>
      <c r="B128" s="750" t="s">
        <v>1511</v>
      </c>
      <c r="C128" s="750"/>
      <c r="D128" s="750"/>
      <c r="E128" s="776"/>
      <c r="F128" s="764">
        <v>38</v>
      </c>
      <c r="G128" s="750" t="s">
        <v>1514</v>
      </c>
      <c r="J128" s="750"/>
      <c r="K128" s="918"/>
      <c r="L128" s="750" t="s">
        <v>1515</v>
      </c>
      <c r="M128" s="909"/>
      <c r="N128" s="909"/>
    </row>
  </sheetData>
  <sortState ref="G9:I78">
    <sortCondition ref="G9:G78"/>
  </sortState>
  <mergeCells count="44"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8:AD8"/>
    <mergeCell ref="D100:E100"/>
    <mergeCell ref="G100:H100"/>
    <mergeCell ref="T100:U100"/>
    <mergeCell ref="W100:X100"/>
    <mergeCell ref="Z100:AA100"/>
    <mergeCell ref="K99:L99"/>
    <mergeCell ref="H1:I1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</mergeCells>
  <conditionalFormatting sqref="AM9:AM44 AM97:AM98">
    <cfRule type="cellIs" dxfId="276" priority="3" operator="greaterThan">
      <formula>0</formula>
    </cfRule>
    <cfRule type="cellIs" dxfId="275" priority="4" operator="lessThan">
      <formula>0</formula>
    </cfRule>
  </conditionalFormatting>
  <conditionalFormatting sqref="AF9:AF96">
    <cfRule type="cellIs" dxfId="274" priority="5" operator="lessThan">
      <formula>$AF$98</formula>
    </cfRule>
    <cfRule type="cellIs" dxfId="273" priority="6" operator="greaterThan">
      <formula>$AF$98</formula>
    </cfRule>
  </conditionalFormatting>
  <conditionalFormatting sqref="AG9:AG96">
    <cfRule type="cellIs" dxfId="272" priority="7" operator="equal">
      <formula>$AG$99</formula>
    </cfRule>
    <cfRule type="cellIs" dxfId="271" priority="8" operator="lessThan">
      <formula>$AG$98</formula>
    </cfRule>
    <cfRule type="cellIs" dxfId="270" priority="9" operator="greaterThan">
      <formula>$AG$98</formula>
    </cfRule>
  </conditionalFormatting>
  <conditionalFormatting sqref="AM45:AM96">
    <cfRule type="cellIs" dxfId="269" priority="1" operator="greaterThan">
      <formula>0</formula>
    </cfRule>
    <cfRule type="cellIs" dxfId="268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92D050"/>
  </sheetPr>
  <dimension ref="A1:AN116"/>
  <sheetViews>
    <sheetView workbookViewId="0">
      <pane xSplit="1" ySplit="8" topLeftCell="P54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23.7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40</v>
      </c>
      <c r="B1" s="1569" t="s">
        <v>715</v>
      </c>
      <c r="C1" s="1569"/>
      <c r="D1" s="1569"/>
      <c r="E1" s="1569"/>
      <c r="F1" s="1569"/>
      <c r="G1" s="1569"/>
      <c r="H1" s="2243" t="s">
        <v>1163</v>
      </c>
      <c r="I1" s="2244"/>
      <c r="J1" s="1572">
        <v>135441</v>
      </c>
      <c r="K1" s="1573">
        <f>J1-B4</f>
        <v>80341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41992</v>
      </c>
      <c r="C2" s="1251">
        <v>41992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20000</v>
      </c>
      <c r="C3" s="2264"/>
      <c r="D3" s="1394" t="s">
        <v>874</v>
      </c>
      <c r="E3" s="1169"/>
      <c r="F3" s="1175">
        <f ca="1">B3/G2/12</f>
        <v>120.40150316455697</v>
      </c>
      <c r="G3" s="2267" t="s">
        <v>875</v>
      </c>
      <c r="H3" s="2267"/>
      <c r="I3" s="1395">
        <f ca="1">F3/(F4/((TODAY()-C2)/365.25*12))</f>
        <v>7.5801277770109726E-2</v>
      </c>
      <c r="J3" s="1171">
        <f ca="1">I3/$F$5</f>
        <v>0.36521608846242387</v>
      </c>
      <c r="K3" s="1375">
        <f ca="1">(B3/G2/365.25)/(F4/(TODAY()-C2))</f>
        <v>7.5801277770109726E-2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2.4844157121085498E-2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55100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136464</v>
      </c>
      <c r="G4" s="1172" t="s">
        <v>876</v>
      </c>
      <c r="H4" s="1173"/>
      <c r="I4" s="1224">
        <f>F4-B4</f>
        <v>81364</v>
      </c>
      <c r="J4" s="1227">
        <f ca="1">I3/F99</f>
        <v>3.8358727799547576E-2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0.11970096219785115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0.20755185810470866</v>
      </c>
      <c r="G5" s="1211">
        <f ca="1">J3+C7+F7+I7+K7+M7+O7+Q7+S7+V7+Y7+AB7+AE7</f>
        <v>1</v>
      </c>
      <c r="H5" s="1380">
        <f>B3+C8+F8+I8+K8+M8+O8+Q8+S8+AE5</f>
        <v>30653.854000000003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2021.4200000000005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6.4418590756898722E-2</v>
      </c>
      <c r="D6" s="2252" t="s">
        <v>879</v>
      </c>
      <c r="E6" s="2246"/>
      <c r="F6" s="1180">
        <f>F8/$I$4</f>
        <v>2.5792979696180132E-2</v>
      </c>
      <c r="G6" s="2252" t="s">
        <v>881</v>
      </c>
      <c r="H6" s="2246"/>
      <c r="I6" s="1180">
        <f>I8/$I$4</f>
        <v>6.2342067744948623E-3</v>
      </c>
      <c r="J6" s="1181" t="s">
        <v>898</v>
      </c>
      <c r="K6" s="1180">
        <f>K8/$I$4</f>
        <v>0</v>
      </c>
      <c r="L6" s="1181" t="s">
        <v>883</v>
      </c>
      <c r="M6" s="1180">
        <f>M8/$I$4</f>
        <v>8.002556413155686E-3</v>
      </c>
      <c r="N6" s="1181" t="s">
        <v>908</v>
      </c>
      <c r="O6" s="1180">
        <f>O8/$I$4</f>
        <v>2.4580895727840321E-3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4.4533208790128297E-3</v>
      </c>
      <c r="W6" s="2252" t="s">
        <v>912</v>
      </c>
      <c r="X6" s="2246"/>
      <c r="Y6" s="1180">
        <f>Y8/$I$4</f>
        <v>1.9664716582272258E-3</v>
      </c>
      <c r="Z6" s="2255" t="s">
        <v>1152</v>
      </c>
      <c r="AA6" s="2256"/>
      <c r="AB6" s="1180">
        <f>AB8/$I$4</f>
        <v>1.8424364583845443E-2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5.3088211498487681</v>
      </c>
      <c r="C7" s="1183">
        <f ca="1">C6/$F$5</f>
        <v>0.31037347169592638</v>
      </c>
      <c r="D7" s="1184"/>
      <c r="E7" s="1185"/>
      <c r="F7" s="1183">
        <f ca="1">F6/$F$5</f>
        <v>0.12427245861209167</v>
      </c>
      <c r="G7" s="1184"/>
      <c r="H7" s="1185"/>
      <c r="I7" s="1183">
        <f ca="1">I6/$F$5</f>
        <v>3.0036863227452981E-2</v>
      </c>
      <c r="J7" s="1243">
        <f>COUNT(J9:J97)</f>
        <v>0</v>
      </c>
      <c r="K7" s="1183">
        <f ca="1">K6/$F$5</f>
        <v>0</v>
      </c>
      <c r="L7" s="1184"/>
      <c r="M7" s="1183">
        <f ca="1">M6/$F$5</f>
        <v>3.8556900845081545E-2</v>
      </c>
      <c r="N7" s="1184"/>
      <c r="O7" s="1183">
        <f ca="1">O6/$F$5</f>
        <v>1.1843254959172376E-2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2.1456425009532588E-2</v>
      </c>
      <c r="W7" s="1184"/>
      <c r="X7" s="1185"/>
      <c r="Y7" s="1183">
        <f ca="1">Y6/$F$5</f>
        <v>9.4746039673379006E-3</v>
      </c>
      <c r="Z7" s="1184"/>
      <c r="AA7" s="1185"/>
      <c r="AB7" s="1183">
        <f ca="1">AB6/$F$5</f>
        <v>8.876993322098066E-2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4265.1599999999989</v>
      </c>
      <c r="C8" s="1156">
        <f>SUM(C9:C97)</f>
        <v>5175.4540000000006</v>
      </c>
      <c r="D8" s="2251" t="s">
        <v>880</v>
      </c>
      <c r="E8" s="2250"/>
      <c r="F8" s="1158">
        <f>SUM(F9:F97)</f>
        <v>2098.6200000000003</v>
      </c>
      <c r="G8" s="2251" t="s">
        <v>882</v>
      </c>
      <c r="H8" s="2250"/>
      <c r="I8" s="1158">
        <f>SUM(I9:I97)</f>
        <v>507.24</v>
      </c>
      <c r="J8" s="1157" t="s">
        <v>899</v>
      </c>
      <c r="K8" s="1158">
        <f>SUM(K9:K97)</f>
        <v>0</v>
      </c>
      <c r="L8" s="1157" t="s">
        <v>884</v>
      </c>
      <c r="M8" s="1158">
        <f>SUM(M9:M97)</f>
        <v>651.11999999999921</v>
      </c>
      <c r="N8" s="1157" t="s">
        <v>909</v>
      </c>
      <c r="O8" s="1158">
        <f>SUM(O9:O97)</f>
        <v>200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362.33999999999986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1499.0800000000006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328.28999999999996</v>
      </c>
      <c r="AK8" s="833">
        <f>SUM(AK9:AK97)</f>
        <v>396.12947126680615</v>
      </c>
      <c r="AL8" s="54">
        <f>SUM(C9:C97)/SUM(B9:B97)</f>
        <v>1.2134255221375052</v>
      </c>
    </row>
    <row r="9" spans="1:39" x14ac:dyDescent="0.25">
      <c r="A9" s="64">
        <v>42643</v>
      </c>
      <c r="B9" s="65">
        <v>123.79</v>
      </c>
      <c r="C9" s="66">
        <v>131.12</v>
      </c>
      <c r="D9" s="67"/>
      <c r="E9" s="68"/>
      <c r="F9" s="66"/>
      <c r="G9" s="67">
        <v>42716</v>
      </c>
      <c r="H9" s="68" t="s">
        <v>99</v>
      </c>
      <c r="I9" s="66">
        <v>21.82</v>
      </c>
      <c r="J9" s="69"/>
      <c r="K9" s="66"/>
      <c r="L9" s="64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20.2</v>
      </c>
      <c r="W9" s="1152"/>
      <c r="X9" s="1198"/>
      <c r="Y9" s="66"/>
      <c r="Z9" s="1152">
        <v>42684</v>
      </c>
      <c r="AA9" s="1198" t="s">
        <v>95</v>
      </c>
      <c r="AB9" s="66">
        <v>62.13</v>
      </c>
      <c r="AC9" s="1152"/>
      <c r="AD9" s="1198"/>
      <c r="AE9" s="66"/>
      <c r="AF9" s="1118">
        <v>0.09</v>
      </c>
      <c r="AG9" s="1119">
        <v>7.2</v>
      </c>
      <c r="AH9" s="1117"/>
      <c r="AI9" s="237"/>
      <c r="AJ9" s="838"/>
      <c r="AK9" s="839"/>
      <c r="AL9" s="51">
        <f t="shared" ref="AL9:AL72" si="0">C9/B9</f>
        <v>1.0592131836174166</v>
      </c>
      <c r="AM9" s="51">
        <f t="shared" ref="AM9:AM72" si="1">AL9-$AL$8</f>
        <v>-0.15421233852008864</v>
      </c>
    </row>
    <row r="10" spans="1:39" x14ac:dyDescent="0.25">
      <c r="A10" s="71">
        <v>42674</v>
      </c>
      <c r="B10" s="72">
        <v>85.96</v>
      </c>
      <c r="C10" s="73">
        <v>95.424000000000007</v>
      </c>
      <c r="D10" s="345"/>
      <c r="E10" s="346"/>
      <c r="F10" s="347"/>
      <c r="G10" s="345"/>
      <c r="H10" s="346"/>
      <c r="I10" s="347"/>
      <c r="J10" s="234"/>
      <c r="K10" s="73"/>
      <c r="L10" s="71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0.08</v>
      </c>
      <c r="AG10" s="1113">
        <v>5.51</v>
      </c>
      <c r="AH10" s="1110"/>
      <c r="AI10" s="238"/>
      <c r="AJ10" s="838"/>
      <c r="AK10" s="839"/>
      <c r="AL10" s="51">
        <f t="shared" si="0"/>
        <v>1.1100977198697071</v>
      </c>
      <c r="AM10" s="51">
        <f t="shared" si="1"/>
        <v>-0.10332780226779814</v>
      </c>
    </row>
    <row r="11" spans="1:39" x14ac:dyDescent="0.25">
      <c r="A11" s="71">
        <v>42704</v>
      </c>
      <c r="B11" s="72">
        <v>174.84</v>
      </c>
      <c r="C11" s="73">
        <v>200.49</v>
      </c>
      <c r="D11" s="345"/>
      <c r="E11" s="346"/>
      <c r="F11" s="347"/>
      <c r="G11" s="147"/>
      <c r="H11" s="75"/>
      <c r="I11" s="73"/>
      <c r="J11" s="234"/>
      <c r="K11" s="73"/>
      <c r="L11" s="71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7.0000000000000007E-2</v>
      </c>
      <c r="AG11" s="1113">
        <v>5.5</v>
      </c>
      <c r="AH11" s="1110"/>
      <c r="AI11" s="238"/>
      <c r="AJ11" s="838"/>
      <c r="AK11" s="839"/>
      <c r="AL11" s="51">
        <f t="shared" si="0"/>
        <v>1.1467055593685656</v>
      </c>
      <c r="AM11" s="51">
        <f t="shared" si="1"/>
        <v>-6.6719962768939656E-2</v>
      </c>
    </row>
    <row r="12" spans="1:39" x14ac:dyDescent="0.25">
      <c r="A12" s="71">
        <v>42735</v>
      </c>
      <c r="B12" s="72">
        <v>90.23</v>
      </c>
      <c r="C12" s="73">
        <v>105.97</v>
      </c>
      <c r="D12" s="147"/>
      <c r="E12" s="75"/>
      <c r="F12" s="73"/>
      <c r="G12" s="1162"/>
      <c r="H12" s="75"/>
      <c r="I12" s="73"/>
      <c r="J12" s="234"/>
      <c r="K12" s="73"/>
      <c r="L12" s="71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0.09</v>
      </c>
      <c r="AG12" s="1113">
        <v>6.79</v>
      </c>
      <c r="AH12" s="1110"/>
      <c r="AI12" s="238"/>
      <c r="AJ12" s="838"/>
      <c r="AK12" s="839"/>
      <c r="AL12" s="51">
        <f t="shared" si="0"/>
        <v>1.174443089881414</v>
      </c>
      <c r="AM12" s="51">
        <f t="shared" si="1"/>
        <v>-3.8982432256091215E-2</v>
      </c>
    </row>
    <row r="13" spans="1:39" x14ac:dyDescent="0.25">
      <c r="A13" s="71">
        <v>42766</v>
      </c>
      <c r="B13" s="72">
        <v>32.369999999999997</v>
      </c>
      <c r="C13" s="73">
        <v>40.42</v>
      </c>
      <c r="D13" s="147"/>
      <c r="E13" s="75"/>
      <c r="F13" s="73"/>
      <c r="G13" s="147">
        <v>42815</v>
      </c>
      <c r="H13" s="75" t="s">
        <v>132</v>
      </c>
      <c r="I13" s="73">
        <v>16.62</v>
      </c>
      <c r="J13" s="234"/>
      <c r="K13" s="73"/>
      <c r="L13" s="71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20.2</v>
      </c>
      <c r="W13" s="894"/>
      <c r="X13" s="1199"/>
      <c r="Y13" s="73"/>
      <c r="Z13" s="147">
        <v>42736</v>
      </c>
      <c r="AA13" s="75"/>
      <c r="AB13" s="73">
        <v>62.13</v>
      </c>
      <c r="AC13" s="894"/>
      <c r="AD13" s="1199"/>
      <c r="AE13" s="73"/>
      <c r="AF13" s="1112">
        <v>7.0000000000000007E-2</v>
      </c>
      <c r="AG13" s="1113">
        <v>5.54</v>
      </c>
      <c r="AH13" s="1110">
        <v>525</v>
      </c>
      <c r="AI13" s="238">
        <v>56.93</v>
      </c>
      <c r="AJ13" s="838"/>
      <c r="AK13" s="839"/>
      <c r="AL13" s="51">
        <f t="shared" si="0"/>
        <v>1.2486870559159717</v>
      </c>
      <c r="AM13" s="51">
        <f t="shared" si="1"/>
        <v>3.5261533778466525E-2</v>
      </c>
    </row>
    <row r="14" spans="1:39" x14ac:dyDescent="0.25">
      <c r="A14" s="71">
        <v>42794</v>
      </c>
      <c r="B14" s="72">
        <v>120.06</v>
      </c>
      <c r="C14" s="73">
        <v>150.33000000000001</v>
      </c>
      <c r="D14" s="147"/>
      <c r="E14" s="75"/>
      <c r="F14" s="73"/>
      <c r="G14" s="147"/>
      <c r="H14" s="75"/>
      <c r="I14" s="73"/>
      <c r="J14" s="234"/>
      <c r="K14" s="73"/>
      <c r="L14" s="71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20.2</v>
      </c>
      <c r="W14" s="894"/>
      <c r="X14" s="1199"/>
      <c r="Y14" s="73"/>
      <c r="Z14" s="894">
        <v>42809</v>
      </c>
      <c r="AA14" s="1199"/>
      <c r="AB14" s="73">
        <v>62.13</v>
      </c>
      <c r="AC14" s="894"/>
      <c r="AD14" s="1199"/>
      <c r="AE14" s="73"/>
      <c r="AF14" s="1112">
        <v>7.0000000000000007E-2</v>
      </c>
      <c r="AG14" s="1113">
        <v>5.66</v>
      </c>
      <c r="AH14" s="1110">
        <v>1933</v>
      </c>
      <c r="AI14" s="238">
        <v>56.89</v>
      </c>
      <c r="AJ14" s="838"/>
      <c r="AK14" s="839"/>
      <c r="AL14" s="51">
        <f t="shared" si="0"/>
        <v>1.2521239380309845</v>
      </c>
      <c r="AM14" s="51">
        <f t="shared" si="1"/>
        <v>3.8698415893479332E-2</v>
      </c>
    </row>
    <row r="15" spans="1:39" x14ac:dyDescent="0.25">
      <c r="A15" s="71">
        <v>42825</v>
      </c>
      <c r="B15" s="72">
        <v>142.44999999999999</v>
      </c>
      <c r="C15" s="73">
        <v>169.2</v>
      </c>
      <c r="D15" s="147"/>
      <c r="E15" s="75"/>
      <c r="F15" s="73"/>
      <c r="G15" s="147"/>
      <c r="H15" s="75"/>
      <c r="I15" s="73"/>
      <c r="J15" s="234"/>
      <c r="K15" s="73"/>
      <c r="L15" s="71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20.2</v>
      </c>
      <c r="W15" s="894"/>
      <c r="X15" s="1199"/>
      <c r="Y15" s="73"/>
      <c r="Z15" s="147">
        <v>42901</v>
      </c>
      <c r="AA15" s="75"/>
      <c r="AB15" s="73">
        <v>62.13</v>
      </c>
      <c r="AC15" s="894"/>
      <c r="AD15" s="1199"/>
      <c r="AE15" s="73"/>
      <c r="AF15" s="1112">
        <v>0.08</v>
      </c>
      <c r="AG15" s="1113">
        <v>5.76</v>
      </c>
      <c r="AH15" s="1110">
        <v>2278</v>
      </c>
      <c r="AI15" s="238">
        <v>37.24</v>
      </c>
      <c r="AJ15" s="838"/>
      <c r="AK15" s="839"/>
      <c r="AL15" s="51">
        <f t="shared" si="0"/>
        <v>1.1877851877851877</v>
      </c>
      <c r="AM15" s="51">
        <f t="shared" si="1"/>
        <v>-2.5640334352317495E-2</v>
      </c>
    </row>
    <row r="16" spans="1:39" x14ac:dyDescent="0.25">
      <c r="A16" s="71">
        <v>42855</v>
      </c>
      <c r="B16" s="72">
        <v>189.52</v>
      </c>
      <c r="C16" s="73">
        <v>226.71</v>
      </c>
      <c r="D16" s="147"/>
      <c r="E16" s="75"/>
      <c r="F16" s="73"/>
      <c r="G16" s="147"/>
      <c r="H16" s="75"/>
      <c r="I16" s="73"/>
      <c r="J16" s="836"/>
      <c r="K16" s="835"/>
      <c r="L16" s="83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20.2</v>
      </c>
      <c r="W16" s="1153"/>
      <c r="X16" s="1200"/>
      <c r="Y16" s="835"/>
      <c r="Z16" s="894">
        <v>43008</v>
      </c>
      <c r="AA16" s="1199"/>
      <c r="AB16" s="73">
        <v>62.13</v>
      </c>
      <c r="AC16" s="1153"/>
      <c r="AD16" s="1200"/>
      <c r="AE16" s="835"/>
      <c r="AF16" s="1112">
        <v>0.08</v>
      </c>
      <c r="AG16" s="1113">
        <v>5.85</v>
      </c>
      <c r="AH16" s="1110">
        <v>2748</v>
      </c>
      <c r="AI16" s="238">
        <v>8.68</v>
      </c>
      <c r="AJ16" s="838"/>
      <c r="AK16" s="839"/>
      <c r="AL16" s="51">
        <f t="shared" si="0"/>
        <v>1.1962325875897002</v>
      </c>
      <c r="AM16" s="51">
        <f t="shared" si="1"/>
        <v>-1.7192934547805017E-2</v>
      </c>
    </row>
    <row r="17" spans="1:40" x14ac:dyDescent="0.25">
      <c r="A17" s="71">
        <v>42886</v>
      </c>
      <c r="B17" s="72">
        <v>207.69</v>
      </c>
      <c r="C17" s="73">
        <v>245.94</v>
      </c>
      <c r="D17" s="147"/>
      <c r="E17" s="75"/>
      <c r="F17" s="73"/>
      <c r="G17" s="147"/>
      <c r="H17" s="75"/>
      <c r="I17" s="73"/>
      <c r="J17" s="234"/>
      <c r="K17" s="73"/>
      <c r="L17" s="71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0.08</v>
      </c>
      <c r="AG17" s="1113">
        <v>5.67</v>
      </c>
      <c r="AH17" s="1110">
        <v>4179</v>
      </c>
      <c r="AI17" s="238">
        <v>1</v>
      </c>
      <c r="AJ17" s="838">
        <v>53.62</v>
      </c>
      <c r="AK17" s="839">
        <v>63.49512639029323</v>
      </c>
      <c r="AL17" s="51">
        <f t="shared" si="0"/>
        <v>1.1841687129856999</v>
      </c>
      <c r="AM17" s="51">
        <f t="shared" si="1"/>
        <v>-2.9256809151805285E-2</v>
      </c>
    </row>
    <row r="18" spans="1:40" x14ac:dyDescent="0.25">
      <c r="A18" s="71">
        <v>42916</v>
      </c>
      <c r="B18" s="72">
        <v>207.56</v>
      </c>
      <c r="C18" s="73">
        <v>236.47000000000003</v>
      </c>
      <c r="D18" s="147"/>
      <c r="E18" s="75"/>
      <c r="F18" s="73"/>
      <c r="G18" s="147"/>
      <c r="H18" s="75"/>
      <c r="I18" s="73"/>
      <c r="J18" s="431"/>
      <c r="K18" s="347"/>
      <c r="L18" s="1160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0.08</v>
      </c>
      <c r="AG18" s="1113">
        <v>5.69</v>
      </c>
      <c r="AH18" s="1110">
        <v>3558</v>
      </c>
      <c r="AI18" s="238">
        <v>1</v>
      </c>
      <c r="AJ18" s="838">
        <v>19.82</v>
      </c>
      <c r="AK18" s="839">
        <v>22.580629215648489</v>
      </c>
      <c r="AL18" s="51">
        <f t="shared" si="0"/>
        <v>1.1392850260165737</v>
      </c>
      <c r="AM18" s="51">
        <f t="shared" si="1"/>
        <v>-7.4140496120931543E-2</v>
      </c>
    </row>
    <row r="19" spans="1:40" x14ac:dyDescent="0.25">
      <c r="A19" s="71">
        <v>42947</v>
      </c>
      <c r="B19" s="72">
        <v>48.36</v>
      </c>
      <c r="C19" s="73">
        <v>49.86</v>
      </c>
      <c r="D19" s="147"/>
      <c r="E19" s="75"/>
      <c r="F19" s="73"/>
      <c r="G19" s="147"/>
      <c r="H19" s="75"/>
      <c r="I19" s="73"/>
      <c r="J19" s="234"/>
      <c r="K19" s="73"/>
      <c r="L19" s="71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0.08</v>
      </c>
      <c r="AG19" s="1113">
        <v>5.72</v>
      </c>
      <c r="AH19" s="1110">
        <v>915</v>
      </c>
      <c r="AI19" s="238">
        <v>1</v>
      </c>
      <c r="AJ19" s="838">
        <v>9.6199999999999992</v>
      </c>
      <c r="AK19" s="839">
        <v>9.9183870967741914</v>
      </c>
      <c r="AL19" s="51">
        <f t="shared" si="0"/>
        <v>1.0310173697270471</v>
      </c>
      <c r="AM19" s="51">
        <f t="shared" si="1"/>
        <v>-0.18240815241045816</v>
      </c>
    </row>
    <row r="20" spans="1:40" x14ac:dyDescent="0.25">
      <c r="A20" s="71">
        <v>42978</v>
      </c>
      <c r="B20" s="72">
        <v>41</v>
      </c>
      <c r="C20" s="73">
        <v>44.89</v>
      </c>
      <c r="D20" s="147"/>
      <c r="E20" s="75"/>
      <c r="F20" s="73"/>
      <c r="G20" s="147"/>
      <c r="H20" s="75"/>
      <c r="I20" s="73"/>
      <c r="J20" s="234"/>
      <c r="K20" s="73"/>
      <c r="L20" s="71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0.08</v>
      </c>
      <c r="AG20" s="1113">
        <v>5.69</v>
      </c>
      <c r="AH20" s="1110">
        <v>850</v>
      </c>
      <c r="AI20" s="238">
        <v>1</v>
      </c>
      <c r="AJ20" s="838">
        <v>12.49</v>
      </c>
      <c r="AK20" s="839">
        <v>13.675026829268294</v>
      </c>
      <c r="AL20" s="51">
        <f t="shared" si="0"/>
        <v>1.0948780487804879</v>
      </c>
      <c r="AM20" s="51">
        <f t="shared" si="1"/>
        <v>-0.11854747335701732</v>
      </c>
    </row>
    <row r="21" spans="1:40" x14ac:dyDescent="0.25">
      <c r="A21" s="71">
        <v>43008</v>
      </c>
      <c r="B21" s="72">
        <v>220.42000000000002</v>
      </c>
      <c r="C21" s="73">
        <v>255.69</v>
      </c>
      <c r="D21" s="147"/>
      <c r="E21" s="75"/>
      <c r="F21" s="73"/>
      <c r="G21" s="147"/>
      <c r="H21" s="75"/>
      <c r="I21" s="73"/>
      <c r="J21" s="234"/>
      <c r="K21" s="73"/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7.0000000000000007E-2</v>
      </c>
      <c r="AG21" s="1113">
        <v>5.58</v>
      </c>
      <c r="AH21" s="1110">
        <v>4277</v>
      </c>
      <c r="AI21" s="238">
        <v>1</v>
      </c>
      <c r="AJ21" s="838">
        <v>44.93</v>
      </c>
      <c r="AK21" s="839">
        <v>52.119370746756189</v>
      </c>
      <c r="AL21" s="51">
        <f t="shared" si="0"/>
        <v>1.1600127030215044</v>
      </c>
      <c r="AM21" s="51">
        <f t="shared" si="1"/>
        <v>-5.341281911600082E-2</v>
      </c>
    </row>
    <row r="22" spans="1:40" x14ac:dyDescent="0.25">
      <c r="A22" s="71">
        <v>43039</v>
      </c>
      <c r="B22" s="72">
        <v>139.13999999999999</v>
      </c>
      <c r="C22" s="73">
        <v>166.23000000000002</v>
      </c>
      <c r="D22" s="147"/>
      <c r="E22" s="75"/>
      <c r="F22" s="73"/>
      <c r="G22" s="147"/>
      <c r="H22" s="75"/>
      <c r="I22" s="73"/>
      <c r="J22" s="234"/>
      <c r="K22" s="73"/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7.0000000000000007E-2</v>
      </c>
      <c r="AG22" s="1113">
        <v>5.52</v>
      </c>
      <c r="AH22" s="1110">
        <v>2824</v>
      </c>
      <c r="AI22" s="238">
        <v>1</v>
      </c>
      <c r="AJ22" s="838">
        <v>37.9</v>
      </c>
      <c r="AK22" s="839">
        <v>45.278978007761971</v>
      </c>
      <c r="AL22" s="51">
        <f t="shared" si="0"/>
        <v>1.1946959896507117</v>
      </c>
      <c r="AM22" s="51">
        <f t="shared" si="1"/>
        <v>-1.8729532486793543E-2</v>
      </c>
    </row>
    <row r="23" spans="1:40" x14ac:dyDescent="0.25">
      <c r="A23" s="71">
        <v>43069</v>
      </c>
      <c r="B23" s="72">
        <v>150.88999999999999</v>
      </c>
      <c r="C23" s="73">
        <v>178.73000000000002</v>
      </c>
      <c r="D23" s="147"/>
      <c r="E23" s="75"/>
      <c r="F23" s="73"/>
      <c r="G23" s="147"/>
      <c r="H23" s="75"/>
      <c r="I23" s="73"/>
      <c r="J23" s="431"/>
      <c r="K23" s="347"/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0.24</v>
      </c>
      <c r="AG23" s="1113">
        <v>5.52</v>
      </c>
      <c r="AH23" s="1110">
        <v>2741</v>
      </c>
      <c r="AI23" s="238">
        <v>1</v>
      </c>
      <c r="AJ23" s="838">
        <v>20.86</v>
      </c>
      <c r="AK23" s="839">
        <v>24.708779905891713</v>
      </c>
      <c r="AL23" s="51">
        <f t="shared" si="0"/>
        <v>1.1845052687388167</v>
      </c>
      <c r="AM23" s="51">
        <f t="shared" si="1"/>
        <v>-2.8920253398688534E-2</v>
      </c>
    </row>
    <row r="24" spans="1:40" x14ac:dyDescent="0.25">
      <c r="A24" s="71">
        <v>43100</v>
      </c>
      <c r="B24" s="72">
        <v>3.8</v>
      </c>
      <c r="C24" s="73">
        <v>4.42</v>
      </c>
      <c r="D24" s="147"/>
      <c r="E24" s="75"/>
      <c r="F24" s="73"/>
      <c r="G24" s="147"/>
      <c r="H24" s="75"/>
      <c r="I24" s="73"/>
      <c r="J24" s="234"/>
      <c r="K24" s="73"/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0.24</v>
      </c>
      <c r="AG24" s="1113">
        <v>5.53</v>
      </c>
      <c r="AH24" s="1110">
        <v>50</v>
      </c>
      <c r="AI24" s="238">
        <v>4.8899999999999997</v>
      </c>
      <c r="AJ24" s="838"/>
      <c r="AK24" s="839"/>
      <c r="AL24" s="51">
        <f t="shared" si="0"/>
        <v>1.1631578947368422</v>
      </c>
      <c r="AM24" s="51">
        <f t="shared" si="1"/>
        <v>-5.026762740066304E-2</v>
      </c>
      <c r="AN24" s="1">
        <v>26878</v>
      </c>
    </row>
    <row r="25" spans="1:40" x14ac:dyDescent="0.25">
      <c r="A25" s="71">
        <v>43131</v>
      </c>
      <c r="B25" s="72">
        <v>93.11</v>
      </c>
      <c r="C25" s="73">
        <v>117.58</v>
      </c>
      <c r="D25" s="528">
        <v>43224</v>
      </c>
      <c r="E25" s="516" t="s">
        <v>353</v>
      </c>
      <c r="F25" s="380">
        <v>38.14</v>
      </c>
      <c r="G25" s="147">
        <v>43131</v>
      </c>
      <c r="H25" s="75" t="s">
        <v>210</v>
      </c>
      <c r="I25" s="73">
        <v>318</v>
      </c>
      <c r="J25" s="234"/>
      <c r="K25" s="73"/>
      <c r="L25" s="71"/>
      <c r="M25" s="73"/>
      <c r="N25" s="1153">
        <v>43125</v>
      </c>
      <c r="O25" s="835">
        <v>50</v>
      </c>
      <c r="P25" s="71"/>
      <c r="Q25" s="73"/>
      <c r="R25" s="71"/>
      <c r="S25" s="73"/>
      <c r="T25" s="894">
        <v>43101</v>
      </c>
      <c r="U25" s="1199" t="s">
        <v>953</v>
      </c>
      <c r="V25" s="73">
        <v>20.2</v>
      </c>
      <c r="W25" s="894">
        <v>43251</v>
      </c>
      <c r="X25" s="1199" t="s">
        <v>945</v>
      </c>
      <c r="Y25" s="73">
        <v>40</v>
      </c>
      <c r="Z25" s="894">
        <v>43101</v>
      </c>
      <c r="AA25" s="1199" t="s">
        <v>953</v>
      </c>
      <c r="AB25" s="73">
        <v>62.13</v>
      </c>
      <c r="AC25" s="894"/>
      <c r="AD25" s="1199"/>
      <c r="AE25" s="73"/>
      <c r="AF25" s="1112">
        <v>0.26</v>
      </c>
      <c r="AG25" s="1113">
        <v>5.52</v>
      </c>
      <c r="AH25" s="1110">
        <v>1724</v>
      </c>
      <c r="AI25" s="238">
        <v>1</v>
      </c>
      <c r="AJ25" s="838">
        <v>5.16</v>
      </c>
      <c r="AK25" s="839">
        <v>6.5160863494791101</v>
      </c>
      <c r="AL25" s="51">
        <f t="shared" si="0"/>
        <v>1.262807432069595</v>
      </c>
      <c r="AM25" s="51">
        <f t="shared" si="1"/>
        <v>4.9381909932089796E-2</v>
      </c>
    </row>
    <row r="26" spans="1:40" x14ac:dyDescent="0.25">
      <c r="A26" s="71">
        <v>43159</v>
      </c>
      <c r="B26" s="72">
        <v>195.72</v>
      </c>
      <c r="C26" s="73">
        <v>230.05</v>
      </c>
      <c r="D26" s="147">
        <v>43290</v>
      </c>
      <c r="E26" s="75" t="s">
        <v>373</v>
      </c>
      <c r="F26" s="73">
        <v>66</v>
      </c>
      <c r="G26" s="147">
        <v>43157</v>
      </c>
      <c r="H26" s="75" t="s">
        <v>209</v>
      </c>
      <c r="I26" s="73">
        <v>13</v>
      </c>
      <c r="J26" s="234"/>
      <c r="K26" s="73"/>
      <c r="L26" s="71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20.2</v>
      </c>
      <c r="W26" s="894"/>
      <c r="X26" s="1199"/>
      <c r="Y26" s="73"/>
      <c r="Z26" s="894">
        <v>43191</v>
      </c>
      <c r="AA26" s="1199" t="s">
        <v>954</v>
      </c>
      <c r="AB26" s="73">
        <v>62.13</v>
      </c>
      <c r="AC26" s="894"/>
      <c r="AD26" s="1199"/>
      <c r="AE26" s="73"/>
      <c r="AF26" s="1112">
        <v>0.25</v>
      </c>
      <c r="AG26" s="1113">
        <v>5.51</v>
      </c>
      <c r="AH26" s="1110">
        <v>3598</v>
      </c>
      <c r="AI26" s="238">
        <v>1</v>
      </c>
      <c r="AJ26" s="838">
        <v>10.37</v>
      </c>
      <c r="AK26" s="839">
        <v>12.188935724504395</v>
      </c>
      <c r="AL26" s="51">
        <f t="shared" si="0"/>
        <v>1.1754036378499899</v>
      </c>
      <c r="AM26" s="51">
        <f t="shared" si="1"/>
        <v>-3.8021884287515295E-2</v>
      </c>
    </row>
    <row r="27" spans="1:40" x14ac:dyDescent="0.25">
      <c r="A27" s="71">
        <v>43190</v>
      </c>
      <c r="B27" s="72">
        <v>141.25</v>
      </c>
      <c r="C27" s="73">
        <v>165.93</v>
      </c>
      <c r="D27" s="147">
        <v>43419</v>
      </c>
      <c r="E27" s="75" t="s">
        <v>1020</v>
      </c>
      <c r="F27" s="73">
        <v>366.35</v>
      </c>
      <c r="G27" s="147"/>
      <c r="H27" s="75"/>
      <c r="I27" s="73"/>
      <c r="J27" s="234"/>
      <c r="K27" s="73"/>
      <c r="L27" s="71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20.2</v>
      </c>
      <c r="W27" s="945"/>
      <c r="X27" s="1201"/>
      <c r="Y27" s="347"/>
      <c r="Z27" s="894">
        <v>43282</v>
      </c>
      <c r="AA27" s="1199" t="s">
        <v>955</v>
      </c>
      <c r="AB27" s="73">
        <v>62.13</v>
      </c>
      <c r="AC27" s="894"/>
      <c r="AD27" s="1199"/>
      <c r="AE27" s="73"/>
      <c r="AF27" s="1112">
        <v>0.13</v>
      </c>
      <c r="AG27" s="1113">
        <v>5.5</v>
      </c>
      <c r="AH27" s="1110">
        <v>2625</v>
      </c>
      <c r="AI27" s="238">
        <v>1</v>
      </c>
      <c r="AJ27" s="838">
        <v>8.3800000000000008</v>
      </c>
      <c r="AK27" s="839">
        <v>9.8442010619469045</v>
      </c>
      <c r="AL27" s="51">
        <f t="shared" si="0"/>
        <v>1.1747256637168142</v>
      </c>
      <c r="AM27" s="51">
        <f t="shared" si="1"/>
        <v>-3.8699858420691013E-2</v>
      </c>
    </row>
    <row r="28" spans="1:40" x14ac:dyDescent="0.25">
      <c r="A28" s="71">
        <v>43220</v>
      </c>
      <c r="B28" s="72">
        <v>151.29</v>
      </c>
      <c r="C28" s="73">
        <v>184.45</v>
      </c>
      <c r="D28" s="147">
        <v>43441</v>
      </c>
      <c r="E28" s="75" t="s">
        <v>468</v>
      </c>
      <c r="F28" s="73"/>
      <c r="G28" s="147"/>
      <c r="H28" s="75"/>
      <c r="I28" s="73"/>
      <c r="J28" s="234"/>
      <c r="K28" s="73"/>
      <c r="L28" s="71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20.2</v>
      </c>
      <c r="W28" s="894"/>
      <c r="X28" s="1199"/>
      <c r="Y28" s="73"/>
      <c r="Z28" s="894">
        <v>43374</v>
      </c>
      <c r="AA28" s="1199" t="s">
        <v>956</v>
      </c>
      <c r="AB28" s="73">
        <v>62.13</v>
      </c>
      <c r="AC28" s="894"/>
      <c r="AD28" s="1199"/>
      <c r="AE28" s="73"/>
      <c r="AF28" s="1112">
        <v>0.13</v>
      </c>
      <c r="AG28" s="1113">
        <v>5.49</v>
      </c>
      <c r="AH28" s="1110">
        <v>2884</v>
      </c>
      <c r="AI28" s="238">
        <v>1</v>
      </c>
      <c r="AJ28" s="838">
        <v>14.1</v>
      </c>
      <c r="AK28" s="839">
        <v>17.190462026571485</v>
      </c>
      <c r="AL28" s="51">
        <f t="shared" si="0"/>
        <v>1.219181704012162</v>
      </c>
      <c r="AM28" s="51">
        <f t="shared" si="1"/>
        <v>5.7561818746567628E-3</v>
      </c>
    </row>
    <row r="29" spans="1:40" x14ac:dyDescent="0.25">
      <c r="A29" s="71">
        <v>43251</v>
      </c>
      <c r="B29" s="72">
        <v>199.14000000000001</v>
      </c>
      <c r="C29" s="73">
        <v>254.72000000000003</v>
      </c>
      <c r="D29" s="147"/>
      <c r="E29" s="75"/>
      <c r="F29" s="73"/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0.13</v>
      </c>
      <c r="AG29" s="1113">
        <v>5.48</v>
      </c>
      <c r="AH29" s="1110">
        <v>3746</v>
      </c>
      <c r="AI29" s="238">
        <v>1</v>
      </c>
      <c r="AJ29" s="838">
        <v>14.38</v>
      </c>
      <c r="AK29" s="839">
        <v>18.393459877473134</v>
      </c>
      <c r="AL29" s="51">
        <f t="shared" si="0"/>
        <v>1.279100130561414</v>
      </c>
      <c r="AM29" s="51">
        <f t="shared" si="1"/>
        <v>6.567460842390882E-2</v>
      </c>
    </row>
    <row r="30" spans="1:40" x14ac:dyDescent="0.25">
      <c r="A30" s="71">
        <v>43281</v>
      </c>
      <c r="B30" s="72">
        <v>146</v>
      </c>
      <c r="C30" s="73">
        <v>193.51999999999998</v>
      </c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0.13</v>
      </c>
      <c r="AG30" s="1113">
        <v>5.47</v>
      </c>
      <c r="AH30" s="1110">
        <v>2735</v>
      </c>
      <c r="AI30" s="238">
        <v>1</v>
      </c>
      <c r="AJ30" s="838">
        <v>10.9</v>
      </c>
      <c r="AK30" s="839">
        <v>14.447726027397259</v>
      </c>
      <c r="AL30" s="51">
        <f t="shared" si="0"/>
        <v>1.3254794520547943</v>
      </c>
      <c r="AM30" s="51">
        <f t="shared" si="1"/>
        <v>0.11205392991728913</v>
      </c>
    </row>
    <row r="31" spans="1:40" x14ac:dyDescent="0.25">
      <c r="A31" s="71">
        <v>43312</v>
      </c>
      <c r="B31" s="72">
        <v>42.5</v>
      </c>
      <c r="C31" s="73">
        <v>54.05</v>
      </c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0.13</v>
      </c>
      <c r="AG31" s="1113">
        <v>5.46</v>
      </c>
      <c r="AH31" s="1110">
        <v>845</v>
      </c>
      <c r="AI31" s="238">
        <v>1</v>
      </c>
      <c r="AJ31" s="838">
        <v>5.67</v>
      </c>
      <c r="AK31" s="839">
        <v>7.2109058823529413</v>
      </c>
      <c r="AL31" s="51">
        <f t="shared" si="0"/>
        <v>1.2717647058823529</v>
      </c>
      <c r="AM31" s="51">
        <f t="shared" si="1"/>
        <v>5.83391837448477E-2</v>
      </c>
    </row>
    <row r="32" spans="1:40" x14ac:dyDescent="0.25">
      <c r="A32" s="71">
        <v>43343</v>
      </c>
      <c r="B32" s="72">
        <v>86.15</v>
      </c>
      <c r="C32" s="73">
        <v>108.60000000000001</v>
      </c>
      <c r="D32" s="528"/>
      <c r="E32" s="516"/>
      <c r="F32" s="380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0.13</v>
      </c>
      <c r="AG32" s="1113">
        <v>5.44</v>
      </c>
      <c r="AH32" s="1110">
        <v>1849</v>
      </c>
      <c r="AI32" s="238">
        <v>1</v>
      </c>
      <c r="AJ32" s="838">
        <v>19.25</v>
      </c>
      <c r="AK32" s="839">
        <v>24.266395821242021</v>
      </c>
      <c r="AL32" s="51">
        <f t="shared" si="0"/>
        <v>1.2605919907138712</v>
      </c>
      <c r="AM32" s="51">
        <f t="shared" si="1"/>
        <v>4.7166468576365972E-2</v>
      </c>
    </row>
    <row r="33" spans="1:40" x14ac:dyDescent="0.25">
      <c r="A33" s="71">
        <v>43373</v>
      </c>
      <c r="B33" s="72">
        <v>181</v>
      </c>
      <c r="C33" s="73">
        <v>239.53</v>
      </c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0.13</v>
      </c>
      <c r="AG33" s="1113">
        <v>5.42</v>
      </c>
      <c r="AH33" s="1110">
        <v>3500</v>
      </c>
      <c r="AI33" s="238">
        <v>1</v>
      </c>
      <c r="AJ33" s="838">
        <v>19.5</v>
      </c>
      <c r="AK33" s="839">
        <v>25.8057182320442</v>
      </c>
      <c r="AL33" s="51">
        <f t="shared" si="0"/>
        <v>1.3233701657458563</v>
      </c>
      <c r="AM33" s="51">
        <f t="shared" si="1"/>
        <v>0.1099446436083511</v>
      </c>
    </row>
    <row r="34" spans="1:40" x14ac:dyDescent="0.25">
      <c r="A34" s="71">
        <v>43404</v>
      </c>
      <c r="B34" s="72">
        <v>76.47</v>
      </c>
      <c r="C34" s="73">
        <v>101.73</v>
      </c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0.14000000000000001</v>
      </c>
      <c r="AG34" s="1113">
        <v>5.42</v>
      </c>
      <c r="AH34" s="1110">
        <v>1443</v>
      </c>
      <c r="AI34" s="238">
        <v>1</v>
      </c>
      <c r="AJ34" s="838">
        <v>5.78</v>
      </c>
      <c r="AK34" s="839">
        <v>7.6892820714005508</v>
      </c>
      <c r="AL34" s="51">
        <f t="shared" si="0"/>
        <v>1.3303256178893685</v>
      </c>
      <c r="AM34" s="51">
        <f t="shared" si="1"/>
        <v>0.11690009575186333</v>
      </c>
    </row>
    <row r="35" spans="1:40" x14ac:dyDescent="0.25">
      <c r="A35" s="71">
        <v>43434</v>
      </c>
      <c r="B35" s="72">
        <v>130.9</v>
      </c>
      <c r="C35" s="73">
        <v>174.95999999999998</v>
      </c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0.14000000000000001</v>
      </c>
      <c r="AG35" s="1113">
        <v>5.41</v>
      </c>
      <c r="AH35" s="1110">
        <v>2552</v>
      </c>
      <c r="AI35" s="238">
        <v>1</v>
      </c>
      <c r="AJ35" s="838">
        <v>15.56</v>
      </c>
      <c r="AK35" s="839">
        <v>20.8</v>
      </c>
      <c r="AL35" s="51">
        <f t="shared" si="0"/>
        <v>1.3365928189457599</v>
      </c>
      <c r="AM35" s="51">
        <f t="shared" si="1"/>
        <v>0.12316729680825467</v>
      </c>
    </row>
    <row r="36" spans="1:40" x14ac:dyDescent="0.25">
      <c r="A36" s="71">
        <v>43465</v>
      </c>
      <c r="B36" s="72">
        <v>54.6</v>
      </c>
      <c r="C36" s="73">
        <v>66.540000000000006</v>
      </c>
      <c r="D36" s="147"/>
      <c r="E36" s="75"/>
      <c r="F36" s="73"/>
      <c r="G36" s="147"/>
      <c r="H36" s="75"/>
      <c r="I36" s="73"/>
      <c r="J36" s="234"/>
      <c r="K36" s="73"/>
      <c r="L36" s="71">
        <v>43480</v>
      </c>
      <c r="M36" s="73">
        <v>331.92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0.14000000000000001</v>
      </c>
      <c r="AG36" s="1113">
        <v>5.41</v>
      </c>
      <c r="AH36" s="1110">
        <v>958</v>
      </c>
      <c r="AI36" s="238">
        <v>4.13</v>
      </c>
      <c r="AJ36" s="838"/>
      <c r="AK36" s="839"/>
      <c r="AL36" s="51">
        <f t="shared" si="0"/>
        <v>1.2186813186813188</v>
      </c>
      <c r="AM36" s="51">
        <f t="shared" si="1"/>
        <v>5.2557965438135845E-3</v>
      </c>
      <c r="AN36" s="1">
        <v>28459</v>
      </c>
    </row>
    <row r="37" spans="1:40" x14ac:dyDescent="0.25">
      <c r="A37" s="71">
        <v>43496</v>
      </c>
      <c r="B37" s="72">
        <v>42.92</v>
      </c>
      <c r="C37" s="73">
        <v>51.26</v>
      </c>
      <c r="D37" s="147">
        <v>43554</v>
      </c>
      <c r="E37" s="75" t="s">
        <v>609</v>
      </c>
      <c r="F37" s="73">
        <v>334.14</v>
      </c>
      <c r="G37" s="147">
        <v>43497</v>
      </c>
      <c r="H37" s="75" t="s">
        <v>556</v>
      </c>
      <c r="I37" s="73">
        <v>6</v>
      </c>
      <c r="J37" s="234"/>
      <c r="K37" s="73"/>
      <c r="L37" s="71">
        <v>43480</v>
      </c>
      <c r="M37" s="73">
        <v>8.4</v>
      </c>
      <c r="N37" s="894">
        <v>43475</v>
      </c>
      <c r="O37" s="73">
        <v>50</v>
      </c>
      <c r="P37" s="71"/>
      <c r="Q37" s="73"/>
      <c r="R37" s="71"/>
      <c r="S37" s="73"/>
      <c r="T37" s="894">
        <v>43466</v>
      </c>
      <c r="U37" s="1199" t="s">
        <v>957</v>
      </c>
      <c r="V37" s="73">
        <v>20.2</v>
      </c>
      <c r="W37" s="894">
        <v>43588</v>
      </c>
      <c r="X37" s="1199" t="s">
        <v>923</v>
      </c>
      <c r="Y37" s="73">
        <v>40</v>
      </c>
      <c r="Z37" s="894">
        <v>43466</v>
      </c>
      <c r="AA37" s="1199" t="s">
        <v>957</v>
      </c>
      <c r="AB37" s="73">
        <v>62.13</v>
      </c>
      <c r="AC37" s="894"/>
      <c r="AD37" s="1199"/>
      <c r="AE37" s="73"/>
      <c r="AF37" s="1112">
        <v>0.14000000000000001</v>
      </c>
      <c r="AG37" s="1113">
        <v>5.34</v>
      </c>
      <c r="AH37" s="1110">
        <v>1657</v>
      </c>
      <c r="AI37" s="238">
        <v>48</v>
      </c>
      <c r="AJ37" s="838"/>
      <c r="AK37" s="839"/>
      <c r="AL37" s="51">
        <f t="shared" si="0"/>
        <v>1.1943150046598321</v>
      </c>
      <c r="AM37" s="51">
        <f t="shared" si="1"/>
        <v>-1.9110517477673117E-2</v>
      </c>
    </row>
    <row r="38" spans="1:40" x14ac:dyDescent="0.25">
      <c r="A38" s="71">
        <v>43524</v>
      </c>
      <c r="B38" s="72">
        <v>43.06</v>
      </c>
      <c r="C38" s="73">
        <v>52.67</v>
      </c>
      <c r="D38" s="147">
        <v>43559</v>
      </c>
      <c r="E38" s="75" t="s">
        <v>616</v>
      </c>
      <c r="F38" s="73">
        <v>41.95</v>
      </c>
      <c r="G38" s="147">
        <v>43732</v>
      </c>
      <c r="H38" s="75" t="s">
        <v>510</v>
      </c>
      <c r="I38" s="73">
        <v>13.4</v>
      </c>
      <c r="J38" s="234"/>
      <c r="K38" s="73"/>
      <c r="L38" s="71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20.2</v>
      </c>
      <c r="W38" s="894"/>
      <c r="X38" s="1199"/>
      <c r="Y38" s="73"/>
      <c r="Z38" s="894">
        <v>43556</v>
      </c>
      <c r="AA38" s="1199" t="s">
        <v>958</v>
      </c>
      <c r="AB38" s="73">
        <v>62.13</v>
      </c>
      <c r="AC38" s="894"/>
      <c r="AD38" s="1199"/>
      <c r="AE38" s="73"/>
      <c r="AF38" s="1112">
        <v>0.15</v>
      </c>
      <c r="AG38" s="1113">
        <v>5.33</v>
      </c>
      <c r="AH38" s="1110">
        <v>868</v>
      </c>
      <c r="AI38" s="238">
        <v>48</v>
      </c>
      <c r="AJ38" s="838"/>
      <c r="AK38" s="839"/>
      <c r="AL38" s="51">
        <f t="shared" si="0"/>
        <v>1.223176962378077</v>
      </c>
      <c r="AM38" s="51">
        <f t="shared" si="1"/>
        <v>9.7514402405718403E-3</v>
      </c>
    </row>
    <row r="39" spans="1:40" x14ac:dyDescent="0.25">
      <c r="A39" s="71">
        <v>43555</v>
      </c>
      <c r="B39" s="72">
        <v>80.069999999999993</v>
      </c>
      <c r="C39" s="73">
        <v>99.18</v>
      </c>
      <c r="D39" s="147">
        <v>43679</v>
      </c>
      <c r="E39" s="75" t="s">
        <v>807</v>
      </c>
      <c r="F39" s="73">
        <v>418.22</v>
      </c>
      <c r="G39" s="147"/>
      <c r="H39" s="75"/>
      <c r="I39" s="73"/>
      <c r="J39" s="234"/>
      <c r="K39" s="73"/>
      <c r="L39" s="71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20.02</v>
      </c>
      <c r="W39" s="894"/>
      <c r="X39" s="1199"/>
      <c r="Y39" s="73"/>
      <c r="Z39" s="894">
        <v>43647</v>
      </c>
      <c r="AA39" s="1199" t="s">
        <v>959</v>
      </c>
      <c r="AB39" s="73">
        <v>74.150000000000006</v>
      </c>
      <c r="AC39" s="894"/>
      <c r="AD39" s="1199"/>
      <c r="AE39" s="73"/>
      <c r="AF39" s="1112">
        <v>0.15</v>
      </c>
      <c r="AG39" s="1113">
        <v>5.32</v>
      </c>
      <c r="AH39" s="1110">
        <v>1669</v>
      </c>
      <c r="AI39" s="238">
        <v>48</v>
      </c>
      <c r="AJ39" s="838"/>
      <c r="AK39" s="839"/>
      <c r="AL39" s="51">
        <f t="shared" si="0"/>
        <v>1.2386661671037844</v>
      </c>
      <c r="AM39" s="51">
        <f t="shared" si="1"/>
        <v>2.5240644966279202E-2</v>
      </c>
    </row>
    <row r="40" spans="1:40" x14ac:dyDescent="0.25">
      <c r="A40" s="71">
        <v>43585</v>
      </c>
      <c r="B40" s="72">
        <v>109.09</v>
      </c>
      <c r="C40" s="73">
        <v>136.09</v>
      </c>
      <c r="D40" s="528">
        <v>43780</v>
      </c>
      <c r="E40" s="516" t="s">
        <v>806</v>
      </c>
      <c r="F40" s="380">
        <v>385.13</v>
      </c>
      <c r="G40" s="147"/>
      <c r="H40" s="75"/>
      <c r="I40" s="73"/>
      <c r="J40" s="234"/>
      <c r="K40" s="73"/>
      <c r="L40" s="71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20.02</v>
      </c>
      <c r="W40" s="894"/>
      <c r="X40" s="1199"/>
      <c r="Y40" s="73"/>
      <c r="Z40" s="894">
        <v>43739</v>
      </c>
      <c r="AA40" s="1199" t="s">
        <v>960</v>
      </c>
      <c r="AB40" s="73">
        <v>74.150000000000006</v>
      </c>
      <c r="AC40" s="894"/>
      <c r="AD40" s="1199"/>
      <c r="AE40" s="73"/>
      <c r="AF40" s="1112">
        <v>0.15</v>
      </c>
      <c r="AG40" s="1113">
        <v>5.31</v>
      </c>
      <c r="AH40" s="1110">
        <v>2137</v>
      </c>
      <c r="AI40" s="238">
        <v>48</v>
      </c>
      <c r="AJ40" s="838"/>
      <c r="AK40" s="839"/>
      <c r="AL40" s="51">
        <f t="shared" si="0"/>
        <v>1.2475020625171875</v>
      </c>
      <c r="AM40" s="51">
        <f t="shared" si="1"/>
        <v>3.407654037968233E-2</v>
      </c>
    </row>
    <row r="41" spans="1:40" x14ac:dyDescent="0.25">
      <c r="A41" s="71">
        <v>43616</v>
      </c>
      <c r="B41" s="72">
        <v>42.6</v>
      </c>
      <c r="C41" s="73">
        <v>53.68</v>
      </c>
      <c r="D41" s="147"/>
      <c r="E41" s="75"/>
      <c r="F41" s="73"/>
      <c r="G41" s="147"/>
      <c r="H41" s="75"/>
      <c r="I41" s="73"/>
      <c r="J41" s="234"/>
      <c r="K41" s="73"/>
      <c r="L41" s="71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0.15</v>
      </c>
      <c r="AG41" s="1113">
        <v>5.31</v>
      </c>
      <c r="AH41" s="1110">
        <v>849</v>
      </c>
      <c r="AI41" s="238">
        <v>48</v>
      </c>
      <c r="AJ41" s="838"/>
      <c r="AK41" s="839"/>
      <c r="AL41" s="51">
        <f t="shared" si="0"/>
        <v>1.260093896713615</v>
      </c>
      <c r="AM41" s="51">
        <f t="shared" si="1"/>
        <v>4.6668374576109839E-2</v>
      </c>
    </row>
    <row r="42" spans="1:40" x14ac:dyDescent="0.25">
      <c r="A42" s="71">
        <v>43646</v>
      </c>
      <c r="B42" s="72">
        <v>45.95</v>
      </c>
      <c r="C42" s="73">
        <v>60.15</v>
      </c>
      <c r="D42" s="147"/>
      <c r="E42" s="75"/>
      <c r="F42" s="73"/>
      <c r="G42" s="147"/>
      <c r="H42" s="75"/>
      <c r="I42" s="73"/>
      <c r="J42" s="234"/>
      <c r="K42" s="73"/>
      <c r="L42" s="1609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0.16</v>
      </c>
      <c r="AG42" s="1113">
        <v>5.31</v>
      </c>
      <c r="AH42" s="1110">
        <v>866</v>
      </c>
      <c r="AI42" s="238">
        <v>48</v>
      </c>
      <c r="AJ42" s="838"/>
      <c r="AK42" s="839"/>
      <c r="AL42" s="51">
        <f t="shared" si="0"/>
        <v>1.309031556039173</v>
      </c>
      <c r="AM42" s="51">
        <f t="shared" si="1"/>
        <v>9.5606033901667775E-2</v>
      </c>
    </row>
    <row r="43" spans="1:40" x14ac:dyDescent="0.25">
      <c r="A43" s="71">
        <v>43677</v>
      </c>
      <c r="B43" s="72">
        <v>41.2</v>
      </c>
      <c r="C43" s="73">
        <v>52.25</v>
      </c>
      <c r="D43" s="147"/>
      <c r="E43" s="75"/>
      <c r="F43" s="73"/>
      <c r="G43" s="147"/>
      <c r="H43" s="75"/>
      <c r="I43" s="73"/>
      <c r="J43" s="234"/>
      <c r="K43" s="73"/>
      <c r="L43" s="1609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0.15</v>
      </c>
      <c r="AG43" s="1113">
        <v>5.31</v>
      </c>
      <c r="AH43" s="1110">
        <v>826</v>
      </c>
      <c r="AI43" s="238">
        <v>48</v>
      </c>
      <c r="AJ43" s="838"/>
      <c r="AK43" s="839"/>
      <c r="AL43" s="51">
        <f t="shared" si="0"/>
        <v>1.2682038834951455</v>
      </c>
      <c r="AM43" s="51">
        <f t="shared" si="1"/>
        <v>5.4778361357640248E-2</v>
      </c>
    </row>
    <row r="44" spans="1:40" x14ac:dyDescent="0.25">
      <c r="A44" s="71">
        <v>43708</v>
      </c>
      <c r="B44" s="72">
        <v>0</v>
      </c>
      <c r="C44" s="73">
        <v>0</v>
      </c>
      <c r="D44" s="147"/>
      <c r="E44" s="75"/>
      <c r="F44" s="73"/>
      <c r="G44" s="147"/>
      <c r="H44" s="75"/>
      <c r="I44" s="73"/>
      <c r="J44" s="234"/>
      <c r="K44" s="73"/>
      <c r="L44" s="1609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0.16</v>
      </c>
      <c r="AG44" s="1113">
        <v>5.31</v>
      </c>
      <c r="AH44" s="1110">
        <v>0</v>
      </c>
      <c r="AI44" s="238">
        <v>48</v>
      </c>
      <c r="AJ44" s="838"/>
      <c r="AK44" s="839"/>
      <c r="AL44" s="51" t="e">
        <f t="shared" si="0"/>
        <v>#DIV/0!</v>
      </c>
      <c r="AM44" s="51" t="e">
        <f t="shared" si="1"/>
        <v>#DIV/0!</v>
      </c>
    </row>
    <row r="45" spans="1:40" x14ac:dyDescent="0.25">
      <c r="A45" s="71">
        <v>43738</v>
      </c>
      <c r="B45" s="72">
        <v>95.69</v>
      </c>
      <c r="C45" s="73">
        <v>118.55</v>
      </c>
      <c r="D45" s="147"/>
      <c r="E45" s="75"/>
      <c r="F45" s="73"/>
      <c r="G45" s="147"/>
      <c r="H45" s="75"/>
      <c r="I45" s="73"/>
      <c r="J45" s="234"/>
      <c r="K45" s="73"/>
      <c r="L45" s="1609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0.16</v>
      </c>
      <c r="AG45" s="1113">
        <v>5.3</v>
      </c>
      <c r="AH45" s="1110">
        <v>1893</v>
      </c>
      <c r="AI45" s="238">
        <v>47</v>
      </c>
      <c r="AJ45" s="838"/>
      <c r="AK45" s="839"/>
      <c r="AL45" s="51">
        <f t="shared" si="0"/>
        <v>1.2388964364092381</v>
      </c>
      <c r="AM45" s="51">
        <f t="shared" si="1"/>
        <v>2.547091427173287E-2</v>
      </c>
    </row>
    <row r="46" spans="1:40" x14ac:dyDescent="0.25">
      <c r="A46" s="71">
        <v>43769</v>
      </c>
      <c r="B46" s="72">
        <v>111.95</v>
      </c>
      <c r="C46" s="73">
        <v>139</v>
      </c>
      <c r="D46" s="147"/>
      <c r="E46" s="75"/>
      <c r="F46" s="73"/>
      <c r="G46" s="1162"/>
      <c r="H46" s="75"/>
      <c r="I46" s="73"/>
      <c r="J46" s="234"/>
      <c r="K46" s="73"/>
      <c r="L46" s="1609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0.16</v>
      </c>
      <c r="AG46" s="1113">
        <v>5.29</v>
      </c>
      <c r="AH46" s="1110">
        <v>2199</v>
      </c>
      <c r="AI46" s="238">
        <v>48</v>
      </c>
      <c r="AJ46" s="838"/>
      <c r="AK46" s="839"/>
      <c r="AL46" s="51">
        <f t="shared" si="0"/>
        <v>1.2416257257704333</v>
      </c>
      <c r="AM46" s="51">
        <f t="shared" si="1"/>
        <v>2.8200203632928078E-2</v>
      </c>
    </row>
    <row r="47" spans="1:40" x14ac:dyDescent="0.25">
      <c r="A47" s="71">
        <v>43799</v>
      </c>
      <c r="B47" s="72">
        <v>46.68</v>
      </c>
      <c r="C47" s="73">
        <v>57.79</v>
      </c>
      <c r="D47" s="147"/>
      <c r="E47" s="75"/>
      <c r="F47" s="73"/>
      <c r="G47" s="147"/>
      <c r="H47" s="75"/>
      <c r="I47" s="73"/>
      <c r="J47" s="234"/>
      <c r="K47" s="73"/>
      <c r="L47" s="1609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0.16</v>
      </c>
      <c r="AG47" s="1113">
        <v>5.29</v>
      </c>
      <c r="AH47" s="1110">
        <v>910</v>
      </c>
      <c r="AI47" s="238">
        <v>48</v>
      </c>
      <c r="AJ47" s="838"/>
      <c r="AK47" s="839"/>
      <c r="AL47" s="51">
        <f t="shared" si="0"/>
        <v>1.2380034275921166</v>
      </c>
      <c r="AM47" s="51">
        <f t="shared" si="1"/>
        <v>2.457790545461136E-2</v>
      </c>
    </row>
    <row r="48" spans="1:40" x14ac:dyDescent="0.25">
      <c r="A48" s="71">
        <v>43830</v>
      </c>
      <c r="B48" s="72">
        <v>64.069999999999993</v>
      </c>
      <c r="C48" s="73">
        <v>82.64</v>
      </c>
      <c r="D48" s="147"/>
      <c r="E48" s="75"/>
      <c r="F48" s="73"/>
      <c r="G48" s="147">
        <v>43830</v>
      </c>
      <c r="H48" s="75" t="s">
        <v>811</v>
      </c>
      <c r="I48" s="73">
        <v>118.4</v>
      </c>
      <c r="J48" s="234"/>
      <c r="K48" s="73"/>
      <c r="L48" s="1609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0.16</v>
      </c>
      <c r="AG48" s="1113">
        <v>5.29</v>
      </c>
      <c r="AH48" s="1110">
        <v>1303</v>
      </c>
      <c r="AI48" s="238">
        <v>48</v>
      </c>
      <c r="AJ48" s="838"/>
      <c r="AK48" s="839"/>
      <c r="AL48" s="51">
        <f t="shared" si="0"/>
        <v>1.2898392383330735</v>
      </c>
      <c r="AM48" s="51">
        <f t="shared" si="1"/>
        <v>7.6413716195568249E-2</v>
      </c>
      <c r="AN48" s="1">
        <v>15177</v>
      </c>
    </row>
    <row r="49" spans="1:40" x14ac:dyDescent="0.25">
      <c r="A49" s="71">
        <v>43861</v>
      </c>
      <c r="B49" s="72">
        <v>8</v>
      </c>
      <c r="C49" s="73">
        <v>10.32</v>
      </c>
      <c r="D49" s="147">
        <v>43944</v>
      </c>
      <c r="E49" s="75" t="s">
        <v>1122</v>
      </c>
      <c r="F49" s="73">
        <v>41.95</v>
      </c>
      <c r="G49" s="147"/>
      <c r="H49" s="75"/>
      <c r="I49" s="73"/>
      <c r="J49" s="234"/>
      <c r="K49" s="73"/>
      <c r="L49" s="1609">
        <v>43861</v>
      </c>
      <c r="M49" s="73">
        <v>8.4</v>
      </c>
      <c r="N49" s="894">
        <v>43845</v>
      </c>
      <c r="O49" s="73">
        <v>50</v>
      </c>
      <c r="P49" s="71"/>
      <c r="Q49" s="73"/>
      <c r="R49" s="71"/>
      <c r="S49" s="73"/>
      <c r="T49" s="894">
        <v>43831</v>
      </c>
      <c r="U49" s="1199" t="s">
        <v>961</v>
      </c>
      <c r="V49" s="73">
        <v>20.02</v>
      </c>
      <c r="W49" s="894">
        <v>43942</v>
      </c>
      <c r="X49" s="1199" t="s">
        <v>1079</v>
      </c>
      <c r="Y49" s="73">
        <v>40</v>
      </c>
      <c r="Z49" s="894">
        <v>43831</v>
      </c>
      <c r="AA49" s="1199" t="s">
        <v>961</v>
      </c>
      <c r="AB49" s="73">
        <v>74.150000000000006</v>
      </c>
      <c r="AC49" s="894"/>
      <c r="AD49" s="1199"/>
      <c r="AE49" s="73"/>
      <c r="AF49" s="1112">
        <v>0.17</v>
      </c>
      <c r="AG49" s="1113">
        <v>5.28</v>
      </c>
      <c r="AH49" s="1110">
        <v>203</v>
      </c>
      <c r="AI49" s="238">
        <v>40</v>
      </c>
      <c r="AJ49" s="838"/>
      <c r="AK49" s="839"/>
      <c r="AL49" s="51">
        <f t="shared" si="0"/>
        <v>1.29</v>
      </c>
      <c r="AM49" s="51">
        <f t="shared" si="1"/>
        <v>7.6574477862494827E-2</v>
      </c>
    </row>
    <row r="50" spans="1:40" x14ac:dyDescent="0.25">
      <c r="A50" s="71">
        <v>43890</v>
      </c>
      <c r="B50" s="72">
        <v>2</v>
      </c>
      <c r="C50" s="73">
        <v>2.58</v>
      </c>
      <c r="D50" s="147"/>
      <c r="E50" s="75"/>
      <c r="F50" s="73"/>
      <c r="G50" s="147"/>
      <c r="H50" s="75"/>
      <c r="I50" s="73"/>
      <c r="J50" s="234"/>
      <c r="K50" s="73"/>
      <c r="L50" s="1609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20.02</v>
      </c>
      <c r="W50" s="894"/>
      <c r="X50" s="1199"/>
      <c r="Y50" s="73"/>
      <c r="Z50" s="894">
        <v>43922</v>
      </c>
      <c r="AA50" s="1199" t="s">
        <v>1008</v>
      </c>
      <c r="AB50" s="73">
        <v>74.150000000000006</v>
      </c>
      <c r="AC50" s="894"/>
      <c r="AD50" s="1199"/>
      <c r="AE50" s="73"/>
      <c r="AF50" s="1112">
        <v>0.17</v>
      </c>
      <c r="AG50" s="1113">
        <v>5.28</v>
      </c>
      <c r="AH50" s="1110">
        <v>4</v>
      </c>
      <c r="AI50" s="238">
        <v>38</v>
      </c>
      <c r="AJ50" s="838"/>
      <c r="AK50" s="839"/>
      <c r="AL50" s="51">
        <f t="shared" si="0"/>
        <v>1.29</v>
      </c>
      <c r="AM50" s="51">
        <f t="shared" si="1"/>
        <v>7.6574477862494827E-2</v>
      </c>
    </row>
    <row r="51" spans="1:40" x14ac:dyDescent="0.25">
      <c r="A51" s="71">
        <v>43921</v>
      </c>
      <c r="B51" s="72">
        <v>0</v>
      </c>
      <c r="C51" s="73">
        <v>0</v>
      </c>
      <c r="D51" s="147"/>
      <c r="E51" s="75"/>
      <c r="F51" s="73"/>
      <c r="G51" s="147"/>
      <c r="H51" s="75"/>
      <c r="I51" s="73"/>
      <c r="J51" s="234"/>
      <c r="K51" s="73"/>
      <c r="L51" s="1609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20.02</v>
      </c>
      <c r="W51" s="894"/>
      <c r="X51" s="1199"/>
      <c r="Y51" s="73"/>
      <c r="Z51" s="894">
        <v>44007</v>
      </c>
      <c r="AA51" s="1199" t="s">
        <v>1223</v>
      </c>
      <c r="AB51" s="73">
        <v>74.150000000000006</v>
      </c>
      <c r="AC51" s="894"/>
      <c r="AD51" s="1199"/>
      <c r="AE51" s="73"/>
      <c r="AF51" s="1112">
        <v>0.18</v>
      </c>
      <c r="AG51" s="1113">
        <v>5.28</v>
      </c>
      <c r="AH51" s="1110">
        <v>0</v>
      </c>
      <c r="AI51" s="238">
        <v>38</v>
      </c>
      <c r="AJ51" s="838"/>
      <c r="AK51" s="839"/>
      <c r="AL51" s="51" t="e">
        <f t="shared" si="0"/>
        <v>#DIV/0!</v>
      </c>
      <c r="AM51" s="51" t="e">
        <f t="shared" si="1"/>
        <v>#DIV/0!</v>
      </c>
    </row>
    <row r="52" spans="1:40" x14ac:dyDescent="0.25">
      <c r="A52" s="71">
        <v>43951</v>
      </c>
      <c r="B52" s="72">
        <v>1</v>
      </c>
      <c r="C52" s="73">
        <v>1.29</v>
      </c>
      <c r="D52" s="147"/>
      <c r="E52" s="75"/>
      <c r="F52" s="73"/>
      <c r="G52" s="147"/>
      <c r="H52" s="75"/>
      <c r="I52" s="73"/>
      <c r="J52" s="234"/>
      <c r="K52" s="73"/>
      <c r="L52" s="1609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20.02</v>
      </c>
      <c r="W52" s="894"/>
      <c r="X52" s="1199"/>
      <c r="Y52" s="73"/>
      <c r="Z52" s="894">
        <v>44091</v>
      </c>
      <c r="AA52" s="1199" t="s">
        <v>1222</v>
      </c>
      <c r="AB52" s="73">
        <v>74.150000000000006</v>
      </c>
      <c r="AC52" s="894"/>
      <c r="AD52" s="1199"/>
      <c r="AE52" s="73"/>
      <c r="AF52" s="1112">
        <v>0.18</v>
      </c>
      <c r="AG52" s="1113">
        <v>5.28</v>
      </c>
      <c r="AH52" s="1110">
        <v>12</v>
      </c>
      <c r="AI52" s="238">
        <v>37</v>
      </c>
      <c r="AJ52" s="838"/>
      <c r="AK52" s="839"/>
      <c r="AL52" s="51">
        <f t="shared" si="0"/>
        <v>1.29</v>
      </c>
      <c r="AM52" s="51">
        <f t="shared" si="1"/>
        <v>7.6574477862494827E-2</v>
      </c>
      <c r="AN52" s="1">
        <v>219</v>
      </c>
    </row>
    <row r="53" spans="1:40" x14ac:dyDescent="0.25">
      <c r="A53" s="71">
        <v>43982</v>
      </c>
      <c r="B53" s="72">
        <v>0</v>
      </c>
      <c r="C53" s="73">
        <v>0</v>
      </c>
      <c r="D53" s="147"/>
      <c r="E53" s="75"/>
      <c r="F53" s="73"/>
      <c r="G53" s="147"/>
      <c r="H53" s="75"/>
      <c r="I53" s="73"/>
      <c r="J53" s="234"/>
      <c r="K53" s="73"/>
      <c r="L53" s="1609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0.18</v>
      </c>
      <c r="AG53" s="1113">
        <v>5.28</v>
      </c>
      <c r="AH53" s="1110">
        <v>0</v>
      </c>
      <c r="AI53" s="238">
        <v>37</v>
      </c>
      <c r="AJ53" s="838"/>
      <c r="AK53" s="839"/>
      <c r="AL53" s="51" t="e">
        <f t="shared" si="0"/>
        <v>#DIV/0!</v>
      </c>
      <c r="AM53" s="51" t="e">
        <f t="shared" si="1"/>
        <v>#DIV/0!</v>
      </c>
    </row>
    <row r="54" spans="1:40" x14ac:dyDescent="0.25">
      <c r="A54" s="71">
        <v>44012</v>
      </c>
      <c r="B54" s="72">
        <v>2</v>
      </c>
      <c r="C54" s="73">
        <v>2.58</v>
      </c>
      <c r="D54" s="147"/>
      <c r="E54" s="75"/>
      <c r="F54" s="73"/>
      <c r="G54" s="147"/>
      <c r="H54" s="75"/>
      <c r="I54" s="73"/>
      <c r="J54" s="234"/>
      <c r="K54" s="73"/>
      <c r="L54" s="1609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0.18</v>
      </c>
      <c r="AG54" s="1113">
        <v>5.29</v>
      </c>
      <c r="AH54" s="1110">
        <v>6</v>
      </c>
      <c r="AI54" s="238">
        <v>35</v>
      </c>
      <c r="AJ54" s="838"/>
      <c r="AK54" s="839"/>
      <c r="AL54" s="51">
        <f t="shared" si="0"/>
        <v>1.29</v>
      </c>
      <c r="AM54" s="51">
        <f t="shared" si="1"/>
        <v>7.6574477862494827E-2</v>
      </c>
    </row>
    <row r="55" spans="1:40" x14ac:dyDescent="0.25">
      <c r="A55" s="71">
        <v>44043</v>
      </c>
      <c r="B55" s="72">
        <v>14.64</v>
      </c>
      <c r="C55" s="73">
        <v>17.329999999999998</v>
      </c>
      <c r="D55" s="147"/>
      <c r="E55" s="75"/>
      <c r="F55" s="73"/>
      <c r="G55" s="147"/>
      <c r="H55" s="75"/>
      <c r="I55" s="73"/>
      <c r="J55" s="234"/>
      <c r="K55" s="73"/>
      <c r="L55" s="1609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0.19</v>
      </c>
      <c r="AG55" s="1113">
        <v>5.29</v>
      </c>
      <c r="AH55" s="1110">
        <v>191</v>
      </c>
      <c r="AI55" s="238">
        <v>48</v>
      </c>
      <c r="AJ55" s="838"/>
      <c r="AK55" s="839"/>
      <c r="AL55" s="51">
        <f t="shared" si="0"/>
        <v>1.1837431693989069</v>
      </c>
      <c r="AM55" s="51">
        <f t="shared" si="1"/>
        <v>-2.9682352738598317E-2</v>
      </c>
    </row>
    <row r="56" spans="1:40" x14ac:dyDescent="0.25">
      <c r="A56" s="71">
        <v>44074</v>
      </c>
      <c r="B56" s="72">
        <v>0</v>
      </c>
      <c r="C56" s="73">
        <v>0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0.19</v>
      </c>
      <c r="AG56" s="1113">
        <v>5.28</v>
      </c>
      <c r="AH56" s="1110">
        <v>0</v>
      </c>
      <c r="AI56" s="238">
        <v>48</v>
      </c>
      <c r="AJ56" s="838"/>
      <c r="AK56" s="839"/>
      <c r="AL56" s="51" t="e">
        <f t="shared" si="0"/>
        <v>#DIV/0!</v>
      </c>
      <c r="AM56" s="51" t="e">
        <f t="shared" si="1"/>
        <v>#DIV/0!</v>
      </c>
    </row>
    <row r="57" spans="1:40" x14ac:dyDescent="0.25">
      <c r="A57" s="71">
        <v>44104</v>
      </c>
      <c r="B57" s="72">
        <v>18.14</v>
      </c>
      <c r="C57" s="73">
        <v>21.43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0.19</v>
      </c>
      <c r="AG57" s="1113">
        <v>5.3</v>
      </c>
      <c r="AH57" s="1110">
        <v>277</v>
      </c>
      <c r="AI57" s="238">
        <v>48</v>
      </c>
      <c r="AJ57" s="838"/>
      <c r="AK57" s="839"/>
      <c r="AL57" s="51">
        <f t="shared" si="0"/>
        <v>1.181367144432194</v>
      </c>
      <c r="AM57" s="51">
        <f t="shared" si="1"/>
        <v>-3.205837770531117E-2</v>
      </c>
    </row>
    <row r="58" spans="1:40" x14ac:dyDescent="0.25">
      <c r="A58" s="71">
        <v>44135</v>
      </c>
      <c r="B58" s="72">
        <v>0</v>
      </c>
      <c r="C58" s="73">
        <v>0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0.19</v>
      </c>
      <c r="AG58" s="1113">
        <v>5.29</v>
      </c>
      <c r="AH58" s="1110">
        <v>0</v>
      </c>
      <c r="AI58" s="238">
        <v>48</v>
      </c>
      <c r="AJ58" s="838"/>
      <c r="AK58" s="839"/>
      <c r="AL58" s="51" t="e">
        <f t="shared" si="0"/>
        <v>#DIV/0!</v>
      </c>
      <c r="AM58" s="51" t="e">
        <f t="shared" si="1"/>
        <v>#DIV/0!</v>
      </c>
    </row>
    <row r="59" spans="1:40" x14ac:dyDescent="0.25">
      <c r="A59" s="71">
        <v>44165</v>
      </c>
      <c r="B59" s="72">
        <v>0</v>
      </c>
      <c r="C59" s="73">
        <v>0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0.19</v>
      </c>
      <c r="AG59" s="1113">
        <v>5.29</v>
      </c>
      <c r="AH59" s="1110">
        <v>49</v>
      </c>
      <c r="AI59" s="238">
        <v>48</v>
      </c>
      <c r="AJ59" s="838"/>
      <c r="AK59" s="839"/>
      <c r="AL59" s="51" t="e">
        <f t="shared" si="0"/>
        <v>#DIV/0!</v>
      </c>
      <c r="AM59" s="51" t="e">
        <f t="shared" si="1"/>
        <v>#DIV/0!</v>
      </c>
    </row>
    <row r="60" spans="1:40" x14ac:dyDescent="0.25">
      <c r="A60" s="71">
        <v>44561</v>
      </c>
      <c r="B60" s="72">
        <v>10.95</v>
      </c>
      <c r="C60" s="73">
        <v>12.71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0.2</v>
      </c>
      <c r="AG60" s="1113">
        <v>5.3</v>
      </c>
      <c r="AH60" s="1110">
        <v>87</v>
      </c>
      <c r="AI60" s="238">
        <v>48</v>
      </c>
      <c r="AJ60" s="838"/>
      <c r="AK60" s="839"/>
      <c r="AL60" s="51">
        <f t="shared" si="0"/>
        <v>1.160730593607306</v>
      </c>
      <c r="AM60" s="51">
        <f t="shared" si="1"/>
        <v>-5.2694928530199192E-2</v>
      </c>
    </row>
    <row r="61" spans="1:40" x14ac:dyDescent="0.25">
      <c r="A61" s="71">
        <v>44227</v>
      </c>
      <c r="B61" s="72">
        <v>0</v>
      </c>
      <c r="C61" s="73">
        <v>0</v>
      </c>
      <c r="D61" s="528">
        <v>44550</v>
      </c>
      <c r="E61" s="516" t="s">
        <v>1494</v>
      </c>
      <c r="F61" s="380">
        <v>406.74</v>
      </c>
      <c r="G61" s="147"/>
      <c r="H61" s="75"/>
      <c r="I61" s="73"/>
      <c r="J61" s="234"/>
      <c r="K61" s="73"/>
      <c r="L61" s="1609">
        <v>44225</v>
      </c>
      <c r="M61" s="73">
        <v>8.4</v>
      </c>
      <c r="N61" s="894">
        <v>44226</v>
      </c>
      <c r="O61" s="73">
        <v>50</v>
      </c>
      <c r="P61" s="71"/>
      <c r="Q61" s="73"/>
      <c r="R61" s="71"/>
      <c r="S61" s="73"/>
      <c r="T61" s="894"/>
      <c r="U61" s="1199"/>
      <c r="V61" s="73"/>
      <c r="W61" s="894">
        <v>44312</v>
      </c>
      <c r="X61" s="1199" t="s">
        <v>1329</v>
      </c>
      <c r="Y61" s="73">
        <v>40</v>
      </c>
      <c r="Z61" s="894">
        <v>44197</v>
      </c>
      <c r="AA61" s="1199" t="s">
        <v>1517</v>
      </c>
      <c r="AB61" s="73">
        <v>74.150000000000006</v>
      </c>
      <c r="AC61" s="894"/>
      <c r="AD61" s="1199"/>
      <c r="AE61" s="73"/>
      <c r="AF61" s="1112">
        <v>0.2</v>
      </c>
      <c r="AG61" s="1113">
        <v>5.3</v>
      </c>
      <c r="AH61" s="1110">
        <v>0</v>
      </c>
      <c r="AI61" s="238">
        <v>48</v>
      </c>
      <c r="AJ61" s="838"/>
      <c r="AK61" s="839"/>
      <c r="AL61" s="51" t="e">
        <f t="shared" si="0"/>
        <v>#DIV/0!</v>
      </c>
      <c r="AM61" s="51" t="e">
        <f t="shared" si="1"/>
        <v>#DIV/0!</v>
      </c>
    </row>
    <row r="62" spans="1:40" x14ac:dyDescent="0.25">
      <c r="A62" s="71">
        <v>44255</v>
      </c>
      <c r="B62" s="72">
        <v>0</v>
      </c>
      <c r="C62" s="73">
        <v>0</v>
      </c>
      <c r="D62" s="147"/>
      <c r="E62" s="75"/>
      <c r="F62" s="73"/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/>
      <c r="U62" s="1199"/>
      <c r="V62" s="73"/>
      <c r="W62" s="894"/>
      <c r="X62" s="1199"/>
      <c r="Y62" s="73"/>
      <c r="Z62" s="894">
        <v>44287</v>
      </c>
      <c r="AA62" s="1199" t="s">
        <v>1518</v>
      </c>
      <c r="AB62" s="73">
        <v>74.150000000000006</v>
      </c>
      <c r="AC62" s="894"/>
      <c r="AD62" s="1199"/>
      <c r="AE62" s="73"/>
      <c r="AF62" s="1112">
        <v>0.2</v>
      </c>
      <c r="AG62" s="1113">
        <v>5.3</v>
      </c>
      <c r="AH62" s="1110">
        <v>0</v>
      </c>
      <c r="AI62" s="238">
        <v>48</v>
      </c>
      <c r="AJ62" s="838"/>
      <c r="AK62" s="839"/>
      <c r="AL62" s="51" t="e">
        <f t="shared" si="0"/>
        <v>#DIV/0!</v>
      </c>
      <c r="AM62" s="51" t="e">
        <f t="shared" si="1"/>
        <v>#DIV/0!</v>
      </c>
    </row>
    <row r="63" spans="1:40" x14ac:dyDescent="0.25">
      <c r="A63" s="71">
        <v>44286</v>
      </c>
      <c r="B63" s="72">
        <v>8.94</v>
      </c>
      <c r="C63" s="73">
        <v>10.4</v>
      </c>
      <c r="D63" s="147"/>
      <c r="E63" s="75"/>
      <c r="F63" s="73"/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>
        <v>44378</v>
      </c>
      <c r="U63" s="1199" t="s">
        <v>1402</v>
      </c>
      <c r="V63" s="73">
        <v>20.02</v>
      </c>
      <c r="W63" s="894"/>
      <c r="X63" s="1199"/>
      <c r="Y63" s="73"/>
      <c r="Z63" s="894">
        <v>44378</v>
      </c>
      <c r="AA63" s="1199" t="s">
        <v>1402</v>
      </c>
      <c r="AB63" s="73">
        <v>74.150000000000006</v>
      </c>
      <c r="AC63" s="894"/>
      <c r="AD63" s="1199"/>
      <c r="AE63" s="73"/>
      <c r="AF63" s="1112">
        <v>0.2</v>
      </c>
      <c r="AG63" s="1113">
        <v>5.31</v>
      </c>
      <c r="AH63" s="1110">
        <v>35</v>
      </c>
      <c r="AI63" s="238">
        <v>48</v>
      </c>
      <c r="AJ63" s="838"/>
      <c r="AK63" s="839"/>
      <c r="AL63" s="51">
        <f t="shared" si="0"/>
        <v>1.1633109619686801</v>
      </c>
      <c r="AM63" s="51">
        <f t="shared" si="1"/>
        <v>-5.0114560168825095E-2</v>
      </c>
    </row>
    <row r="64" spans="1:40" x14ac:dyDescent="0.25">
      <c r="A64" s="71">
        <v>44316</v>
      </c>
      <c r="B64" s="72">
        <v>0</v>
      </c>
      <c r="C64" s="73">
        <v>0</v>
      </c>
      <c r="D64" s="147"/>
      <c r="E64" s="75"/>
      <c r="F64" s="73"/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>
        <v>44470</v>
      </c>
      <c r="AA64" s="1199" t="s">
        <v>1516</v>
      </c>
      <c r="AB64" s="73">
        <v>74.150000000000006</v>
      </c>
      <c r="AC64" s="894"/>
      <c r="AD64" s="1199"/>
      <c r="AE64" s="73"/>
      <c r="AF64" s="1112">
        <v>0.2</v>
      </c>
      <c r="AG64" s="1113">
        <v>5.31</v>
      </c>
      <c r="AH64" s="1110">
        <v>14</v>
      </c>
      <c r="AI64" s="238">
        <v>48</v>
      </c>
      <c r="AJ64" s="838"/>
      <c r="AK64" s="839"/>
      <c r="AL64" s="51" t="e">
        <f t="shared" si="0"/>
        <v>#DIV/0!</v>
      </c>
      <c r="AM64" s="51" t="e">
        <f t="shared" si="1"/>
        <v>#DIV/0!</v>
      </c>
    </row>
    <row r="65" spans="1:39" x14ac:dyDescent="0.25">
      <c r="A65" s="71">
        <v>44347</v>
      </c>
      <c r="B65" s="72">
        <v>0</v>
      </c>
      <c r="C65" s="73">
        <v>0</v>
      </c>
      <c r="D65" s="147"/>
      <c r="E65" s="75"/>
      <c r="F65" s="73"/>
      <c r="G65" s="147"/>
      <c r="H65" s="75"/>
      <c r="I65" s="73"/>
      <c r="J65" s="234"/>
      <c r="K65" s="73"/>
      <c r="L65" s="1609">
        <v>44320</v>
      </c>
      <c r="M65" s="73">
        <v>8.4</v>
      </c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0.2</v>
      </c>
      <c r="AG65" s="1113">
        <v>5.31</v>
      </c>
      <c r="AH65" s="1110">
        <v>13</v>
      </c>
      <c r="AI65" s="238">
        <v>48</v>
      </c>
      <c r="AJ65" s="838"/>
      <c r="AK65" s="839"/>
      <c r="AL65" s="51" t="e">
        <f t="shared" si="0"/>
        <v>#DIV/0!</v>
      </c>
      <c r="AM65" s="51" t="e">
        <f t="shared" si="1"/>
        <v>#DIV/0!</v>
      </c>
    </row>
    <row r="66" spans="1:39" x14ac:dyDescent="0.25">
      <c r="A66" s="71">
        <v>44377</v>
      </c>
      <c r="B66" s="72">
        <v>0</v>
      </c>
      <c r="C66" s="73">
        <v>0</v>
      </c>
      <c r="D66" s="147"/>
      <c r="E66" s="75"/>
      <c r="F66" s="73"/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0.2</v>
      </c>
      <c r="AG66" s="1113">
        <v>5.31</v>
      </c>
      <c r="AH66" s="1110">
        <v>0</v>
      </c>
      <c r="AI66" s="238">
        <v>48</v>
      </c>
      <c r="AJ66" s="838"/>
      <c r="AK66" s="839"/>
      <c r="AL66" s="51" t="e">
        <f t="shared" si="0"/>
        <v>#DIV/0!</v>
      </c>
      <c r="AM66" s="51" t="e">
        <f t="shared" si="1"/>
        <v>#DIV/0!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ref="AF67:AF96" ca="1" si="2">$F$5</f>
        <v>0.20755185810470866</v>
      </c>
      <c r="AG67" s="1113">
        <f>SUM($B$9:B67)/($J$1-$B$4)*100</f>
        <v>5.3088211498487681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0.20755185810470866</v>
      </c>
      <c r="AG68" s="1113">
        <f>SUM($B$9:B68)/($J$1-$B$4)*100</f>
        <v>5.3088211498487681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0.20755185810470866</v>
      </c>
      <c r="AG69" s="1113">
        <f>SUM($B$9:B69)/($J$1-$B$4)*100</f>
        <v>5.3088211498487681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0.20755185810470866</v>
      </c>
      <c r="AG70" s="1113">
        <f>SUM($B$9:B70)/($J$1-$B$4)*100</f>
        <v>5.3088211498487681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0.20755185810470866</v>
      </c>
      <c r="AG71" s="1113">
        <f>SUM($B$9:B71)/($J$1-$B$4)*100</f>
        <v>5.3088211498487681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0.20755185810470866</v>
      </c>
      <c r="AG72" s="1113">
        <f>SUM($B$9:B72)/($J$1-$B$4)*100</f>
        <v>5.3088211498487681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>
        <v>44562</v>
      </c>
      <c r="AA73" s="1199" t="s">
        <v>1541</v>
      </c>
      <c r="AB73" s="73">
        <v>74.150000000000006</v>
      </c>
      <c r="AC73" s="894"/>
      <c r="AD73" s="1199"/>
      <c r="AE73" s="73"/>
      <c r="AF73" s="1112">
        <f t="shared" ca="1" si="2"/>
        <v>0.20755185810470866</v>
      </c>
      <c r="AG73" s="1113">
        <f>SUM($B$9:B73)/($J$1-$B$4)*100</f>
        <v>5.3088211498487681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0.20755185810470866</v>
      </c>
      <c r="AG74" s="1113">
        <f>SUM($B$9:B74)/($J$1-$B$4)*100</f>
        <v>5.3088211498487681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1609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0.20755185810470866</v>
      </c>
      <c r="AG75" s="1113">
        <f>SUM($B$9:B75)/($J$1-$B$4)*100</f>
        <v>5.3088211498487681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1609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0.20755185810470866</v>
      </c>
      <c r="AG76" s="1113">
        <f>SUM($B$9:B76)/($J$1-$B$4)*100</f>
        <v>5.3088211498487681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1609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0.20755185810470866</v>
      </c>
      <c r="AG77" s="1113">
        <f>SUM($B$9:B77)/($J$1-$B$4)*100</f>
        <v>5.3088211498487681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1609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0.20755185810470866</v>
      </c>
      <c r="AG78" s="1113">
        <f>SUM($B$9:B78)/($J$1-$B$4)*100</f>
        <v>5.3088211498487681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161"/>
      <c r="H79" s="831"/>
      <c r="I79" s="835"/>
      <c r="J79" s="234"/>
      <c r="K79" s="73"/>
      <c r="L79" s="1609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0.20755185810470866</v>
      </c>
      <c r="AG79" s="1113">
        <f>SUM($B$9:B79)/($J$1-$B$4)*100</f>
        <v>5.3088211498487681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1609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0.20755185810470866</v>
      </c>
      <c r="AG80" s="1113">
        <f>SUM($B$9:B80)/($J$1-$B$4)*100</f>
        <v>5.3088211498487681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1609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0.20755185810470866</v>
      </c>
      <c r="AG81" s="1113">
        <f>SUM($B$9:B81)/($J$1-$B$4)*100</f>
        <v>5.3088211498487681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1609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0.20755185810470866</v>
      </c>
      <c r="AG82" s="1113">
        <f>SUM($B$9:B82)/($J$1-$B$4)*100</f>
        <v>5.3088211498487681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1609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0.20755185810470866</v>
      </c>
      <c r="AG83" s="1113">
        <f>SUM($B$9:B83)/($J$1-$B$4)*100</f>
        <v>5.3088211498487681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1609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0.20755185810470866</v>
      </c>
      <c r="AG84" s="1113">
        <f>SUM($B$9:B84)/($J$1-$B$4)*100</f>
        <v>5.3088211498487681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1609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0.20755185810470866</v>
      </c>
      <c r="AG85" s="1113">
        <f>SUM($B$9:B85)/($J$1-$B$4)*100</f>
        <v>5.3088211498487681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1609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0.20755185810470866</v>
      </c>
      <c r="AG86" s="1113">
        <f>SUM($B$9:B86)/($J$1-$B$4)*100</f>
        <v>5.3088211498487681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1609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0.20755185810470866</v>
      </c>
      <c r="AG87" s="1113">
        <f>SUM($B$9:B87)/($J$1-$B$4)*100</f>
        <v>5.3088211498487681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1609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0.20755185810470866</v>
      </c>
      <c r="AG88" s="1113">
        <f>SUM($B$9:B88)/($J$1-$B$4)*100</f>
        <v>5.3088211498487681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1609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0.20755185810470866</v>
      </c>
      <c r="AG89" s="1113">
        <f>SUM($B$9:B89)/($J$1-$B$4)*100</f>
        <v>5.3088211498487681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1609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0.20755185810470866</v>
      </c>
      <c r="AG90" s="1113">
        <f>SUM($B$9:B90)/($J$1-$B$4)*100</f>
        <v>5.3088211498487681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1609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0.20755185810470866</v>
      </c>
      <c r="AG91" s="1113">
        <f>SUM($B$9:B91)/($J$1-$B$4)*100</f>
        <v>5.3088211498487681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1609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0.20755185810470866</v>
      </c>
      <c r="AG92" s="1113">
        <f>SUM($B$9:B92)/($J$1-$B$4)*100</f>
        <v>5.3088211498487681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1609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0.20755185810470866</v>
      </c>
      <c r="AG93" s="1113">
        <f>SUM($B$9:B93)/($J$1-$B$4)*100</f>
        <v>5.3088211498487681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1609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0.20755185810470866</v>
      </c>
      <c r="AG94" s="1113">
        <f>SUM($B$9:B94)/($J$1-$B$4)*100</f>
        <v>5.3088211498487681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1609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0.20755185810470866</v>
      </c>
      <c r="AG95" s="1113">
        <f>SUM($B$9:B95)/($J$1-$B$4)*100</f>
        <v>5.3088211498487681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1609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0.20755185810470866</v>
      </c>
      <c r="AG96" s="1113">
        <f>SUM($B$9:B96)/($J$1-$B$4)*100</f>
        <v>5.3088211498487681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896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0.16927904253569584</v>
      </c>
      <c r="AG98" s="1109">
        <f>AVERAGE(AG9:AG97)</f>
        <v>5.4149390283575354</v>
      </c>
      <c r="AH98" s="1228">
        <f ca="1">SUMIFS($AH$9:$AH$97,$A$9:$A$97,"&gt;="&amp;$C99,$A$9:$A$97,"&lt;="&amp;$D99)</f>
        <v>891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1.9761155314176966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1.7685636733129879</v>
      </c>
      <c r="J99" s="1303">
        <f ca="1">(F99/F5)-1</f>
        <v>8.5210688522034737</v>
      </c>
      <c r="K99" s="2253">
        <f ca="1">((D99-C99)/(365.25/12)*F3)+C102+F102+I102+K102+M102+O102+Q102+S102+AE106</f>
        <v>4762.800253164557</v>
      </c>
      <c r="L99" s="2253"/>
      <c r="M99" s="1472" t="s">
        <v>1135</v>
      </c>
      <c r="N99" s="1470"/>
      <c r="O99" s="1471"/>
      <c r="P99" s="1189">
        <f ca="1">K99/AH98</f>
        <v>5.3454548295898512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7.2</v>
      </c>
      <c r="AH99" s="1226">
        <f>AVERAGE(AH9:AH97)</f>
        <v>1322.3148148148148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8.8260381593714937E-2</v>
      </c>
      <c r="D100" s="2252" t="s">
        <v>879</v>
      </c>
      <c r="E100" s="2246"/>
      <c r="F100" s="1180">
        <f ca="1">F102/$AH$98</f>
        <v>0.50358024691358028</v>
      </c>
      <c r="G100" s="2252" t="s">
        <v>881</v>
      </c>
      <c r="H100" s="2246"/>
      <c r="I100" s="1180">
        <f ca="1">I102/$AH$98</f>
        <v>0</v>
      </c>
      <c r="J100" s="1181" t="s">
        <v>898</v>
      </c>
      <c r="K100" s="1180">
        <f ca="1">K102/$AH$98</f>
        <v>0</v>
      </c>
      <c r="L100" s="1181" t="s">
        <v>883</v>
      </c>
      <c r="M100" s="1379">
        <f ca="1">M102/$AH$98</f>
        <v>0.24511784511784521</v>
      </c>
      <c r="N100" s="1181" t="s">
        <v>908</v>
      </c>
      <c r="O100" s="1180">
        <f ca="1">O102/$AH$98</f>
        <v>0.1122334455667789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0.11234567901234567</v>
      </c>
      <c r="W100" s="2252" t="s">
        <v>912</v>
      </c>
      <c r="X100" s="2246"/>
      <c r="Y100" s="1180">
        <f ca="1">Y102/$AH$98</f>
        <v>8.9786756453423114E-2</v>
      </c>
      <c r="Z100" s="2252" t="s">
        <v>889</v>
      </c>
      <c r="AA100" s="2246"/>
      <c r="AB100" s="1180">
        <f ca="1">AB102/$AH$98</f>
        <v>0.74898989898989887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7.3703703703703702</v>
      </c>
      <c r="C101" s="1183">
        <f ca="1">C100/$F$99</f>
        <v>4.4663573657758533E-2</v>
      </c>
      <c r="D101" s="1184"/>
      <c r="E101" s="1185"/>
      <c r="F101" s="1183">
        <f ca="1">F100/$F$99</f>
        <v>0.25483340366861235</v>
      </c>
      <c r="G101" s="1184"/>
      <c r="H101" s="1185"/>
      <c r="I101" s="1183">
        <f ca="1">I100/$F$99</f>
        <v>0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0.1240402401685461</v>
      </c>
      <c r="N101" s="1184"/>
      <c r="O101" s="1183">
        <f ca="1">O100/$F$99</f>
        <v>5.6794981762154792E-2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5.6851776743916942E-2</v>
      </c>
      <c r="W101" s="1184"/>
      <c r="X101" s="1185"/>
      <c r="Y101" s="1183">
        <f ca="1">Y100/$F$99</f>
        <v>4.5435985409723829E-2</v>
      </c>
      <c r="Z101" s="1184"/>
      <c r="AA101" s="1185"/>
      <c r="AB101" s="1183">
        <f ca="1">AB100/$F$99</f>
        <v>0.37902131078973994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65.67</v>
      </c>
      <c r="C102" s="1197">
        <f ca="1">SUMIFS($C$9:$C$97,$A$9:$A$97,"&gt;="&amp;$C99,$A$9:$A$97,"&lt;="&amp;$D99)</f>
        <v>78.640000000000015</v>
      </c>
      <c r="D102" s="2251" t="s">
        <v>880</v>
      </c>
      <c r="E102" s="2250"/>
      <c r="F102" s="1197">
        <f ca="1">SUMIFS($F$9:$F$97,$D$9:$D$97,"&gt;="&amp;$C99,$D$9:$D$97,"&lt;="&amp;$D99)</f>
        <v>448.69</v>
      </c>
      <c r="G102" s="2251" t="s">
        <v>882</v>
      </c>
      <c r="H102" s="2250"/>
      <c r="I102" s="1197">
        <f ca="1">SUMIFS($I$9:$I$97,$G$9:$G$97,"&gt;="&amp;$C99,$G$9:$G$97,"&lt;="&amp;$D99)</f>
        <v>0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100.1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667.34999999999991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2.3841790836816215E-2</v>
      </c>
      <c r="D103" s="1205" t="s">
        <v>897</v>
      </c>
      <c r="E103" s="1195"/>
      <c r="F103" s="1206">
        <f ca="1">F100-F6</f>
        <v>0.47778726721740017</v>
      </c>
      <c r="G103" s="1204" t="s">
        <v>897</v>
      </c>
      <c r="H103" s="1195"/>
      <c r="I103" s="1203">
        <f ca="1">I100-I6</f>
        <v>-6.2342067744948623E-3</v>
      </c>
      <c r="J103" s="1205" t="s">
        <v>897</v>
      </c>
      <c r="K103" s="1206">
        <f ca="1">K100-K6</f>
        <v>0</v>
      </c>
      <c r="L103" s="1204" t="s">
        <v>897</v>
      </c>
      <c r="M103" s="1203">
        <f ca="1">M100-M6</f>
        <v>0.23711528870468951</v>
      </c>
      <c r="N103" s="1205" t="s">
        <v>897</v>
      </c>
      <c r="O103" s="1206">
        <f ca="1">O100-O6</f>
        <v>0.10977535599399488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0.10789235813333284</v>
      </c>
      <c r="W103" s="1205" t="s">
        <v>897</v>
      </c>
      <c r="X103" s="1195"/>
      <c r="Y103" s="1206">
        <f ca="1">Y100-Y6</f>
        <v>8.7820284795195894E-2</v>
      </c>
      <c r="Z103" s="1205" t="s">
        <v>897</v>
      </c>
      <c r="AA103" s="1195"/>
      <c r="AB103" s="1206">
        <f ca="1">AB100-AB6</f>
        <v>0.73056553440605343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0.95112233445566774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0.48130907294338077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847.44999999999993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x14ac:dyDescent="0.25">
      <c r="A108" s="478">
        <v>43224</v>
      </c>
      <c r="B108" s="6" t="s">
        <v>263</v>
      </c>
      <c r="C108" s="6"/>
      <c r="D108" s="537" t="s">
        <v>352</v>
      </c>
      <c r="E108" s="596">
        <v>98847</v>
      </c>
      <c r="F108" s="751">
        <v>38.14</v>
      </c>
      <c r="G108" s="6" t="s">
        <v>332</v>
      </c>
      <c r="J108" s="1217"/>
      <c r="K108" s="1"/>
      <c r="L108" s="5"/>
      <c r="M108" s="61"/>
      <c r="N108" s="61"/>
      <c r="O108" s="6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</row>
    <row r="109" spans="1:38" x14ac:dyDescent="0.25">
      <c r="A109" s="478">
        <v>43419</v>
      </c>
      <c r="B109" s="6" t="s">
        <v>376</v>
      </c>
      <c r="C109" s="6"/>
      <c r="D109" s="537" t="s">
        <v>453</v>
      </c>
      <c r="E109" s="596">
        <v>117522</v>
      </c>
      <c r="F109" s="751">
        <v>366.35</v>
      </c>
      <c r="G109" s="6" t="s">
        <v>378</v>
      </c>
      <c r="J109" s="1217"/>
      <c r="K109" s="1"/>
      <c r="L109" s="5"/>
      <c r="M109" s="61"/>
      <c r="N109" s="61"/>
      <c r="O109" s="6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  <c r="AK109" s="1"/>
    </row>
    <row r="110" spans="1:38" s="600" customFormat="1" x14ac:dyDescent="0.25">
      <c r="A110" s="827">
        <v>43441</v>
      </c>
      <c r="B110" s="537" t="s">
        <v>469</v>
      </c>
      <c r="C110" s="537"/>
      <c r="D110" s="537" t="s">
        <v>470</v>
      </c>
      <c r="E110" s="596">
        <v>119269</v>
      </c>
      <c r="F110" s="751"/>
      <c r="G110" s="537" t="s">
        <v>471</v>
      </c>
      <c r="J110" s="751"/>
      <c r="L110" s="596"/>
      <c r="M110" s="597"/>
      <c r="N110" s="597"/>
      <c r="O110" s="597"/>
    </row>
    <row r="111" spans="1:38" s="600" customFormat="1" x14ac:dyDescent="0.25">
      <c r="A111" s="827">
        <v>43554</v>
      </c>
      <c r="B111" s="537" t="s">
        <v>385</v>
      </c>
      <c r="C111" s="537"/>
      <c r="D111" s="537" t="s">
        <v>487</v>
      </c>
      <c r="E111" s="596" t="s">
        <v>585</v>
      </c>
      <c r="F111" s="751">
        <v>334.14</v>
      </c>
      <c r="G111" s="537" t="s">
        <v>610</v>
      </c>
      <c r="J111" s="751"/>
      <c r="L111" s="596"/>
      <c r="M111" s="597"/>
      <c r="N111" s="597"/>
      <c r="O111" s="597"/>
    </row>
    <row r="112" spans="1:38" s="7" customFormat="1" x14ac:dyDescent="0.25">
      <c r="A112" s="799">
        <v>43559</v>
      </c>
      <c r="B112" s="750" t="s">
        <v>385</v>
      </c>
      <c r="C112" s="750"/>
      <c r="D112" s="750" t="s">
        <v>617</v>
      </c>
      <c r="E112" s="776">
        <v>124047</v>
      </c>
      <c r="F112" s="918">
        <v>41.95</v>
      </c>
      <c r="G112" s="750" t="s">
        <v>614</v>
      </c>
      <c r="J112" s="918"/>
      <c r="L112" s="776"/>
      <c r="M112" s="909"/>
      <c r="N112" s="909"/>
      <c r="O112" s="909"/>
    </row>
    <row r="113" spans="1:15" s="600" customFormat="1" x14ac:dyDescent="0.25">
      <c r="A113" s="827">
        <v>43679</v>
      </c>
      <c r="B113" s="537" t="s">
        <v>376</v>
      </c>
      <c r="C113" s="537"/>
      <c r="D113" s="537" t="s">
        <v>676</v>
      </c>
      <c r="E113" s="596">
        <v>128234</v>
      </c>
      <c r="F113" s="751">
        <v>418.22</v>
      </c>
      <c r="G113" s="537" t="s">
        <v>677</v>
      </c>
      <c r="J113" s="751"/>
      <c r="L113" s="596"/>
      <c r="M113" s="597"/>
      <c r="N113" s="597"/>
      <c r="O113" s="597"/>
    </row>
    <row r="114" spans="1:15" s="7" customFormat="1" x14ac:dyDescent="0.25">
      <c r="A114" s="799">
        <v>43780</v>
      </c>
      <c r="B114" s="750" t="s">
        <v>376</v>
      </c>
      <c r="C114" s="750"/>
      <c r="D114" s="750" t="s">
        <v>808</v>
      </c>
      <c r="E114" s="776">
        <v>132342</v>
      </c>
      <c r="F114" s="918">
        <v>385.13</v>
      </c>
      <c r="G114" s="750" t="s">
        <v>378</v>
      </c>
      <c r="J114" s="918"/>
      <c r="L114" s="776"/>
      <c r="M114" s="909"/>
      <c r="N114" s="909"/>
      <c r="O114" s="909"/>
    </row>
    <row r="115" spans="1:15" s="7" customFormat="1" x14ac:dyDescent="0.25">
      <c r="A115" s="799">
        <v>43944</v>
      </c>
      <c r="B115" s="750" t="s">
        <v>385</v>
      </c>
      <c r="C115" s="750"/>
      <c r="D115" s="750" t="s">
        <v>1121</v>
      </c>
      <c r="E115" s="776">
        <v>134760</v>
      </c>
      <c r="F115" s="918">
        <v>41.95</v>
      </c>
      <c r="G115" s="750" t="s">
        <v>614</v>
      </c>
      <c r="I115" s="800" t="s">
        <v>1120</v>
      </c>
      <c r="J115" s="918"/>
      <c r="L115" s="776"/>
      <c r="M115" s="909"/>
      <c r="N115" s="909"/>
      <c r="O115" s="909"/>
    </row>
    <row r="116" spans="1:15" s="600" customFormat="1" x14ac:dyDescent="0.25">
      <c r="A116" s="827">
        <v>44546</v>
      </c>
      <c r="B116" s="537" t="s">
        <v>376</v>
      </c>
      <c r="C116" s="537"/>
      <c r="D116" s="537" t="s">
        <v>1495</v>
      </c>
      <c r="E116" s="596">
        <v>136469</v>
      </c>
      <c r="F116" s="751">
        <v>406.74</v>
      </c>
      <c r="G116" s="537" t="s">
        <v>378</v>
      </c>
      <c r="I116" s="828" t="s">
        <v>1496</v>
      </c>
      <c r="J116" s="751"/>
      <c r="L116" s="596"/>
      <c r="M116" s="597"/>
      <c r="N116" s="597"/>
      <c r="O116" s="597"/>
    </row>
  </sheetData>
  <sortState ref="G9:I55">
    <sortCondition ref="G9:G55"/>
  </sortState>
  <mergeCells count="44"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8:AD8"/>
    <mergeCell ref="D100:E100"/>
    <mergeCell ref="G100:H100"/>
    <mergeCell ref="T100:U100"/>
    <mergeCell ref="W100:X100"/>
    <mergeCell ref="Z100:AA100"/>
    <mergeCell ref="K99:L99"/>
    <mergeCell ref="H1:I1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</mergeCells>
  <conditionalFormatting sqref="AM9:AM44 AM97:AM98">
    <cfRule type="cellIs" dxfId="267" priority="3" operator="greaterThan">
      <formula>0</formula>
    </cfRule>
    <cfRule type="cellIs" dxfId="266" priority="4" operator="lessThan">
      <formula>0</formula>
    </cfRule>
  </conditionalFormatting>
  <conditionalFormatting sqref="AF9:AF96">
    <cfRule type="cellIs" dxfId="265" priority="5" operator="lessThan">
      <formula>$AF$98</formula>
    </cfRule>
    <cfRule type="cellIs" dxfId="264" priority="6" operator="greaterThan">
      <formula>$AF$98</formula>
    </cfRule>
  </conditionalFormatting>
  <conditionalFormatting sqref="AG9:AG96">
    <cfRule type="cellIs" dxfId="263" priority="7" operator="equal">
      <formula>$AG$99</formula>
    </cfRule>
    <cfRule type="cellIs" dxfId="262" priority="8" operator="lessThan">
      <formula>$AG$98</formula>
    </cfRule>
    <cfRule type="cellIs" dxfId="261" priority="9" operator="greaterThan">
      <formula>$AG$98</formula>
    </cfRule>
  </conditionalFormatting>
  <conditionalFormatting sqref="AM45:AM96">
    <cfRule type="cellIs" dxfId="260" priority="1" operator="greaterThan">
      <formula>0</formula>
    </cfRule>
    <cfRule type="cellIs" dxfId="259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tabColor rgb="FF92D050"/>
  </sheetPr>
  <dimension ref="A1:AM131"/>
  <sheetViews>
    <sheetView workbookViewId="0">
      <pane xSplit="1" ySplit="8" topLeftCell="S48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6.5" style="51" customWidth="1"/>
    <col min="25" max="25" width="10.375" style="51" customWidth="1"/>
    <col min="26" max="26" width="9.125" style="478" customWidth="1"/>
    <col min="27" max="27" width="16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38" width="9" style="1"/>
    <col min="39" max="39" width="9" style="1" customWidth="1"/>
    <col min="40" max="16384" width="9" style="1"/>
  </cols>
  <sheetData>
    <row r="1" spans="1:39" s="1165" customFormat="1" ht="18.75" customHeight="1" thickTop="1" thickBot="1" x14ac:dyDescent="0.3">
      <c r="A1" s="1166" t="s">
        <v>23</v>
      </c>
      <c r="B1" s="1569" t="s">
        <v>21</v>
      </c>
      <c r="C1" s="1569"/>
      <c r="D1" s="1569"/>
      <c r="E1" s="1569"/>
      <c r="F1" s="1569"/>
      <c r="G1" s="1569"/>
      <c r="H1" s="2243" t="s">
        <v>1163</v>
      </c>
      <c r="I1" s="2244"/>
      <c r="J1" s="1572">
        <v>320493</v>
      </c>
      <c r="K1" s="1573">
        <f>J1-B4</f>
        <v>102392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39451</v>
      </c>
      <c r="C2" s="1251">
        <v>39451</v>
      </c>
      <c r="D2" s="2263" t="s">
        <v>871</v>
      </c>
      <c r="E2" s="2264"/>
      <c r="F2" s="2264"/>
      <c r="G2" s="1168">
        <f ca="1">IF((TODAY()-B2)/365.25&lt;I2,I2,(TODAY()-B2)/365.25)</f>
        <v>14.116358658453114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20000</v>
      </c>
      <c r="C3" s="2264"/>
      <c r="D3" s="1366" t="s">
        <v>874</v>
      </c>
      <c r="E3" s="1169"/>
      <c r="F3" s="1175">
        <f ca="1">B3/G2/12</f>
        <v>118.06633048875096</v>
      </c>
      <c r="G3" s="2267" t="s">
        <v>875</v>
      </c>
      <c r="H3" s="2267"/>
      <c r="I3" s="1367">
        <f ca="1">F3/(F4/((TODAY()-C2)/365.25*12))</f>
        <v>6.2403859054643927E-2</v>
      </c>
      <c r="J3" s="1171">
        <f ca="1">I3/$F$5</f>
        <v>0.30713035284593504</v>
      </c>
      <c r="K3" s="1375">
        <f ca="1">(B3/G2/365.25)/(F4/(TODAY()-C2))</f>
        <v>6.2403859054643934E-2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8.4906047347449009E-3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218101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320493</v>
      </c>
      <c r="G4" s="1172" t="s">
        <v>876</v>
      </c>
      <c r="H4" s="1376"/>
      <c r="I4" s="1377">
        <f>F4-B4</f>
        <v>102392</v>
      </c>
      <c r="J4" s="1378">
        <f ca="1">I3/F99</f>
        <v>0.27574472907191327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4.1787839206772717E-2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0.2031836270052651</v>
      </c>
      <c r="G5" s="1211">
        <f ca="1">J3+C7+F7+I7+K7+M7+O7+Q7+S7+V7+Y7+AB7+AE7</f>
        <v>0.99999999999999989</v>
      </c>
      <c r="H5" s="1380">
        <f>B3+C8+F8+I8+K8+M8+O8+Q8+S8+AE5</f>
        <v>34414.722000000002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869.36999999999989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8.0436850535198084E-2</v>
      </c>
      <c r="D6" s="2252" t="s">
        <v>879</v>
      </c>
      <c r="E6" s="2246"/>
      <c r="F6" s="1180">
        <f>F8/$I$4</f>
        <v>4.109744901945464E-2</v>
      </c>
      <c r="G6" s="2252" t="s">
        <v>881</v>
      </c>
      <c r="H6" s="2254"/>
      <c r="I6" s="1379">
        <f>I8/$I$4</f>
        <v>2.8597937338854596E-3</v>
      </c>
      <c r="J6" s="1184" t="s">
        <v>898</v>
      </c>
      <c r="K6" s="1180">
        <f>K8/$I$4</f>
        <v>1.270333619814048E-3</v>
      </c>
      <c r="L6" s="1181" t="s">
        <v>883</v>
      </c>
      <c r="M6" s="1180">
        <f>M8/$I$4</f>
        <v>5.1597781076646561E-3</v>
      </c>
      <c r="N6" s="1181" t="s">
        <v>908</v>
      </c>
      <c r="O6" s="1180">
        <f>O8/$I$4</f>
        <v>1.464958199859364E-3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3.2709586686459871E-3</v>
      </c>
      <c r="W6" s="2252" t="s">
        <v>912</v>
      </c>
      <c r="X6" s="2246"/>
      <c r="Y6" s="1180">
        <f>Y8/$I$4</f>
        <v>9.9646456754433951E-4</v>
      </c>
      <c r="Z6" s="2255" t="s">
        <v>889</v>
      </c>
      <c r="AA6" s="2256"/>
      <c r="AB6" s="1180">
        <f>AB8/$I$4</f>
        <v>4.2231814985545738E-3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6.5521329791389959</v>
      </c>
      <c r="C7" s="1183">
        <f ca="1">C6/$F$5</f>
        <v>0.39588254093482506</v>
      </c>
      <c r="D7" s="1184"/>
      <c r="E7" s="1185"/>
      <c r="F7" s="1183">
        <f ca="1">F6/$F$5</f>
        <v>0.20226752334916082</v>
      </c>
      <c r="G7" s="1184"/>
      <c r="H7" s="1185"/>
      <c r="I7" s="1183">
        <f ca="1">I6/$F$5</f>
        <v>1.4074922158030743E-2</v>
      </c>
      <c r="J7" s="1243">
        <f>COUNT(J9:J97)</f>
        <v>15</v>
      </c>
      <c r="K7" s="1183">
        <f ca="1">K6/$F$5</f>
        <v>6.2521456011863088E-3</v>
      </c>
      <c r="L7" s="1184"/>
      <c r="M7" s="1183">
        <f ca="1">M6/$F$5</f>
        <v>2.5394654991225993E-2</v>
      </c>
      <c r="N7" s="1184"/>
      <c r="O7" s="1183">
        <f ca="1">O6/$F$5</f>
        <v>7.2100209128632322E-3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1.609853469424102E-2</v>
      </c>
      <c r="W7" s="1184"/>
      <c r="X7" s="1185"/>
      <c r="Y7" s="1183">
        <f ca="1">Y6/$F$5</f>
        <v>4.9042562249295716E-3</v>
      </c>
      <c r="Z7" s="1184"/>
      <c r="AA7" s="1185"/>
      <c r="AB7" s="1183">
        <f ca="1">AB6/$F$5</f>
        <v>2.0785048287602123E-2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6708.8600000000006</v>
      </c>
      <c r="C8" s="1156">
        <f>SUM(C9:C97)</f>
        <v>8236.090000000002</v>
      </c>
      <c r="D8" s="2251" t="s">
        <v>880</v>
      </c>
      <c r="E8" s="2250"/>
      <c r="F8" s="1158">
        <f>SUM(F9:F97)</f>
        <v>4208.0499999999993</v>
      </c>
      <c r="G8" s="2251" t="s">
        <v>882</v>
      </c>
      <c r="H8" s="2250"/>
      <c r="I8" s="1158">
        <f>SUM(I9:I97)</f>
        <v>292.82</v>
      </c>
      <c r="J8" s="1157" t="s">
        <v>899</v>
      </c>
      <c r="K8" s="1158">
        <f>SUM(K9:K97)</f>
        <v>130.072</v>
      </c>
      <c r="L8" s="1157" t="s">
        <v>884</v>
      </c>
      <c r="M8" s="1158">
        <f>SUM(M9:M97)</f>
        <v>528.31999999999948</v>
      </c>
      <c r="N8" s="1157" t="s">
        <v>909</v>
      </c>
      <c r="O8" s="1158">
        <f>SUM(O9:O97)</f>
        <v>150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334.9199999999999</v>
      </c>
      <c r="W8" s="2251" t="s">
        <v>913</v>
      </c>
      <c r="X8" s="2250"/>
      <c r="Y8" s="1158">
        <f>SUM(Y9:Y97)</f>
        <v>102.03</v>
      </c>
      <c r="Z8" s="2251" t="s">
        <v>890</v>
      </c>
      <c r="AA8" s="2250"/>
      <c r="AB8" s="1158">
        <f>SUM(AB9:AB97)</f>
        <v>432.41999999999996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-13.35</v>
      </c>
      <c r="AK8" s="833">
        <f>SUM(AK9:AK97)</f>
        <v>0</v>
      </c>
      <c r="AL8" s="54">
        <f>SUM(C9:C97)/SUM(B9:B97)</f>
        <v>1.2276437427521221</v>
      </c>
    </row>
    <row r="9" spans="1:39" x14ac:dyDescent="0.25">
      <c r="A9" s="64">
        <v>42643</v>
      </c>
      <c r="B9" s="65">
        <v>292.25</v>
      </c>
      <c r="C9" s="66">
        <v>351.23</v>
      </c>
      <c r="D9" s="67">
        <v>42685</v>
      </c>
      <c r="E9" s="68" t="s">
        <v>93</v>
      </c>
      <c r="F9" s="66">
        <v>175.25</v>
      </c>
      <c r="G9" s="1355">
        <v>42716</v>
      </c>
      <c r="H9" s="1356" t="s">
        <v>99</v>
      </c>
      <c r="I9" s="1357">
        <v>21.82</v>
      </c>
      <c r="J9" s="69">
        <v>43164</v>
      </c>
      <c r="K9" s="66">
        <v>6.6</v>
      </c>
      <c r="L9" s="64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20.2</v>
      </c>
      <c r="W9" s="1152"/>
      <c r="X9" s="1198"/>
      <c r="Y9" s="66"/>
      <c r="Z9" s="1152">
        <v>42684</v>
      </c>
      <c r="AA9" s="1198" t="s">
        <v>95</v>
      </c>
      <c r="AB9" s="66">
        <v>72.069999999999993</v>
      </c>
      <c r="AC9" s="1152"/>
      <c r="AD9" s="1198"/>
      <c r="AE9" s="66"/>
      <c r="AF9" s="1118">
        <v>0.08</v>
      </c>
      <c r="AG9" s="1119">
        <v>6.44</v>
      </c>
      <c r="AH9" s="1117"/>
      <c r="AI9" s="237"/>
      <c r="AJ9" s="838"/>
      <c r="AK9" s="839"/>
      <c r="AL9" s="51">
        <f t="shared" ref="AL9:AL72" si="0">C9/B9</f>
        <v>1.2018135158254919</v>
      </c>
      <c r="AM9" s="51">
        <f t="shared" ref="AM9:AM72" si="1">AL9-$AL$8</f>
        <v>-2.5830226926630173E-2</v>
      </c>
    </row>
    <row r="10" spans="1:39" x14ac:dyDescent="0.25">
      <c r="A10" s="71">
        <v>42674</v>
      </c>
      <c r="B10" s="72">
        <v>272.64999999999998</v>
      </c>
      <c r="C10" s="73">
        <v>310.52</v>
      </c>
      <c r="D10" s="345"/>
      <c r="E10" s="346"/>
      <c r="F10" s="347"/>
      <c r="G10" s="1162"/>
      <c r="H10" s="75"/>
      <c r="I10" s="73"/>
      <c r="J10" s="234">
        <v>43187</v>
      </c>
      <c r="K10" s="73">
        <v>6.4</v>
      </c>
      <c r="L10" s="71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0.1</v>
      </c>
      <c r="AG10" s="1113">
        <v>6.41</v>
      </c>
      <c r="AH10" s="1110"/>
      <c r="AI10" s="238"/>
      <c r="AJ10" s="838"/>
      <c r="AK10" s="839"/>
      <c r="AL10" s="51">
        <f t="shared" si="0"/>
        <v>1.1388960205391527</v>
      </c>
      <c r="AM10" s="51">
        <f t="shared" si="1"/>
        <v>-8.8747722212969338E-2</v>
      </c>
    </row>
    <row r="11" spans="1:39" x14ac:dyDescent="0.25">
      <c r="A11" s="71">
        <v>42704</v>
      </c>
      <c r="B11" s="72">
        <v>184.37</v>
      </c>
      <c r="C11" s="73">
        <v>201.31</v>
      </c>
      <c r="D11" s="345"/>
      <c r="E11" s="346"/>
      <c r="F11" s="347"/>
      <c r="G11" s="147"/>
      <c r="H11" s="75"/>
      <c r="I11" s="73"/>
      <c r="J11" s="234">
        <v>43217</v>
      </c>
      <c r="K11" s="73">
        <v>6.6</v>
      </c>
      <c r="L11" s="71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0.1</v>
      </c>
      <c r="AG11" s="1113">
        <v>6.41</v>
      </c>
      <c r="AH11" s="1110"/>
      <c r="AI11" s="238"/>
      <c r="AJ11" s="838"/>
      <c r="AK11" s="839"/>
      <c r="AL11" s="51">
        <f t="shared" si="0"/>
        <v>1.091880457775126</v>
      </c>
      <c r="AM11" s="51">
        <f t="shared" si="1"/>
        <v>-0.13576328497699608</v>
      </c>
    </row>
    <row r="12" spans="1:39" x14ac:dyDescent="0.25">
      <c r="A12" s="71">
        <v>42735</v>
      </c>
      <c r="B12" s="72">
        <v>322.12</v>
      </c>
      <c r="C12" s="73">
        <v>363.33</v>
      </c>
      <c r="D12" s="147"/>
      <c r="E12" s="75"/>
      <c r="F12" s="73"/>
      <c r="G12" s="1162"/>
      <c r="H12" s="75"/>
      <c r="I12" s="73"/>
      <c r="J12" s="234">
        <v>43221</v>
      </c>
      <c r="K12" s="73">
        <v>5.4959999999999996</v>
      </c>
      <c r="L12" s="71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0.09</v>
      </c>
      <c r="AG12" s="1113">
        <v>6.38</v>
      </c>
      <c r="AH12" s="1110"/>
      <c r="AI12" s="238"/>
      <c r="AJ12" s="838"/>
      <c r="AK12" s="839"/>
      <c r="AL12" s="51">
        <f t="shared" si="0"/>
        <v>1.1279336893083323</v>
      </c>
      <c r="AM12" s="51">
        <f t="shared" si="1"/>
        <v>-9.9710053443789803E-2</v>
      </c>
    </row>
    <row r="13" spans="1:39" x14ac:dyDescent="0.25">
      <c r="A13" s="71">
        <v>42766</v>
      </c>
      <c r="B13" s="72">
        <v>132.97999999999999</v>
      </c>
      <c r="C13" s="73">
        <v>153.69</v>
      </c>
      <c r="D13" s="147">
        <v>43054</v>
      </c>
      <c r="E13" s="75" t="s">
        <v>178</v>
      </c>
      <c r="F13" s="73">
        <v>924.6</v>
      </c>
      <c r="G13" s="147">
        <v>42815</v>
      </c>
      <c r="H13" s="75" t="s">
        <v>132</v>
      </c>
      <c r="I13" s="73">
        <v>16.62</v>
      </c>
      <c r="J13" s="234">
        <v>43312</v>
      </c>
      <c r="K13" s="73">
        <v>5.4959999999999996</v>
      </c>
      <c r="L13" s="71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20.2</v>
      </c>
      <c r="W13" s="894"/>
      <c r="X13" s="1199"/>
      <c r="Y13" s="73"/>
      <c r="Z13" s="147">
        <v>42736</v>
      </c>
      <c r="AA13" s="75"/>
      <c r="AB13" s="73">
        <v>72.069999999999993</v>
      </c>
      <c r="AC13" s="894"/>
      <c r="AD13" s="1199"/>
      <c r="AE13" s="73"/>
      <c r="AF13" s="1112">
        <v>0.09</v>
      </c>
      <c r="AG13" s="1113">
        <v>6.45</v>
      </c>
      <c r="AH13" s="1110">
        <v>1880</v>
      </c>
      <c r="AI13" s="238">
        <v>40.159999999999997</v>
      </c>
      <c r="AJ13" s="838"/>
      <c r="AK13" s="839"/>
      <c r="AL13" s="51">
        <f t="shared" si="0"/>
        <v>1.1557377049180328</v>
      </c>
      <c r="AM13" s="51">
        <f t="shared" si="1"/>
        <v>-7.190603783408922E-2</v>
      </c>
    </row>
    <row r="14" spans="1:39" x14ac:dyDescent="0.25">
      <c r="A14" s="71">
        <v>42794</v>
      </c>
      <c r="B14" s="72">
        <v>4.4800000000000004</v>
      </c>
      <c r="C14" s="73">
        <v>5.18</v>
      </c>
      <c r="D14" s="147">
        <v>43070</v>
      </c>
      <c r="E14" s="75" t="s">
        <v>183</v>
      </c>
      <c r="F14" s="73">
        <v>105.74</v>
      </c>
      <c r="G14" s="1162">
        <v>43070</v>
      </c>
      <c r="H14" s="75" t="s">
        <v>183</v>
      </c>
      <c r="I14" s="73">
        <v>105.74</v>
      </c>
      <c r="J14" s="234">
        <v>43343</v>
      </c>
      <c r="K14" s="73">
        <v>5.4959999999999996</v>
      </c>
      <c r="L14" s="71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20.2</v>
      </c>
      <c r="W14" s="894"/>
      <c r="X14" s="1199"/>
      <c r="Y14" s="73"/>
      <c r="Z14" s="894">
        <v>42809</v>
      </c>
      <c r="AA14" s="1199"/>
      <c r="AB14" s="73">
        <v>72.069999999999993</v>
      </c>
      <c r="AC14" s="894"/>
      <c r="AD14" s="1199"/>
      <c r="AE14" s="73"/>
      <c r="AF14" s="1112">
        <v>0.09</v>
      </c>
      <c r="AG14" s="1113">
        <v>6.46</v>
      </c>
      <c r="AH14" s="1110">
        <v>54</v>
      </c>
      <c r="AI14" s="238">
        <v>35.68</v>
      </c>
      <c r="AJ14" s="838"/>
      <c r="AK14" s="839"/>
      <c r="AL14" s="51">
        <f t="shared" si="0"/>
        <v>1.1562499999999998</v>
      </c>
      <c r="AM14" s="51">
        <f t="shared" si="1"/>
        <v>-7.1393742752122291E-2</v>
      </c>
    </row>
    <row r="15" spans="1:39" x14ac:dyDescent="0.25">
      <c r="A15" s="71">
        <v>42825</v>
      </c>
      <c r="B15" s="72">
        <v>231.55</v>
      </c>
      <c r="C15" s="73">
        <v>273.05</v>
      </c>
      <c r="D15" s="147"/>
      <c r="E15" s="75"/>
      <c r="F15" s="73"/>
      <c r="G15" s="147"/>
      <c r="H15" s="75"/>
      <c r="I15" s="73"/>
      <c r="J15" s="234">
        <v>43404</v>
      </c>
      <c r="K15" s="73">
        <v>10.991999999999999</v>
      </c>
      <c r="L15" s="71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20.2</v>
      </c>
      <c r="W15" s="894"/>
      <c r="X15" s="1199"/>
      <c r="Y15" s="73"/>
      <c r="Z15" s="147">
        <v>42901</v>
      </c>
      <c r="AA15" s="75"/>
      <c r="AB15" s="73">
        <v>72.069999999999993</v>
      </c>
      <c r="AC15" s="894"/>
      <c r="AD15" s="1199"/>
      <c r="AE15" s="73"/>
      <c r="AF15" s="1112">
        <v>0.09</v>
      </c>
      <c r="AG15" s="1113">
        <v>6.55</v>
      </c>
      <c r="AH15" s="1110">
        <v>3267</v>
      </c>
      <c r="AI15" s="238">
        <v>55.33</v>
      </c>
      <c r="AJ15" s="838"/>
      <c r="AK15" s="839"/>
      <c r="AL15" s="51">
        <f t="shared" si="0"/>
        <v>1.1792269488231484</v>
      </c>
      <c r="AM15" s="51">
        <f t="shared" si="1"/>
        <v>-4.8416793928973689E-2</v>
      </c>
    </row>
    <row r="16" spans="1:39" x14ac:dyDescent="0.25">
      <c r="A16" s="71">
        <v>42855</v>
      </c>
      <c r="B16" s="72">
        <v>303.24</v>
      </c>
      <c r="C16" s="73">
        <v>352.46</v>
      </c>
      <c r="D16" s="147"/>
      <c r="E16" s="75"/>
      <c r="F16" s="73"/>
      <c r="G16" s="147"/>
      <c r="H16" s="75"/>
      <c r="I16" s="73"/>
      <c r="J16" s="836">
        <v>43434</v>
      </c>
      <c r="K16" s="835">
        <v>10.991999999999999</v>
      </c>
      <c r="L16" s="83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20.2</v>
      </c>
      <c r="W16" s="1153"/>
      <c r="X16" s="1200"/>
      <c r="Y16" s="835"/>
      <c r="Z16" s="894">
        <v>43008</v>
      </c>
      <c r="AA16" s="1199"/>
      <c r="AB16" s="73">
        <v>72.069999999999993</v>
      </c>
      <c r="AC16" s="1153"/>
      <c r="AD16" s="1200"/>
      <c r="AE16" s="835"/>
      <c r="AF16" s="1112">
        <v>0.09</v>
      </c>
      <c r="AG16" s="1113">
        <v>6.63</v>
      </c>
      <c r="AH16" s="1110">
        <v>4325</v>
      </c>
      <c r="AI16" s="238">
        <v>50.1</v>
      </c>
      <c r="AJ16" s="838"/>
      <c r="AK16" s="839"/>
      <c r="AL16" s="51">
        <f t="shared" si="0"/>
        <v>1.1623136789341775</v>
      </c>
      <c r="AM16" s="51">
        <f t="shared" si="1"/>
        <v>-6.5330063817944595E-2</v>
      </c>
    </row>
    <row r="17" spans="1:39" x14ac:dyDescent="0.25">
      <c r="A17" s="71">
        <v>42886</v>
      </c>
      <c r="B17" s="72">
        <v>259.08999999999997</v>
      </c>
      <c r="C17" s="73">
        <v>290.3</v>
      </c>
      <c r="D17" s="147"/>
      <c r="E17" s="75"/>
      <c r="F17" s="73"/>
      <c r="G17" s="1162"/>
      <c r="H17" s="75"/>
      <c r="I17" s="73"/>
      <c r="J17" s="234">
        <v>43465</v>
      </c>
      <c r="K17" s="73">
        <v>5.4959999999999996</v>
      </c>
      <c r="L17" s="71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0.09</v>
      </c>
      <c r="AG17" s="1113">
        <v>6.67</v>
      </c>
      <c r="AH17" s="1110">
        <v>3700</v>
      </c>
      <c r="AI17" s="238">
        <v>30.01</v>
      </c>
      <c r="AJ17" s="838"/>
      <c r="AK17" s="839"/>
      <c r="AL17" s="51">
        <f t="shared" si="0"/>
        <v>1.1204600717897257</v>
      </c>
      <c r="AM17" s="51">
        <f t="shared" si="1"/>
        <v>-0.10718367096239634</v>
      </c>
    </row>
    <row r="18" spans="1:39" x14ac:dyDescent="0.25">
      <c r="A18" s="71">
        <v>42916</v>
      </c>
      <c r="B18" s="72">
        <v>212.74</v>
      </c>
      <c r="C18" s="73">
        <v>231.45</v>
      </c>
      <c r="D18" s="147"/>
      <c r="E18" s="75"/>
      <c r="F18" s="73"/>
      <c r="G18" s="147"/>
      <c r="H18" s="75"/>
      <c r="I18" s="73"/>
      <c r="J18" s="431">
        <v>43585</v>
      </c>
      <c r="K18" s="347">
        <v>5.4959999999999996</v>
      </c>
      <c r="L18" s="1160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0.09</v>
      </c>
      <c r="AG18" s="1113">
        <v>6.7</v>
      </c>
      <c r="AH18" s="1110">
        <v>3043</v>
      </c>
      <c r="AI18" s="238">
        <v>36.64</v>
      </c>
      <c r="AJ18" s="838"/>
      <c r="AK18" s="839"/>
      <c r="AL18" s="51">
        <f t="shared" si="0"/>
        <v>1.087947729623014</v>
      </c>
      <c r="AM18" s="51">
        <f t="shared" si="1"/>
        <v>-0.13969601312910807</v>
      </c>
    </row>
    <row r="19" spans="1:39" x14ac:dyDescent="0.25">
      <c r="A19" s="71">
        <v>42947</v>
      </c>
      <c r="B19" s="72">
        <v>62.26</v>
      </c>
      <c r="C19" s="73">
        <v>66.739999999999995</v>
      </c>
      <c r="D19" s="147"/>
      <c r="E19" s="75"/>
      <c r="F19" s="73"/>
      <c r="G19" s="147"/>
      <c r="H19" s="75"/>
      <c r="I19" s="73"/>
      <c r="J19" s="234">
        <v>43616</v>
      </c>
      <c r="K19" s="73">
        <v>10.991999999999999</v>
      </c>
      <c r="L19" s="71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0.09</v>
      </c>
      <c r="AG19" s="1113">
        <v>6.71</v>
      </c>
      <c r="AH19" s="1110">
        <v>879</v>
      </c>
      <c r="AI19" s="238">
        <v>54.38</v>
      </c>
      <c r="AJ19" s="838"/>
      <c r="AK19" s="839"/>
      <c r="AL19" s="51">
        <f t="shared" si="0"/>
        <v>1.0719563122389977</v>
      </c>
      <c r="AM19" s="51">
        <f t="shared" si="1"/>
        <v>-0.15568743051312439</v>
      </c>
    </row>
    <row r="20" spans="1:39" x14ac:dyDescent="0.25">
      <c r="A20" s="71">
        <v>42978</v>
      </c>
      <c r="B20" s="72">
        <v>88.2</v>
      </c>
      <c r="C20" s="73">
        <v>95.28</v>
      </c>
      <c r="D20" s="147"/>
      <c r="E20" s="75"/>
      <c r="F20" s="73"/>
      <c r="G20" s="147"/>
      <c r="H20" s="75"/>
      <c r="I20" s="73"/>
      <c r="J20" s="234">
        <v>43677</v>
      </c>
      <c r="K20" s="73">
        <v>13.007999999999999</v>
      </c>
      <c r="L20" s="71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0.09</v>
      </c>
      <c r="AG20" s="1113">
        <v>6.73</v>
      </c>
      <c r="AH20" s="1110">
        <v>1244</v>
      </c>
      <c r="AI20" s="238">
        <v>50.18</v>
      </c>
      <c r="AJ20" s="838"/>
      <c r="AK20" s="839"/>
      <c r="AL20" s="51">
        <f t="shared" si="0"/>
        <v>1.0802721088435374</v>
      </c>
      <c r="AM20" s="51">
        <f t="shared" si="1"/>
        <v>-0.14737163390858465</v>
      </c>
    </row>
    <row r="21" spans="1:39" x14ac:dyDescent="0.25">
      <c r="A21" s="71">
        <v>43008</v>
      </c>
      <c r="B21" s="72">
        <v>117.44</v>
      </c>
      <c r="C21" s="73">
        <v>129.57</v>
      </c>
      <c r="D21" s="147"/>
      <c r="E21" s="75"/>
      <c r="F21" s="73"/>
      <c r="G21" s="147"/>
      <c r="H21" s="75"/>
      <c r="I21" s="73"/>
      <c r="J21" s="234">
        <v>43708</v>
      </c>
      <c r="K21" s="73">
        <v>6.5039999999999996</v>
      </c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0.09</v>
      </c>
      <c r="AG21" s="1113">
        <v>6.75</v>
      </c>
      <c r="AH21" s="1110">
        <v>1614</v>
      </c>
      <c r="AI21" s="238">
        <v>30.74</v>
      </c>
      <c r="AJ21" s="838"/>
      <c r="AK21" s="839"/>
      <c r="AL21" s="51">
        <f t="shared" si="0"/>
        <v>1.1032867847411443</v>
      </c>
      <c r="AM21" s="51">
        <f t="shared" si="1"/>
        <v>-0.12435695801097779</v>
      </c>
    </row>
    <row r="22" spans="1:39" x14ac:dyDescent="0.25">
      <c r="A22" s="71">
        <v>43039</v>
      </c>
      <c r="B22" s="72">
        <v>186.39</v>
      </c>
      <c r="C22" s="73">
        <v>215.66</v>
      </c>
      <c r="D22" s="147"/>
      <c r="E22" s="75"/>
      <c r="F22" s="73"/>
      <c r="G22" s="147"/>
      <c r="H22" s="75"/>
      <c r="I22" s="73"/>
      <c r="J22" s="234">
        <v>43769</v>
      </c>
      <c r="K22" s="73">
        <v>13.007999999999999</v>
      </c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0.11</v>
      </c>
      <c r="AG22" s="1113">
        <v>6.78</v>
      </c>
      <c r="AH22" s="1110">
        <v>2611</v>
      </c>
      <c r="AI22" s="238">
        <v>55</v>
      </c>
      <c r="AJ22" s="838">
        <v>-13.35</v>
      </c>
      <c r="AK22" s="839"/>
      <c r="AL22" s="51">
        <f t="shared" si="0"/>
        <v>1.157036321691078</v>
      </c>
      <c r="AM22" s="51">
        <f t="shared" si="1"/>
        <v>-7.0607421061044118E-2</v>
      </c>
    </row>
    <row r="23" spans="1:39" x14ac:dyDescent="0.25">
      <c r="A23" s="71">
        <v>43069</v>
      </c>
      <c r="B23" s="72">
        <v>394.14</v>
      </c>
      <c r="C23" s="73">
        <v>501.55</v>
      </c>
      <c r="D23" s="147"/>
      <c r="E23" s="75"/>
      <c r="F23" s="73"/>
      <c r="G23" s="147"/>
      <c r="H23" s="75"/>
      <c r="I23" s="73"/>
      <c r="J23" s="431">
        <v>43799</v>
      </c>
      <c r="K23" s="347">
        <v>6.5039999999999996</v>
      </c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0.19</v>
      </c>
      <c r="AG23" s="1113">
        <v>6.81</v>
      </c>
      <c r="AH23" s="1110">
        <v>5608</v>
      </c>
      <c r="AI23" s="238">
        <v>29.96</v>
      </c>
      <c r="AJ23" s="838"/>
      <c r="AK23" s="839"/>
      <c r="AL23" s="51">
        <f t="shared" si="0"/>
        <v>1.2725173796113056</v>
      </c>
      <c r="AM23" s="51">
        <f t="shared" si="1"/>
        <v>4.4873636859183552E-2</v>
      </c>
    </row>
    <row r="24" spans="1:39" x14ac:dyDescent="0.25">
      <c r="A24" s="71">
        <v>43100</v>
      </c>
      <c r="B24" s="72">
        <v>77.650000000000006</v>
      </c>
      <c r="C24" s="73">
        <v>92.68</v>
      </c>
      <c r="D24" s="147"/>
      <c r="E24" s="75"/>
      <c r="F24" s="73"/>
      <c r="G24" s="147"/>
      <c r="H24" s="75"/>
      <c r="I24" s="73"/>
      <c r="J24" s="234" t="s">
        <v>476</v>
      </c>
      <c r="K24" s="73">
        <v>10.991999999999999</v>
      </c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0.19</v>
      </c>
      <c r="AG24" s="1113">
        <v>6.79</v>
      </c>
      <c r="AH24" s="1110">
        <v>1087</v>
      </c>
      <c r="AI24" s="238">
        <v>41.31</v>
      </c>
      <c r="AJ24" s="838"/>
      <c r="AK24" s="839"/>
      <c r="AL24" s="51">
        <f t="shared" si="0"/>
        <v>1.1935608499678043</v>
      </c>
      <c r="AM24" s="51">
        <f t="shared" si="1"/>
        <v>-3.4082892784317753E-2</v>
      </c>
    </row>
    <row r="25" spans="1:39" x14ac:dyDescent="0.25">
      <c r="A25" s="71">
        <v>43131</v>
      </c>
      <c r="B25" s="72">
        <v>50.25</v>
      </c>
      <c r="C25" s="73">
        <v>64.040000000000006</v>
      </c>
      <c r="D25" s="528">
        <v>43112</v>
      </c>
      <c r="E25" s="516" t="s">
        <v>196</v>
      </c>
      <c r="F25" s="380">
        <v>182.22</v>
      </c>
      <c r="G25" s="147">
        <v>43129</v>
      </c>
      <c r="H25" s="75" t="s">
        <v>212</v>
      </c>
      <c r="I25" s="73">
        <v>49.5</v>
      </c>
      <c r="J25" s="234"/>
      <c r="K25" s="73"/>
      <c r="L25" s="71"/>
      <c r="M25" s="73"/>
      <c r="N25" s="1153">
        <v>43125</v>
      </c>
      <c r="O25" s="835">
        <v>50</v>
      </c>
      <c r="P25" s="71"/>
      <c r="Q25" s="73"/>
      <c r="R25" s="71"/>
      <c r="S25" s="73"/>
      <c r="T25" s="894">
        <v>43101</v>
      </c>
      <c r="U25" s="1199" t="s">
        <v>953</v>
      </c>
      <c r="V25" s="73">
        <v>20.2</v>
      </c>
      <c r="W25" s="894">
        <v>43251</v>
      </c>
      <c r="X25" s="1199" t="s">
        <v>945</v>
      </c>
      <c r="Y25" s="73">
        <v>40</v>
      </c>
      <c r="Z25" s="894">
        <v>43101</v>
      </c>
      <c r="AA25" s="1199" t="s">
        <v>953</v>
      </c>
      <c r="AB25" s="73">
        <v>72.069999999999993</v>
      </c>
      <c r="AC25" s="894"/>
      <c r="AD25" s="1199"/>
      <c r="AE25" s="73"/>
      <c r="AF25" s="1112">
        <v>0.2</v>
      </c>
      <c r="AG25" s="1113">
        <v>6.83</v>
      </c>
      <c r="AH25" s="1110">
        <v>654</v>
      </c>
      <c r="AI25" s="238">
        <v>35.06</v>
      </c>
      <c r="AJ25" s="838"/>
      <c r="AK25" s="839"/>
      <c r="AL25" s="51">
        <f t="shared" si="0"/>
        <v>1.2744278606965176</v>
      </c>
      <c r="AM25" s="51">
        <f t="shared" si="1"/>
        <v>4.678411794439552E-2</v>
      </c>
    </row>
    <row r="26" spans="1:39" x14ac:dyDescent="0.25">
      <c r="A26" s="71">
        <v>43159</v>
      </c>
      <c r="B26" s="72">
        <v>57.75</v>
      </c>
      <c r="C26" s="73">
        <v>75.91</v>
      </c>
      <c r="D26" s="147">
        <v>43213</v>
      </c>
      <c r="E26" s="75" t="s">
        <v>350</v>
      </c>
      <c r="F26" s="73">
        <v>51.16</v>
      </c>
      <c r="G26" s="147">
        <v>43434</v>
      </c>
      <c r="H26" s="75" t="s">
        <v>510</v>
      </c>
      <c r="I26" s="73">
        <v>13.4</v>
      </c>
      <c r="J26" s="234"/>
      <c r="K26" s="73"/>
      <c r="L26" s="71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20.2</v>
      </c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v>0.2</v>
      </c>
      <c r="AG26" s="1113">
        <v>6.84</v>
      </c>
      <c r="AH26" s="1110">
        <v>774</v>
      </c>
      <c r="AI26" s="238">
        <v>32.11</v>
      </c>
      <c r="AJ26" s="838"/>
      <c r="AK26" s="839"/>
      <c r="AL26" s="51">
        <f t="shared" si="0"/>
        <v>1.3144588744588743</v>
      </c>
      <c r="AM26" s="51">
        <f t="shared" si="1"/>
        <v>8.6815131706752258E-2</v>
      </c>
    </row>
    <row r="27" spans="1:39" x14ac:dyDescent="0.25">
      <c r="A27" s="71">
        <v>43190</v>
      </c>
      <c r="B27" s="72">
        <v>236.82</v>
      </c>
      <c r="C27" s="73">
        <v>306.89999999999998</v>
      </c>
      <c r="D27" s="147">
        <v>43257</v>
      </c>
      <c r="E27" s="75" t="s">
        <v>367</v>
      </c>
      <c r="F27" s="73">
        <v>974.86</v>
      </c>
      <c r="G27" s="147"/>
      <c r="H27" s="75"/>
      <c r="I27" s="73"/>
      <c r="J27" s="234"/>
      <c r="K27" s="73"/>
      <c r="L27" s="71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20.2</v>
      </c>
      <c r="W27" s="945"/>
      <c r="X27" s="1201"/>
      <c r="Y27" s="347"/>
      <c r="Z27" s="894"/>
      <c r="AA27" s="1199"/>
      <c r="AB27" s="73"/>
      <c r="AC27" s="894"/>
      <c r="AD27" s="1199"/>
      <c r="AE27" s="73"/>
      <c r="AF27" s="1112">
        <v>0.2</v>
      </c>
      <c r="AG27" s="1113">
        <v>6.41</v>
      </c>
      <c r="AH27" s="1110">
        <v>3332</v>
      </c>
      <c r="AI27" s="238">
        <v>39.29</v>
      </c>
      <c r="AJ27" s="838"/>
      <c r="AK27" s="839"/>
      <c r="AL27" s="51">
        <f t="shared" si="0"/>
        <v>1.2959209526222446</v>
      </c>
      <c r="AM27" s="51">
        <f t="shared" si="1"/>
        <v>6.8277209870122535E-2</v>
      </c>
    </row>
    <row r="28" spans="1:39" x14ac:dyDescent="0.25">
      <c r="A28" s="71">
        <v>43220</v>
      </c>
      <c r="B28" s="72">
        <v>252.07</v>
      </c>
      <c r="C28" s="73">
        <v>340.28</v>
      </c>
      <c r="D28" s="147">
        <v>43363</v>
      </c>
      <c r="E28" s="75" t="s">
        <v>425</v>
      </c>
      <c r="F28" s="73">
        <v>328.19</v>
      </c>
      <c r="G28" s="147"/>
      <c r="H28" s="75"/>
      <c r="I28" s="73"/>
      <c r="J28" s="234"/>
      <c r="K28" s="73"/>
      <c r="L28" s="71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20.2</v>
      </c>
      <c r="W28" s="894"/>
      <c r="X28" s="1199"/>
      <c r="Y28" s="73"/>
      <c r="Z28" s="894"/>
      <c r="AA28" s="1199"/>
      <c r="AB28" s="73"/>
      <c r="AC28" s="894"/>
      <c r="AD28" s="1199"/>
      <c r="AE28" s="73"/>
      <c r="AF28" s="1112">
        <v>0.19</v>
      </c>
      <c r="AG28" s="1113">
        <v>6.87</v>
      </c>
      <c r="AH28" s="1110">
        <v>3557</v>
      </c>
      <c r="AI28" s="238">
        <v>45.22</v>
      </c>
      <c r="AJ28" s="838"/>
      <c r="AK28" s="839"/>
      <c r="AL28" s="51">
        <f t="shared" si="0"/>
        <v>1.3499424762962668</v>
      </c>
      <c r="AM28" s="51">
        <f t="shared" si="1"/>
        <v>0.12229873354414478</v>
      </c>
    </row>
    <row r="29" spans="1:39" x14ac:dyDescent="0.25">
      <c r="A29" s="71">
        <v>43251</v>
      </c>
      <c r="B29" s="72">
        <v>243.12</v>
      </c>
      <c r="C29" s="73">
        <v>338.03</v>
      </c>
      <c r="D29" s="147">
        <v>43363</v>
      </c>
      <c r="E29" s="75" t="s">
        <v>447</v>
      </c>
      <c r="F29" s="73">
        <v>41.95</v>
      </c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0.21</v>
      </c>
      <c r="AG29" s="1113">
        <v>6.88</v>
      </c>
      <c r="AH29" s="1110">
        <v>3425</v>
      </c>
      <c r="AI29" s="238">
        <v>20.11</v>
      </c>
      <c r="AJ29" s="838"/>
      <c r="AK29" s="839"/>
      <c r="AL29" s="51">
        <f t="shared" si="0"/>
        <v>1.3903833497861138</v>
      </c>
      <c r="AM29" s="51">
        <f t="shared" si="1"/>
        <v>0.16273960703399171</v>
      </c>
    </row>
    <row r="30" spans="1:39" x14ac:dyDescent="0.25">
      <c r="A30" s="71">
        <v>43281</v>
      </c>
      <c r="B30" s="72">
        <v>248.44</v>
      </c>
      <c r="C30" s="73">
        <v>341.28</v>
      </c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0.21</v>
      </c>
      <c r="AG30" s="1113">
        <v>6.9</v>
      </c>
      <c r="AH30" s="1110">
        <v>3494</v>
      </c>
      <c r="AI30" s="238">
        <v>9.67</v>
      </c>
      <c r="AJ30" s="838"/>
      <c r="AK30" s="839"/>
      <c r="AL30" s="51">
        <f t="shared" si="0"/>
        <v>1.3736918370632747</v>
      </c>
      <c r="AM30" s="51">
        <f t="shared" si="1"/>
        <v>0.14604809431115262</v>
      </c>
    </row>
    <row r="31" spans="1:39" x14ac:dyDescent="0.25">
      <c r="A31" s="71">
        <v>43312</v>
      </c>
      <c r="B31" s="72">
        <v>84.51</v>
      </c>
      <c r="C31" s="73">
        <v>119.46</v>
      </c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0.2</v>
      </c>
      <c r="AG31" s="1113">
        <v>6.9</v>
      </c>
      <c r="AH31" s="1110">
        <v>1166</v>
      </c>
      <c r="AI31" s="238">
        <v>36.159999999999997</v>
      </c>
      <c r="AJ31" s="838"/>
      <c r="AK31" s="839"/>
      <c r="AL31" s="51">
        <f t="shared" si="0"/>
        <v>1.4135605253816115</v>
      </c>
      <c r="AM31" s="51">
        <f t="shared" si="1"/>
        <v>0.18591678262948941</v>
      </c>
    </row>
    <row r="32" spans="1:39" x14ac:dyDescent="0.25">
      <c r="A32" s="71">
        <v>43343</v>
      </c>
      <c r="B32" s="72">
        <v>28.97</v>
      </c>
      <c r="C32" s="73">
        <v>40.799999999999997</v>
      </c>
      <c r="D32" s="528"/>
      <c r="E32" s="516"/>
      <c r="F32" s="380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0.2</v>
      </c>
      <c r="AG32" s="1113">
        <v>6.91</v>
      </c>
      <c r="AH32" s="1110">
        <v>373</v>
      </c>
      <c r="AI32" s="238">
        <v>42.19</v>
      </c>
      <c r="AJ32" s="838"/>
      <c r="AK32" s="839"/>
      <c r="AL32" s="51">
        <f t="shared" si="0"/>
        <v>1.4083534691059716</v>
      </c>
      <c r="AM32" s="51">
        <f t="shared" si="1"/>
        <v>0.18070972635384952</v>
      </c>
    </row>
    <row r="33" spans="1:39" x14ac:dyDescent="0.25">
      <c r="A33" s="71">
        <v>43373</v>
      </c>
      <c r="B33" s="72">
        <v>184.28</v>
      </c>
      <c r="C33" s="73">
        <v>256.95999999999998</v>
      </c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0.21</v>
      </c>
      <c r="AG33" s="1113">
        <v>6.92</v>
      </c>
      <c r="AH33" s="1110">
        <v>2547</v>
      </c>
      <c r="AI33" s="238">
        <v>49.91</v>
      </c>
      <c r="AJ33" s="838"/>
      <c r="AK33" s="839"/>
      <c r="AL33" s="51">
        <f t="shared" si="0"/>
        <v>1.3943998263512045</v>
      </c>
      <c r="AM33" s="51">
        <f t="shared" si="1"/>
        <v>0.16675608359908245</v>
      </c>
    </row>
    <row r="34" spans="1:39" x14ac:dyDescent="0.25">
      <c r="A34" s="71">
        <v>43404</v>
      </c>
      <c r="B34" s="72">
        <v>145.63999999999999</v>
      </c>
      <c r="C34" s="73">
        <v>194.49</v>
      </c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0.21</v>
      </c>
      <c r="AG34" s="1113">
        <v>6.92</v>
      </c>
      <c r="AH34" s="1110">
        <v>2069</v>
      </c>
      <c r="AI34" s="238">
        <v>27.27</v>
      </c>
      <c r="AJ34" s="838"/>
      <c r="AK34" s="839"/>
      <c r="AL34" s="51">
        <f t="shared" si="0"/>
        <v>1.3354160944795388</v>
      </c>
      <c r="AM34" s="51">
        <f t="shared" si="1"/>
        <v>0.10777235172741673</v>
      </c>
    </row>
    <row r="35" spans="1:39" x14ac:dyDescent="0.25">
      <c r="A35" s="71">
        <v>43434</v>
      </c>
      <c r="B35" s="72">
        <v>206.65</v>
      </c>
      <c r="C35" s="73">
        <v>267.52</v>
      </c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0.2</v>
      </c>
      <c r="AG35" s="1113">
        <v>6.93</v>
      </c>
      <c r="AH35" s="1110">
        <v>2898</v>
      </c>
      <c r="AI35" s="238">
        <v>38.619999999999997</v>
      </c>
      <c r="AJ35" s="838"/>
      <c r="AK35" s="839"/>
      <c r="AL35" s="51">
        <f t="shared" si="0"/>
        <v>1.2945560125816598</v>
      </c>
      <c r="AM35" s="51">
        <f t="shared" si="1"/>
        <v>6.6912269829537685E-2</v>
      </c>
    </row>
    <row r="36" spans="1:39" x14ac:dyDescent="0.25">
      <c r="A36" s="71">
        <v>43465</v>
      </c>
      <c r="B36" s="72">
        <v>120.71</v>
      </c>
      <c r="C36" s="73">
        <v>150.01</v>
      </c>
      <c r="D36" s="147"/>
      <c r="E36" s="75"/>
      <c r="F36" s="73"/>
      <c r="G36" s="147"/>
      <c r="H36" s="75"/>
      <c r="I36" s="73"/>
      <c r="J36" s="234"/>
      <c r="K36" s="73"/>
      <c r="L36" s="71">
        <v>43480</v>
      </c>
      <c r="M36" s="73">
        <v>335.12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0.2</v>
      </c>
      <c r="AG36" s="1113">
        <v>6.94</v>
      </c>
      <c r="AH36" s="1110">
        <v>1692</v>
      </c>
      <c r="AI36" s="238">
        <v>47.01</v>
      </c>
      <c r="AJ36" s="838"/>
      <c r="AK36" s="839"/>
      <c r="AL36" s="51">
        <f t="shared" si="0"/>
        <v>1.2427305111424074</v>
      </c>
      <c r="AM36" s="51">
        <f t="shared" si="1"/>
        <v>1.5086768390285332E-2</v>
      </c>
    </row>
    <row r="37" spans="1:39" x14ac:dyDescent="0.25">
      <c r="A37" s="71">
        <v>43496</v>
      </c>
      <c r="B37" s="72">
        <v>140.30000000000001</v>
      </c>
      <c r="C37" s="73">
        <v>170.35</v>
      </c>
      <c r="D37" s="147">
        <v>43480</v>
      </c>
      <c r="E37" s="75" t="s">
        <v>508</v>
      </c>
      <c r="F37" s="73">
        <v>37.61</v>
      </c>
      <c r="G37" s="147">
        <v>43690</v>
      </c>
      <c r="H37" s="75" t="s">
        <v>510</v>
      </c>
      <c r="I37" s="73">
        <f>3*4.2</f>
        <v>12.600000000000001</v>
      </c>
      <c r="J37" s="234"/>
      <c r="K37" s="73"/>
      <c r="L37" s="71">
        <v>43480</v>
      </c>
      <c r="M37" s="73">
        <v>8.4</v>
      </c>
      <c r="N37" s="894">
        <v>43475</v>
      </c>
      <c r="O37" s="73">
        <v>50</v>
      </c>
      <c r="P37" s="71"/>
      <c r="Q37" s="73"/>
      <c r="R37" s="71"/>
      <c r="S37" s="73"/>
      <c r="T37" s="894">
        <v>43466</v>
      </c>
      <c r="U37" s="1199" t="s">
        <v>957</v>
      </c>
      <c r="V37" s="73">
        <v>20.2</v>
      </c>
      <c r="W37" s="894">
        <v>43588</v>
      </c>
      <c r="X37" s="1199" t="s">
        <v>923</v>
      </c>
      <c r="Y37" s="73">
        <v>40</v>
      </c>
      <c r="Z37" s="894"/>
      <c r="AA37" s="1199"/>
      <c r="AB37" s="73"/>
      <c r="AC37" s="894"/>
      <c r="AD37" s="1199"/>
      <c r="AE37" s="73"/>
      <c r="AF37" s="1112">
        <v>0.2</v>
      </c>
      <c r="AG37" s="1113">
        <v>6.88</v>
      </c>
      <c r="AH37" s="1110">
        <v>2604</v>
      </c>
      <c r="AI37" s="238">
        <v>52</v>
      </c>
      <c r="AJ37" s="838"/>
      <c r="AK37" s="839"/>
      <c r="AL37" s="51">
        <f t="shared" si="0"/>
        <v>1.2141838916607268</v>
      </c>
      <c r="AM37" s="51">
        <f t="shared" si="1"/>
        <v>-1.3459851091395247E-2</v>
      </c>
    </row>
    <row r="38" spans="1:39" x14ac:dyDescent="0.25">
      <c r="A38" s="71">
        <v>43524</v>
      </c>
      <c r="B38" s="72">
        <v>20.68</v>
      </c>
      <c r="C38" s="73">
        <v>25.32</v>
      </c>
      <c r="D38" s="147">
        <v>43544</v>
      </c>
      <c r="E38" s="75" t="s">
        <v>591</v>
      </c>
      <c r="F38" s="73">
        <v>219.59</v>
      </c>
      <c r="G38" s="147"/>
      <c r="H38" s="75"/>
      <c r="I38" s="73"/>
      <c r="J38" s="234"/>
      <c r="K38" s="73"/>
      <c r="L38" s="71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20.2</v>
      </c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v>0.21</v>
      </c>
      <c r="AG38" s="1113">
        <v>6.88</v>
      </c>
      <c r="AH38" s="1110">
        <v>329</v>
      </c>
      <c r="AI38" s="238">
        <v>52</v>
      </c>
      <c r="AJ38" s="838"/>
      <c r="AK38" s="839"/>
      <c r="AL38" s="51">
        <f t="shared" si="0"/>
        <v>1.2243713733075436</v>
      </c>
      <c r="AM38" s="51">
        <f t="shared" si="1"/>
        <v>-3.2723694445784268E-3</v>
      </c>
    </row>
    <row r="39" spans="1:39" x14ac:dyDescent="0.25">
      <c r="A39" s="71">
        <v>43555</v>
      </c>
      <c r="B39" s="72">
        <v>60.26</v>
      </c>
      <c r="C39" s="73">
        <v>74.489999999999995</v>
      </c>
      <c r="D39" s="147">
        <v>43585</v>
      </c>
      <c r="E39" s="75" t="s">
        <v>622</v>
      </c>
      <c r="F39" s="73">
        <v>592.91</v>
      </c>
      <c r="G39" s="147"/>
      <c r="H39" s="75"/>
      <c r="I39" s="73"/>
      <c r="J39" s="234"/>
      <c r="K39" s="73"/>
      <c r="L39" s="71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20.02</v>
      </c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v>0.21</v>
      </c>
      <c r="AG39" s="1113">
        <v>6.86</v>
      </c>
      <c r="AH39" s="1110">
        <v>1101</v>
      </c>
      <c r="AI39" s="238">
        <v>52</v>
      </c>
      <c r="AJ39" s="838"/>
      <c r="AK39" s="839"/>
      <c r="AL39" s="51">
        <f t="shared" si="0"/>
        <v>1.2361433786923333</v>
      </c>
      <c r="AM39" s="51">
        <f t="shared" si="1"/>
        <v>8.4996359402111921E-3</v>
      </c>
    </row>
    <row r="40" spans="1:39" x14ac:dyDescent="0.25">
      <c r="A40" s="71">
        <v>43585</v>
      </c>
      <c r="B40" s="72">
        <v>177.22</v>
      </c>
      <c r="C40" s="73">
        <v>221.52</v>
      </c>
      <c r="D40" s="147">
        <v>43566</v>
      </c>
      <c r="E40" s="75" t="s">
        <v>659</v>
      </c>
      <c r="F40" s="73">
        <v>41.95</v>
      </c>
      <c r="G40" s="147"/>
      <c r="H40" s="75"/>
      <c r="I40" s="73"/>
      <c r="J40" s="234"/>
      <c r="K40" s="73"/>
      <c r="L40" s="71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20.02</v>
      </c>
      <c r="W40" s="894"/>
      <c r="X40" s="1199"/>
      <c r="Y40" s="73"/>
      <c r="Z40" s="894"/>
      <c r="AA40" s="1199"/>
      <c r="AB40" s="73"/>
      <c r="AC40" s="894"/>
      <c r="AD40" s="1199"/>
      <c r="AE40" s="73"/>
      <c r="AF40" s="1112">
        <v>0.21</v>
      </c>
      <c r="AG40" s="1113">
        <v>6.81</v>
      </c>
      <c r="AH40" s="1110">
        <v>3185</v>
      </c>
      <c r="AI40" s="238">
        <v>52</v>
      </c>
      <c r="AJ40" s="838"/>
      <c r="AK40" s="839"/>
      <c r="AL40" s="51">
        <f t="shared" si="0"/>
        <v>1.2499717864800812</v>
      </c>
      <c r="AM40" s="51">
        <f t="shared" si="1"/>
        <v>2.2328043727959157E-2</v>
      </c>
    </row>
    <row r="41" spans="1:39" x14ac:dyDescent="0.25">
      <c r="A41" s="71">
        <v>43616</v>
      </c>
      <c r="B41" s="72">
        <v>299.89999999999998</v>
      </c>
      <c r="C41" s="73">
        <v>381.94</v>
      </c>
      <c r="D41" s="147">
        <v>43773</v>
      </c>
      <c r="E41" s="75" t="s">
        <v>730</v>
      </c>
      <c r="F41" s="73">
        <v>327.42</v>
      </c>
      <c r="G41" s="147"/>
      <c r="H41" s="75"/>
      <c r="I41" s="73"/>
      <c r="J41" s="234"/>
      <c r="K41" s="73"/>
      <c r="L41" s="71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0.21</v>
      </c>
      <c r="AG41" s="1113">
        <v>6.72</v>
      </c>
      <c r="AH41" s="1110">
        <v>5465</v>
      </c>
      <c r="AI41" s="238">
        <v>52</v>
      </c>
      <c r="AJ41" s="838"/>
      <c r="AK41" s="839"/>
      <c r="AL41" s="51">
        <f t="shared" si="0"/>
        <v>1.2735578526175393</v>
      </c>
      <c r="AM41" s="51">
        <f t="shared" si="1"/>
        <v>4.5914109865417219E-2</v>
      </c>
    </row>
    <row r="42" spans="1:39" x14ac:dyDescent="0.25">
      <c r="A42" s="71">
        <v>43646</v>
      </c>
      <c r="B42" s="72">
        <v>186.78</v>
      </c>
      <c r="C42" s="73">
        <v>229.1</v>
      </c>
      <c r="D42" s="147">
        <v>43811</v>
      </c>
      <c r="E42" s="75" t="s">
        <v>746</v>
      </c>
      <c r="F42" s="73">
        <v>49.5</v>
      </c>
      <c r="G42" s="147"/>
      <c r="H42" s="75"/>
      <c r="I42" s="73"/>
      <c r="J42" s="234"/>
      <c r="K42" s="73"/>
      <c r="L42" s="71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0.2</v>
      </c>
      <c r="AG42" s="1113">
        <v>6.69</v>
      </c>
      <c r="AH42" s="1110">
        <v>3178</v>
      </c>
      <c r="AI42" s="238">
        <v>52</v>
      </c>
      <c r="AJ42" s="838"/>
      <c r="AK42" s="839"/>
      <c r="AL42" s="51">
        <f t="shared" si="0"/>
        <v>1.2265767212763679</v>
      </c>
      <c r="AM42" s="51">
        <f t="shared" si="1"/>
        <v>-1.0670214757542151E-3</v>
      </c>
    </row>
    <row r="43" spans="1:39" x14ac:dyDescent="0.25">
      <c r="A43" s="71">
        <v>43677</v>
      </c>
      <c r="B43" s="72">
        <v>51.2</v>
      </c>
      <c r="C43" s="73">
        <v>62.89</v>
      </c>
      <c r="D43" s="147">
        <v>43766</v>
      </c>
      <c r="E43" s="75" t="s">
        <v>827</v>
      </c>
      <c r="F43" s="73">
        <v>41.95</v>
      </c>
      <c r="G43" s="147"/>
      <c r="H43" s="75"/>
      <c r="I43" s="73"/>
      <c r="J43" s="234"/>
      <c r="K43" s="73"/>
      <c r="L43" s="71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0.2</v>
      </c>
      <c r="AG43" s="1113">
        <v>6.68</v>
      </c>
      <c r="AH43" s="1110">
        <v>900</v>
      </c>
      <c r="AI43" s="238">
        <v>52</v>
      </c>
      <c r="AJ43" s="838"/>
      <c r="AK43" s="839"/>
      <c r="AL43" s="51">
        <f t="shared" si="0"/>
        <v>1.2283203125</v>
      </c>
      <c r="AM43" s="51">
        <f t="shared" si="1"/>
        <v>6.7656974787788648E-4</v>
      </c>
    </row>
    <row r="44" spans="1:39" x14ac:dyDescent="0.25">
      <c r="A44" s="71">
        <v>43708</v>
      </c>
      <c r="B44" s="72">
        <v>16</v>
      </c>
      <c r="C44" s="73">
        <v>19.66</v>
      </c>
      <c r="D44" s="147"/>
      <c r="E44" s="75"/>
      <c r="F44" s="73"/>
      <c r="G44" s="345"/>
      <c r="H44" s="346"/>
      <c r="I44" s="347"/>
      <c r="J44" s="234"/>
      <c r="K44" s="73"/>
      <c r="L44" s="71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0.2</v>
      </c>
      <c r="AG44" s="1113">
        <v>6.69</v>
      </c>
      <c r="AH44" s="1110">
        <v>196</v>
      </c>
      <c r="AI44" s="238">
        <v>36</v>
      </c>
      <c r="AJ44" s="838"/>
      <c r="AK44" s="839"/>
      <c r="AL44" s="51">
        <f t="shared" si="0"/>
        <v>1.22875</v>
      </c>
      <c r="AM44" s="51">
        <f t="shared" si="1"/>
        <v>1.1062572478779398E-3</v>
      </c>
    </row>
    <row r="45" spans="1:39" x14ac:dyDescent="0.25">
      <c r="A45" s="71">
        <v>43738</v>
      </c>
      <c r="B45" s="72">
        <v>57.75</v>
      </c>
      <c r="C45" s="73">
        <v>71.400000000000006</v>
      </c>
      <c r="D45" s="147"/>
      <c r="E45" s="75"/>
      <c r="F45" s="73"/>
      <c r="G45" s="147"/>
      <c r="H45" s="75"/>
      <c r="I45" s="73"/>
      <c r="J45" s="234"/>
      <c r="K45" s="73"/>
      <c r="L45" s="71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0.2</v>
      </c>
      <c r="AG45" s="1113">
        <v>6.68</v>
      </c>
      <c r="AH45" s="1110">
        <v>974</v>
      </c>
      <c r="AI45" s="238">
        <v>52</v>
      </c>
      <c r="AJ45" s="838"/>
      <c r="AK45" s="839"/>
      <c r="AL45" s="51">
        <f t="shared" si="0"/>
        <v>1.2363636363636366</v>
      </c>
      <c r="AM45" s="51">
        <f t="shared" si="1"/>
        <v>8.7198936115144843E-3</v>
      </c>
    </row>
    <row r="46" spans="1:39" x14ac:dyDescent="0.25">
      <c r="A46" s="71">
        <v>43769</v>
      </c>
      <c r="B46" s="72">
        <v>184.77</v>
      </c>
      <c r="C46" s="73">
        <v>229.38</v>
      </c>
      <c r="D46" s="147"/>
      <c r="E46" s="75"/>
      <c r="F46" s="73"/>
      <c r="G46" s="147"/>
      <c r="H46" s="75"/>
      <c r="I46" s="73"/>
      <c r="J46" s="234"/>
      <c r="K46" s="73"/>
      <c r="L46" s="71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0.2</v>
      </c>
      <c r="AG46" s="1113">
        <v>6.64</v>
      </c>
      <c r="AH46" s="1110">
        <v>3265</v>
      </c>
      <c r="AI46" s="238">
        <v>52</v>
      </c>
      <c r="AJ46" s="838"/>
      <c r="AK46" s="839"/>
      <c r="AL46" s="51">
        <f t="shared" si="0"/>
        <v>1.2414352979379768</v>
      </c>
      <c r="AM46" s="51">
        <f t="shared" si="1"/>
        <v>1.3791555185854731E-2</v>
      </c>
    </row>
    <row r="47" spans="1:39" x14ac:dyDescent="0.25">
      <c r="A47" s="71">
        <v>43799</v>
      </c>
      <c r="B47" s="72">
        <v>147.66</v>
      </c>
      <c r="C47" s="73">
        <v>182.89</v>
      </c>
      <c r="D47" s="147"/>
      <c r="E47" s="75"/>
      <c r="F47" s="73"/>
      <c r="G47" s="147"/>
      <c r="H47" s="75"/>
      <c r="I47" s="73"/>
      <c r="J47" s="234"/>
      <c r="K47" s="73"/>
      <c r="L47" s="71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0.2</v>
      </c>
      <c r="AG47" s="1113">
        <v>6.59</v>
      </c>
      <c r="AH47" s="1110">
        <v>2931</v>
      </c>
      <c r="AI47" s="238">
        <v>52</v>
      </c>
      <c r="AJ47" s="838"/>
      <c r="AK47" s="839"/>
      <c r="AL47" s="51">
        <f t="shared" si="0"/>
        <v>1.2385886496004335</v>
      </c>
      <c r="AM47" s="51">
        <f t="shared" si="1"/>
        <v>1.0944906848311398E-2</v>
      </c>
    </row>
    <row r="48" spans="1:39" x14ac:dyDescent="0.25">
      <c r="A48" s="71">
        <v>43830</v>
      </c>
      <c r="B48" s="72">
        <v>99.19</v>
      </c>
      <c r="C48" s="73">
        <v>122.94</v>
      </c>
      <c r="D48" s="147"/>
      <c r="E48" s="75"/>
      <c r="F48" s="73"/>
      <c r="G48" s="147"/>
      <c r="H48" s="75"/>
      <c r="I48" s="73"/>
      <c r="J48" s="234"/>
      <c r="K48" s="73"/>
      <c r="L48" s="71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0.2</v>
      </c>
      <c r="AG48" s="1113">
        <v>6.57</v>
      </c>
      <c r="AH48" s="1110">
        <v>1804</v>
      </c>
      <c r="AI48" s="238">
        <v>51</v>
      </c>
      <c r="AJ48" s="838"/>
      <c r="AK48" s="839"/>
      <c r="AL48" s="51">
        <f t="shared" si="0"/>
        <v>1.2394394596229459</v>
      </c>
      <c r="AM48" s="51">
        <f t="shared" si="1"/>
        <v>1.1795716870823814E-2</v>
      </c>
    </row>
    <row r="49" spans="1:39" x14ac:dyDescent="0.25">
      <c r="A49" s="71">
        <v>43861</v>
      </c>
      <c r="B49" s="72">
        <v>90.92</v>
      </c>
      <c r="C49" s="73">
        <v>112.3</v>
      </c>
      <c r="D49" s="147">
        <v>43921</v>
      </c>
      <c r="E49" s="75" t="s">
        <v>1057</v>
      </c>
      <c r="F49" s="73">
        <v>41.95</v>
      </c>
      <c r="G49" s="147">
        <v>43865</v>
      </c>
      <c r="H49" s="75" t="s">
        <v>510</v>
      </c>
      <c r="I49" s="73">
        <f>17.5+6.9+28.9</f>
        <v>53.3</v>
      </c>
      <c r="J49" s="234"/>
      <c r="K49" s="73"/>
      <c r="L49" s="71">
        <v>43861</v>
      </c>
      <c r="M49" s="73">
        <v>8.4</v>
      </c>
      <c r="N49" s="894">
        <v>43845</v>
      </c>
      <c r="O49" s="73">
        <v>50</v>
      </c>
      <c r="P49" s="71"/>
      <c r="Q49" s="73"/>
      <c r="R49" s="71"/>
      <c r="S49" s="73"/>
      <c r="T49" s="894">
        <v>43808</v>
      </c>
      <c r="U49" s="1199" t="s">
        <v>961</v>
      </c>
      <c r="V49" s="73">
        <v>20.02</v>
      </c>
      <c r="W49" s="894">
        <v>43942</v>
      </c>
      <c r="X49" s="1199" t="s">
        <v>1079</v>
      </c>
      <c r="Y49" s="73">
        <v>40</v>
      </c>
      <c r="Z49" s="894"/>
      <c r="AA49" s="1199"/>
      <c r="AB49" s="73"/>
      <c r="AC49" s="894"/>
      <c r="AD49" s="1199"/>
      <c r="AE49" s="73"/>
      <c r="AF49" s="1112">
        <v>0.2</v>
      </c>
      <c r="AG49" s="1113">
        <v>6.57</v>
      </c>
      <c r="AH49" s="1110">
        <v>1484</v>
      </c>
      <c r="AI49" s="238">
        <v>52</v>
      </c>
      <c r="AJ49" s="838"/>
      <c r="AK49" s="839"/>
      <c r="AL49" s="51">
        <f t="shared" si="0"/>
        <v>1.2351517817861857</v>
      </c>
      <c r="AM49" s="51">
        <f t="shared" si="1"/>
        <v>7.5080390340636072E-3</v>
      </c>
    </row>
    <row r="50" spans="1:39" x14ac:dyDescent="0.25">
      <c r="A50" s="71">
        <v>43890</v>
      </c>
      <c r="B50" s="72">
        <v>111.83</v>
      </c>
      <c r="C50" s="73">
        <v>134.58000000000001</v>
      </c>
      <c r="D50" s="345">
        <v>43973</v>
      </c>
      <c r="E50" s="346" t="s">
        <v>1130</v>
      </c>
      <c r="F50" s="347">
        <v>71.2</v>
      </c>
      <c r="G50" s="147">
        <v>43992</v>
      </c>
      <c r="H50" s="75" t="s">
        <v>510</v>
      </c>
      <c r="I50" s="73">
        <v>19.84</v>
      </c>
      <c r="J50" s="234"/>
      <c r="K50" s="73"/>
      <c r="L50" s="71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20.02</v>
      </c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v>0.2</v>
      </c>
      <c r="AG50" s="1113">
        <v>6.54</v>
      </c>
      <c r="AH50" s="1110">
        <v>2100</v>
      </c>
      <c r="AI50" s="238">
        <v>52</v>
      </c>
      <c r="AJ50" s="838"/>
      <c r="AK50" s="839"/>
      <c r="AL50" s="51">
        <f t="shared" si="0"/>
        <v>1.2034337834212645</v>
      </c>
      <c r="AM50" s="51">
        <f t="shared" si="1"/>
        <v>-2.4209959330857567E-2</v>
      </c>
    </row>
    <row r="51" spans="1:39" x14ac:dyDescent="0.25">
      <c r="A51" s="71">
        <v>43921</v>
      </c>
      <c r="B51" s="72">
        <v>7</v>
      </c>
      <c r="C51" s="73">
        <v>8.42</v>
      </c>
      <c r="D51" s="147"/>
      <c r="E51" s="75"/>
      <c r="F51" s="73"/>
      <c r="G51" s="147"/>
      <c r="H51" s="75"/>
      <c r="I51" s="73"/>
      <c r="J51" s="234"/>
      <c r="K51" s="73"/>
      <c r="L51" s="71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20.02</v>
      </c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v>0.2</v>
      </c>
      <c r="AG51" s="1113">
        <v>6.54</v>
      </c>
      <c r="AH51" s="1110">
        <v>99</v>
      </c>
      <c r="AI51" s="238">
        <v>45</v>
      </c>
      <c r="AJ51" s="838"/>
      <c r="AK51" s="839"/>
      <c r="AL51" s="51">
        <f t="shared" si="0"/>
        <v>1.2028571428571428</v>
      </c>
      <c r="AM51" s="51">
        <f t="shared" si="1"/>
        <v>-2.4786599894979222E-2</v>
      </c>
    </row>
    <row r="52" spans="1:39" x14ac:dyDescent="0.25">
      <c r="A52" s="71">
        <v>43951</v>
      </c>
      <c r="B52" s="72">
        <v>0</v>
      </c>
      <c r="C52" s="73">
        <v>0</v>
      </c>
      <c r="D52" s="147"/>
      <c r="E52" s="75"/>
      <c r="F52" s="73"/>
      <c r="G52" s="147"/>
      <c r="H52" s="75"/>
      <c r="I52" s="73"/>
      <c r="J52" s="234"/>
      <c r="K52" s="73"/>
      <c r="L52" s="71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20.02</v>
      </c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v>0.2</v>
      </c>
      <c r="AG52" s="1113">
        <v>6.54</v>
      </c>
      <c r="AH52" s="1110">
        <v>0</v>
      </c>
      <c r="AI52" s="238">
        <v>45</v>
      </c>
      <c r="AJ52" s="838"/>
      <c r="AK52" s="839"/>
      <c r="AL52" s="51" t="e">
        <f t="shared" si="0"/>
        <v>#DIV/0!</v>
      </c>
      <c r="AM52" s="51" t="e">
        <f t="shared" si="1"/>
        <v>#DIV/0!</v>
      </c>
    </row>
    <row r="53" spans="1:39" x14ac:dyDescent="0.25">
      <c r="A53" s="71">
        <v>43982</v>
      </c>
      <c r="B53" s="72">
        <v>14</v>
      </c>
      <c r="C53" s="73">
        <v>16.850000000000001</v>
      </c>
      <c r="D53" s="147"/>
      <c r="E53" s="75"/>
      <c r="F53" s="73"/>
      <c r="G53" s="147"/>
      <c r="H53" s="75"/>
      <c r="I53" s="73"/>
      <c r="J53" s="234"/>
      <c r="K53" s="73"/>
      <c r="L53" s="71">
        <v>43958</v>
      </c>
      <c r="M53" s="73">
        <v>8.4</v>
      </c>
      <c r="N53" s="894"/>
      <c r="O53" s="73"/>
      <c r="P53" s="71"/>
      <c r="Q53" s="73"/>
      <c r="R53" s="71"/>
      <c r="S53" s="73"/>
      <c r="T53" s="894">
        <v>44172</v>
      </c>
      <c r="U53" s="1199" t="s">
        <v>1478</v>
      </c>
      <c r="V53" s="73">
        <v>-7.4</v>
      </c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0.2</v>
      </c>
      <c r="AG53" s="1113">
        <v>6.55</v>
      </c>
      <c r="AH53" s="1110">
        <v>136</v>
      </c>
      <c r="AI53" s="238">
        <v>31</v>
      </c>
      <c r="AJ53" s="838"/>
      <c r="AK53" s="839"/>
      <c r="AL53" s="51">
        <f t="shared" si="0"/>
        <v>1.2035714285714287</v>
      </c>
      <c r="AM53" s="51">
        <f t="shared" si="1"/>
        <v>-2.4072314180693333E-2</v>
      </c>
    </row>
    <row r="54" spans="1:39" x14ac:dyDescent="0.25">
      <c r="A54" s="71">
        <v>44012</v>
      </c>
      <c r="B54" s="72">
        <v>18.64</v>
      </c>
      <c r="C54" s="73">
        <v>18.899999999999999</v>
      </c>
      <c r="D54" s="147"/>
      <c r="E54" s="75"/>
      <c r="F54" s="73"/>
      <c r="G54" s="147"/>
      <c r="H54" s="75"/>
      <c r="I54" s="73"/>
      <c r="J54" s="234"/>
      <c r="K54" s="73"/>
      <c r="L54" s="71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0.2</v>
      </c>
      <c r="AG54" s="1113">
        <v>6.55</v>
      </c>
      <c r="AH54" s="1110">
        <v>190</v>
      </c>
      <c r="AI54" s="238">
        <v>52</v>
      </c>
      <c r="AJ54" s="838"/>
      <c r="AK54" s="839"/>
      <c r="AL54" s="51">
        <f t="shared" si="0"/>
        <v>1.0139484978540771</v>
      </c>
      <c r="AM54" s="51">
        <f t="shared" si="1"/>
        <v>-0.21369524489804492</v>
      </c>
    </row>
    <row r="55" spans="1:39" x14ac:dyDescent="0.25">
      <c r="A55" s="71">
        <v>44043</v>
      </c>
      <c r="B55" s="72">
        <v>6</v>
      </c>
      <c r="C55" s="73">
        <v>6.09</v>
      </c>
      <c r="D55" s="147"/>
      <c r="E55" s="75"/>
      <c r="F55" s="73"/>
      <c r="G55" s="147"/>
      <c r="H55" s="75"/>
      <c r="I55" s="73"/>
      <c r="J55" s="234"/>
      <c r="K55" s="73"/>
      <c r="L55" s="71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0.2</v>
      </c>
      <c r="AG55" s="1113">
        <v>6.55</v>
      </c>
      <c r="AH55" s="1110">
        <v>68</v>
      </c>
      <c r="AI55" s="238">
        <v>46</v>
      </c>
      <c r="AJ55" s="838"/>
      <c r="AK55" s="839"/>
      <c r="AL55" s="51">
        <f t="shared" si="0"/>
        <v>1.0149999999999999</v>
      </c>
      <c r="AM55" s="51">
        <f t="shared" si="1"/>
        <v>-0.21264374275212217</v>
      </c>
    </row>
    <row r="56" spans="1:39" x14ac:dyDescent="0.25">
      <c r="A56" s="71">
        <v>44074</v>
      </c>
      <c r="B56" s="72">
        <v>14</v>
      </c>
      <c r="C56" s="73">
        <v>14.2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0.2</v>
      </c>
      <c r="AG56" s="1113">
        <v>6.55</v>
      </c>
      <c r="AH56" s="1110">
        <v>128</v>
      </c>
      <c r="AI56" s="238">
        <v>32</v>
      </c>
      <c r="AJ56" s="838"/>
      <c r="AK56" s="839"/>
      <c r="AL56" s="51">
        <f t="shared" si="0"/>
        <v>1.0142857142857142</v>
      </c>
      <c r="AM56" s="51">
        <f t="shared" si="1"/>
        <v>-0.21335802846640783</v>
      </c>
    </row>
    <row r="57" spans="1:39" x14ac:dyDescent="0.25">
      <c r="A57" s="71">
        <v>44104</v>
      </c>
      <c r="B57" s="72">
        <v>13</v>
      </c>
      <c r="C57" s="73">
        <v>13.18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0.2</v>
      </c>
      <c r="AG57" s="1113">
        <v>6.56</v>
      </c>
      <c r="AH57" s="1110">
        <v>134</v>
      </c>
      <c r="AI57" s="238">
        <v>19</v>
      </c>
      <c r="AJ57" s="838"/>
      <c r="AK57" s="839"/>
      <c r="AL57" s="51">
        <f t="shared" si="0"/>
        <v>1.0138461538461538</v>
      </c>
      <c r="AM57" s="51">
        <f t="shared" si="1"/>
        <v>-0.21379758890596823</v>
      </c>
    </row>
    <row r="58" spans="1:39" x14ac:dyDescent="0.25">
      <c r="A58" s="71">
        <v>44135</v>
      </c>
      <c r="B58" s="72">
        <v>5</v>
      </c>
      <c r="C58" s="73">
        <v>5.56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0.2</v>
      </c>
      <c r="AG58" s="1113">
        <v>6.57</v>
      </c>
      <c r="AH58" s="1110">
        <v>41</v>
      </c>
      <c r="AI58" s="238">
        <v>14</v>
      </c>
      <c r="AJ58" s="838"/>
      <c r="AK58" s="839"/>
      <c r="AL58" s="51">
        <f t="shared" si="0"/>
        <v>1.1119999999999999</v>
      </c>
      <c r="AM58" s="51">
        <f t="shared" si="1"/>
        <v>-0.11564374275212219</v>
      </c>
    </row>
    <row r="59" spans="1:39" x14ac:dyDescent="0.25">
      <c r="A59" s="71">
        <v>44165</v>
      </c>
      <c r="B59" s="72">
        <v>0</v>
      </c>
      <c r="C59" s="73">
        <v>0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0.2</v>
      </c>
      <c r="AG59" s="1113">
        <v>6.57</v>
      </c>
      <c r="AH59" s="1110">
        <v>0</v>
      </c>
      <c r="AI59" s="238">
        <v>0</v>
      </c>
      <c r="AJ59" s="838"/>
      <c r="AK59" s="839"/>
      <c r="AL59" s="51" t="e">
        <f t="shared" si="0"/>
        <v>#DIV/0!</v>
      </c>
      <c r="AM59" s="51" t="e">
        <f t="shared" si="1"/>
        <v>#DIV/0!</v>
      </c>
    </row>
    <row r="60" spans="1:39" x14ac:dyDescent="0.25">
      <c r="A60" s="1739">
        <v>44165</v>
      </c>
      <c r="B60" s="1737">
        <v>-14</v>
      </c>
      <c r="C60" s="1738">
        <v>-15.55</v>
      </c>
      <c r="D60" s="1740"/>
      <c r="E60" s="1741" t="s">
        <v>1269</v>
      </c>
      <c r="F60" s="73"/>
      <c r="G60" s="147"/>
      <c r="H60" s="75"/>
      <c r="I60" s="73"/>
      <c r="J60" s="234"/>
      <c r="K60" s="73"/>
      <c r="L60" s="71"/>
      <c r="M60" s="73"/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0.2</v>
      </c>
      <c r="AG60" s="1113">
        <v>6.55</v>
      </c>
      <c r="AH60" s="1110">
        <v>0</v>
      </c>
      <c r="AI60" s="238">
        <v>0</v>
      </c>
      <c r="AJ60" s="838"/>
      <c r="AK60" s="839"/>
      <c r="AL60" s="51">
        <f t="shared" si="0"/>
        <v>1.1107142857142858</v>
      </c>
      <c r="AM60" s="51">
        <f t="shared" si="1"/>
        <v>-0.1169294570378363</v>
      </c>
    </row>
    <row r="61" spans="1:39" x14ac:dyDescent="0.25">
      <c r="A61" s="71"/>
      <c r="B61" s="72"/>
      <c r="C61" s="73"/>
      <c r="D61" s="147"/>
      <c r="E61" s="68"/>
      <c r="F61" s="73"/>
      <c r="G61" s="147"/>
      <c r="H61" s="75"/>
      <c r="I61" s="73"/>
      <c r="J61" s="234"/>
      <c r="K61" s="73"/>
      <c r="L61" s="71"/>
      <c r="M61" s="73"/>
      <c r="N61" s="894"/>
      <c r="O61" s="73"/>
      <c r="P61" s="71"/>
      <c r="Q61" s="73"/>
      <c r="R61" s="71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>
        <f t="shared" ref="AF61:AF96" ca="1" si="2">$F$5</f>
        <v>0.2031836270052651</v>
      </c>
      <c r="AG61" s="1113">
        <f>SUM($B$9:B61)/($F$4-$B$4)*100</f>
        <v>6.5521329791389959</v>
      </c>
      <c r="AH61" s="1110"/>
      <c r="AI61" s="238"/>
      <c r="AJ61" s="838"/>
      <c r="AK61" s="839"/>
      <c r="AL61" s="51" t="e">
        <f t="shared" si="0"/>
        <v>#DIV/0!</v>
      </c>
      <c r="AM61" s="51" t="e">
        <f t="shared" si="1"/>
        <v>#DIV/0!</v>
      </c>
    </row>
    <row r="62" spans="1:39" x14ac:dyDescent="0.25">
      <c r="A62" s="71"/>
      <c r="B62" s="72"/>
      <c r="C62" s="73"/>
      <c r="D62" s="147"/>
      <c r="E62" s="75"/>
      <c r="F62" s="73"/>
      <c r="G62" s="147"/>
      <c r="H62" s="75"/>
      <c r="I62" s="73"/>
      <c r="J62" s="234"/>
      <c r="K62" s="73"/>
      <c r="L62" s="71"/>
      <c r="M62" s="73"/>
      <c r="N62" s="894"/>
      <c r="O62" s="73"/>
      <c r="P62" s="71"/>
      <c r="Q62" s="73"/>
      <c r="R62" s="71"/>
      <c r="S62" s="73"/>
      <c r="T62" s="894"/>
      <c r="U62" s="1199"/>
      <c r="V62" s="73"/>
      <c r="W62" s="894">
        <v>44312</v>
      </c>
      <c r="X62" s="1199" t="s">
        <v>1336</v>
      </c>
      <c r="Y62" s="73">
        <v>-17.97</v>
      </c>
      <c r="Z62" s="894"/>
      <c r="AA62" s="1199"/>
      <c r="AB62" s="73"/>
      <c r="AC62" s="894"/>
      <c r="AD62" s="1199"/>
      <c r="AE62" s="73"/>
      <c r="AF62" s="1112">
        <f t="shared" ca="1" si="2"/>
        <v>0.2031836270052651</v>
      </c>
      <c r="AG62" s="1113">
        <f>SUM($B$9:B62)/($F$4-$B$4)*100</f>
        <v>6.5521329791389959</v>
      </c>
      <c r="AH62" s="1110"/>
      <c r="AI62" s="238"/>
      <c r="AJ62" s="838"/>
      <c r="AK62" s="839"/>
      <c r="AL62" s="51" t="e">
        <f t="shared" si="0"/>
        <v>#DIV/0!</v>
      </c>
      <c r="AM62" s="51" t="e">
        <f t="shared" si="1"/>
        <v>#DIV/0!</v>
      </c>
    </row>
    <row r="63" spans="1:39" x14ac:dyDescent="0.25">
      <c r="A63" s="71"/>
      <c r="B63" s="72"/>
      <c r="C63" s="73"/>
      <c r="D63" s="147"/>
      <c r="E63" s="75"/>
      <c r="F63" s="73"/>
      <c r="G63" s="147"/>
      <c r="H63" s="75"/>
      <c r="I63" s="73"/>
      <c r="J63" s="234"/>
      <c r="K63" s="73"/>
      <c r="L63" s="71"/>
      <c r="M63" s="73"/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f t="shared" ca="1" si="2"/>
        <v>0.2031836270052651</v>
      </c>
      <c r="AG63" s="1113">
        <f>SUM($B$9:B63)/($F$4-$B$4)*100</f>
        <v>6.5521329791389959</v>
      </c>
      <c r="AH63" s="1110"/>
      <c r="AI63" s="238"/>
      <c r="AJ63" s="838"/>
      <c r="AK63" s="839"/>
      <c r="AL63" s="51" t="e">
        <f t="shared" si="0"/>
        <v>#DIV/0!</v>
      </c>
      <c r="AM63" s="51" t="e">
        <f t="shared" si="1"/>
        <v>#DIV/0!</v>
      </c>
    </row>
    <row r="64" spans="1:39" x14ac:dyDescent="0.25">
      <c r="A64" s="71"/>
      <c r="B64" s="72"/>
      <c r="C64" s="73"/>
      <c r="D64" s="147"/>
      <c r="E64" s="75"/>
      <c r="F64" s="73"/>
      <c r="G64" s="147"/>
      <c r="H64" s="75"/>
      <c r="I64" s="73"/>
      <c r="J64" s="234"/>
      <c r="K64" s="73"/>
      <c r="L64" s="71"/>
      <c r="M64" s="73"/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f t="shared" ca="1" si="2"/>
        <v>0.2031836270052651</v>
      </c>
      <c r="AG64" s="1113">
        <f>SUM($B$9:B64)/($F$4-$B$4)*100</f>
        <v>6.5521329791389959</v>
      </c>
      <c r="AH64" s="1110"/>
      <c r="AI64" s="238"/>
      <c r="AJ64" s="838"/>
      <c r="AK64" s="839"/>
      <c r="AL64" s="51" t="e">
        <f t="shared" si="0"/>
        <v>#DIV/0!</v>
      </c>
      <c r="AM64" s="51" t="e">
        <f t="shared" si="1"/>
        <v>#DIV/0!</v>
      </c>
    </row>
    <row r="65" spans="1:39" x14ac:dyDescent="0.25">
      <c r="A65" s="71"/>
      <c r="B65" s="72"/>
      <c r="C65" s="73"/>
      <c r="D65" s="147"/>
      <c r="E65" s="75"/>
      <c r="F65" s="73"/>
      <c r="G65" s="147"/>
      <c r="H65" s="75"/>
      <c r="I65" s="73"/>
      <c r="J65" s="234"/>
      <c r="K65" s="73"/>
      <c r="L65" s="71"/>
      <c r="M65" s="73"/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f t="shared" ca="1" si="2"/>
        <v>0.2031836270052651</v>
      </c>
      <c r="AG65" s="1113">
        <f>SUM($B$9:B65)/($F$4-$B$4)*100</f>
        <v>6.5521329791389959</v>
      </c>
      <c r="AH65" s="1110"/>
      <c r="AI65" s="238"/>
      <c r="AJ65" s="838"/>
      <c r="AK65" s="839"/>
      <c r="AL65" s="51" t="e">
        <f t="shared" si="0"/>
        <v>#DIV/0!</v>
      </c>
      <c r="AM65" s="51" t="e">
        <f t="shared" si="1"/>
        <v>#DIV/0!</v>
      </c>
    </row>
    <row r="66" spans="1:39" x14ac:dyDescent="0.25">
      <c r="A66" s="71"/>
      <c r="B66" s="72"/>
      <c r="C66" s="73"/>
      <c r="D66" s="147"/>
      <c r="E66" s="75"/>
      <c r="F66" s="73"/>
      <c r="G66" s="147"/>
      <c r="H66" s="75"/>
      <c r="I66" s="73"/>
      <c r="J66" s="234"/>
      <c r="K66" s="73"/>
      <c r="L66" s="71"/>
      <c r="M66" s="73"/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f t="shared" ca="1" si="2"/>
        <v>0.2031836270052651</v>
      </c>
      <c r="AG66" s="1113">
        <f>SUM($B$9:B66)/($F$4-$B$4)*100</f>
        <v>6.5521329791389959</v>
      </c>
      <c r="AH66" s="1110"/>
      <c r="AI66" s="238"/>
      <c r="AJ66" s="838"/>
      <c r="AK66" s="839"/>
      <c r="AL66" s="51" t="e">
        <f t="shared" si="0"/>
        <v>#DIV/0!</v>
      </c>
      <c r="AM66" s="51" t="e">
        <f t="shared" si="1"/>
        <v>#DIV/0!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71"/>
      <c r="M67" s="73"/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ca="1" si="2"/>
        <v>0.2031836270052651</v>
      </c>
      <c r="AG67" s="1113">
        <f>SUM($B$9:B67)/($F$4-$B$4)*100</f>
        <v>6.5521329791389959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71"/>
      <c r="M68" s="73"/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0.2031836270052651</v>
      </c>
      <c r="AG68" s="1113">
        <f>SUM($B$9:B68)/($F$4-$B$4)*100</f>
        <v>6.5521329791389959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71"/>
      <c r="M69" s="73"/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0.2031836270052651</v>
      </c>
      <c r="AG69" s="1113">
        <f>SUM($B$9:B69)/($F$4-$B$4)*100</f>
        <v>6.5521329791389959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71"/>
      <c r="M70" s="73"/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0.2031836270052651</v>
      </c>
      <c r="AG70" s="1113">
        <f>SUM($B$9:B70)/($F$4-$B$4)*100</f>
        <v>6.5521329791389959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71"/>
      <c r="M71" s="73"/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0.2031836270052651</v>
      </c>
      <c r="AG71" s="1113">
        <f>SUM($B$9:B71)/($F$4-$B$4)*100</f>
        <v>6.5521329791389959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71"/>
      <c r="M72" s="73"/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0.2031836270052651</v>
      </c>
      <c r="AG72" s="1113">
        <f>SUM($B$9:B72)/($F$4-$B$4)*100</f>
        <v>6.5521329791389959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71"/>
      <c r="M73" s="73"/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2"/>
        <v>0.2031836270052651</v>
      </c>
      <c r="AG73" s="1113">
        <f>SUM($B$9:B73)/($F$4-$B$4)*100</f>
        <v>6.5521329791389959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71"/>
      <c r="M74" s="73"/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0.2031836270052651</v>
      </c>
      <c r="AG74" s="1113">
        <f>SUM($B$9:B74)/($F$4-$B$4)*100</f>
        <v>6.5521329791389959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0.2031836270052651</v>
      </c>
      <c r="AG75" s="1113">
        <f>SUM($B$9:B75)/($F$4-$B$4)*100</f>
        <v>6.5521329791389959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0.2031836270052651</v>
      </c>
      <c r="AG76" s="1113">
        <f>SUM($B$9:B76)/($F$4-$B$4)*100</f>
        <v>6.5521329791389959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0.2031836270052651</v>
      </c>
      <c r="AG77" s="1113">
        <f>SUM($B$9:B77)/($F$4-$B$4)*100</f>
        <v>6.5521329791389959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0.2031836270052651</v>
      </c>
      <c r="AG78" s="1113">
        <f>SUM($B$9:B78)/($F$4-$B$4)*100</f>
        <v>6.5521329791389959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0.2031836270052651</v>
      </c>
      <c r="AG79" s="1113">
        <f>SUM($B$9:B79)/($F$4-$B$4)*100</f>
        <v>6.5521329791389959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161"/>
      <c r="H80" s="831"/>
      <c r="I80" s="835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0.2031836270052651</v>
      </c>
      <c r="AG80" s="1113">
        <f>SUM($B$9:B80)/($F$4-$B$4)*100</f>
        <v>6.5521329791389959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0.2031836270052651</v>
      </c>
      <c r="AG81" s="1113">
        <f>SUM($B$9:B81)/($F$4-$B$4)*100</f>
        <v>6.5521329791389959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0.2031836270052651</v>
      </c>
      <c r="AG82" s="1113">
        <f>SUM($B$9:B82)/($F$4-$B$4)*100</f>
        <v>6.5521329791389959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0.2031836270052651</v>
      </c>
      <c r="AG83" s="1113">
        <f>SUM($B$9:B83)/($F$4-$B$4)*100</f>
        <v>6.5521329791389959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0.2031836270052651</v>
      </c>
      <c r="AG84" s="1113">
        <f>SUM($B$9:B84)/($F$4-$B$4)*100</f>
        <v>6.5521329791389959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0.2031836270052651</v>
      </c>
      <c r="AG85" s="1113">
        <f>SUM($B$9:B85)/($F$4-$B$4)*100</f>
        <v>6.5521329791389959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0.2031836270052651</v>
      </c>
      <c r="AG86" s="1113">
        <f>SUM($B$9:B86)/($F$4-$B$4)*100</f>
        <v>6.5521329791389959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0.2031836270052651</v>
      </c>
      <c r="AG87" s="1113">
        <f>SUM($B$9:B87)/($F$4-$B$4)*100</f>
        <v>6.5521329791389959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0.2031836270052651</v>
      </c>
      <c r="AG88" s="1113">
        <f>SUM($B$9:B88)/($F$4-$B$4)*100</f>
        <v>6.5521329791389959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0.2031836270052651</v>
      </c>
      <c r="AG89" s="1113">
        <f>SUM($B$9:B89)/($F$4-$B$4)*100</f>
        <v>6.5521329791389959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0.2031836270052651</v>
      </c>
      <c r="AG90" s="1113">
        <f>SUM($B$9:B90)/($F$4-$B$4)*100</f>
        <v>6.5521329791389959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0.2031836270052651</v>
      </c>
      <c r="AG91" s="1113">
        <f>SUM($B$9:B91)/($F$4-$B$4)*100</f>
        <v>6.5521329791389959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0.2031836270052651</v>
      </c>
      <c r="AG92" s="1113">
        <f>SUM($B$9:B92)/($F$4-$B$4)*100</f>
        <v>6.5521329791389959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0.2031836270052651</v>
      </c>
      <c r="AG93" s="1113">
        <f>SUM($B$9:B93)/($F$4-$B$4)*100</f>
        <v>6.5521329791389959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0.2031836270052651</v>
      </c>
      <c r="AG94" s="1113">
        <f>SUM($B$9:B94)/($F$4-$B$4)*100</f>
        <v>6.5521329791389959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0.2031836270052651</v>
      </c>
      <c r="AG95" s="1113">
        <f>SUM($B$9:B95)/($F$4-$B$4)*100</f>
        <v>6.5521329791389959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0.2031836270052651</v>
      </c>
      <c r="AG96" s="1113">
        <f>SUM($B$9:B96)/($F$4-$B$4)*100</f>
        <v>6.5521329791389959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0.18471148377488103</v>
      </c>
      <c r="AG98" s="1109">
        <f>AVERAGE(AG9:AG97)</f>
        <v>6.6264407641932221</v>
      </c>
      <c r="AH98" s="1228">
        <f ca="1">SUMIFS($AH$9:$AH$97,$A$9:$A$97,"&gt;="&amp;$C99,$A$9:$A$97,"&lt;="&amp;$D99)</f>
        <v>4380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0.22631025174870784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2.3126624743442736E-2</v>
      </c>
      <c r="J99" s="1303">
        <f ca="1">(F99/F5)-1</f>
        <v>0.11382130088091924</v>
      </c>
      <c r="K99" s="2253">
        <f ca="1">((D99-C99)/(365.25/12)*F3)+C102+F102+I102+K102+M102+O102+Q102+S102+AE106</f>
        <v>3727.9953374709075</v>
      </c>
      <c r="L99" s="2253"/>
      <c r="M99" s="1472" t="s">
        <v>1135</v>
      </c>
      <c r="N99" s="1470"/>
      <c r="O99" s="1471"/>
      <c r="P99" s="1189">
        <f ca="1">K99/AH98</f>
        <v>0.85114048800705655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6.94</v>
      </c>
      <c r="AH99" s="1226">
        <f>AVERAGE(AH9:AH97)</f>
        <v>1783.4375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7.181050228310501E-2</v>
      </c>
      <c r="D100" s="2252" t="s">
        <v>879</v>
      </c>
      <c r="E100" s="2246"/>
      <c r="F100" s="1180">
        <f ca="1">F102/$AH$98</f>
        <v>2.5833333333333333E-2</v>
      </c>
      <c r="G100" s="2252" t="s">
        <v>881</v>
      </c>
      <c r="H100" s="2246"/>
      <c r="I100" s="1180">
        <f ca="1">I102/$AH$98</f>
        <v>1.66986301369863E-2</v>
      </c>
      <c r="J100" s="1181" t="s">
        <v>898</v>
      </c>
      <c r="K100" s="1180">
        <f ca="1">K102/$AH$98</f>
        <v>0</v>
      </c>
      <c r="L100" s="1181" t="s">
        <v>883</v>
      </c>
      <c r="M100" s="1180">
        <f ca="1">M102/$AH$98</f>
        <v>2.1095890410958908E-2</v>
      </c>
      <c r="N100" s="1181" t="s">
        <v>908</v>
      </c>
      <c r="O100" s="1180">
        <f ca="1">O102/$AH$98</f>
        <v>1.1415525114155251E-2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1.2022831050228311E-2</v>
      </c>
      <c r="W100" s="2252" t="s">
        <v>912</v>
      </c>
      <c r="X100" s="2246"/>
      <c r="Y100" s="1180">
        <f ca="1">Y102/$AH$98</f>
        <v>5.029680365296804E-3</v>
      </c>
      <c r="Z100" s="2252" t="s">
        <v>889</v>
      </c>
      <c r="AA100" s="2246"/>
      <c r="AB100" s="1180">
        <f ca="1">AB102/$AH$98</f>
        <v>0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6.0819634703196348</v>
      </c>
      <c r="C101" s="1183">
        <f ca="1">C100/$F$99</f>
        <v>0.31730998365395535</v>
      </c>
      <c r="D101" s="1184"/>
      <c r="E101" s="1185"/>
      <c r="F101" s="1183">
        <f ca="1">F100/$F$99</f>
        <v>0.11415007996199109</v>
      </c>
      <c r="G101" s="1184"/>
      <c r="H101" s="1185"/>
      <c r="I101" s="1183">
        <f ca="1">I100/$F$99</f>
        <v>7.3786450273265816E-2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9.3216680410852668E-2</v>
      </c>
      <c r="N101" s="1184"/>
      <c r="O101" s="1183">
        <f ca="1">O100/$F$99</f>
        <v>5.0441926629249262E-2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5.312543712592533E-2</v>
      </c>
      <c r="W101" s="1184"/>
      <c r="X101" s="1185"/>
      <c r="Y101" s="1183">
        <f ca="1">Y100/$F$99</f>
        <v>2.2224712872847229E-2</v>
      </c>
      <c r="Z101" s="1184"/>
      <c r="AA101" s="1185"/>
      <c r="AB101" s="1183">
        <f ca="1">AB100/$F$99</f>
        <v>0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266.39</v>
      </c>
      <c r="C102" s="1197">
        <f ca="1">SUMIFS($C$9:$C$97,$A$9:$A$97,"&gt;="&amp;$C99,$A$9:$A$97,"&lt;="&amp;$D99)</f>
        <v>314.52999999999992</v>
      </c>
      <c r="D102" s="2251" t="s">
        <v>880</v>
      </c>
      <c r="E102" s="2250"/>
      <c r="F102" s="1197">
        <f ca="1">SUMIFS($F$9:$F$97,$D$9:$D$97,"&gt;="&amp;$C99,$D$9:$D$97,"&lt;="&amp;$D99)</f>
        <v>113.15</v>
      </c>
      <c r="G102" s="2251" t="s">
        <v>882</v>
      </c>
      <c r="H102" s="2250"/>
      <c r="I102" s="1197">
        <f ca="1">SUMIFS($I$9:$I$97,$G$9:$G$97,"&gt;="&amp;$C99,$G$9:$G$97,"&lt;="&amp;$D99)</f>
        <v>73.14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92.40000000000002</v>
      </c>
      <c r="N102" s="1157" t="s">
        <v>909</v>
      </c>
      <c r="O102" s="1158">
        <f ca="1">SUMIFS(O9:O97,N9:N97,"&gt;="&amp;$C99,N9:N97,"&lt;="&amp;$D99)</f>
        <v>50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52.660000000000004</v>
      </c>
      <c r="W102" s="2251" t="s">
        <v>913</v>
      </c>
      <c r="X102" s="2250"/>
      <c r="Y102" s="1158">
        <f ca="1">SUMIFS(Y9:Y97,W9:W97,"&gt;="&amp;$C99,W9:W97,"&lt;="&amp;$D99)</f>
        <v>22.03</v>
      </c>
      <c r="Z102" s="2251" t="s">
        <v>890</v>
      </c>
      <c r="AA102" s="2250"/>
      <c r="AB102" s="1158">
        <f ca="1">SUMIFS(AB9:AB97,Z9:Z97,"&gt;="&amp;$C99,Z9:Z97,"&lt;="&amp;$D99)</f>
        <v>0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-8.6263482520930745E-3</v>
      </c>
      <c r="D103" s="1205" t="s">
        <v>897</v>
      </c>
      <c r="E103" s="1195"/>
      <c r="F103" s="1206">
        <f ca="1">F100-F6</f>
        <v>-1.5264115686121307E-2</v>
      </c>
      <c r="G103" s="1204" t="s">
        <v>897</v>
      </c>
      <c r="H103" s="1195"/>
      <c r="I103" s="1203">
        <f ca="1">I100-I6</f>
        <v>1.3838836403100841E-2</v>
      </c>
      <c r="J103" s="1205" t="s">
        <v>897</v>
      </c>
      <c r="K103" s="1206">
        <f ca="1">K100-K6</f>
        <v>-1.270333619814048E-3</v>
      </c>
      <c r="L103" s="1204" t="s">
        <v>897</v>
      </c>
      <c r="M103" s="1203">
        <f ca="1">M100-M6</f>
        <v>1.5936112303294253E-2</v>
      </c>
      <c r="N103" s="1205" t="s">
        <v>897</v>
      </c>
      <c r="O103" s="1206">
        <f ca="1">O100-O6</f>
        <v>9.9505669142958865E-3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8.7518723815823238E-3</v>
      </c>
      <c r="W103" s="1205" t="s">
        <v>897</v>
      </c>
      <c r="X103" s="1195"/>
      <c r="Y103" s="1206">
        <f ca="1">Y100-Y6</f>
        <v>4.0332157977524645E-3</v>
      </c>
      <c r="Z103" s="1205" t="s">
        <v>897</v>
      </c>
      <c r="AA103" s="1195"/>
      <c r="AB103" s="1206">
        <f ca="1">AB100-AB6</f>
        <v>-4.2231814985545738E-3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1.7052511415525114E-2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7.5350149998772556E-2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74.69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x14ac:dyDescent="0.25">
      <c r="A108" s="478">
        <v>43206</v>
      </c>
      <c r="B108" s="6" t="s">
        <v>315</v>
      </c>
      <c r="C108" s="6"/>
      <c r="D108" s="750" t="s">
        <v>351</v>
      </c>
      <c r="E108" s="5">
        <v>270610</v>
      </c>
      <c r="F108" s="1217">
        <v>51.16</v>
      </c>
      <c r="G108" s="6" t="s">
        <v>332</v>
      </c>
      <c r="H108" s="52"/>
      <c r="I108" s="6"/>
      <c r="J108" s="229"/>
      <c r="K108" s="52"/>
      <c r="L108" s="433"/>
      <c r="M108" s="479"/>
      <c r="N108" s="5"/>
      <c r="O108" s="61"/>
      <c r="P108" s="6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</row>
    <row r="109" spans="1:38" x14ac:dyDescent="0.25">
      <c r="A109" s="478">
        <v>43251</v>
      </c>
      <c r="B109" s="6" t="s">
        <v>315</v>
      </c>
      <c r="C109" s="6"/>
      <c r="D109" s="750" t="s">
        <v>368</v>
      </c>
      <c r="E109" s="5">
        <v>275924</v>
      </c>
      <c r="F109" s="1217">
        <v>974.86</v>
      </c>
      <c r="G109" s="6" t="s">
        <v>365</v>
      </c>
      <c r="H109" s="52"/>
      <c r="I109" s="6"/>
      <c r="J109" s="229"/>
      <c r="K109" s="52"/>
      <c r="L109" s="433"/>
      <c r="M109" s="479"/>
      <c r="N109" s="5"/>
      <c r="O109" s="61"/>
      <c r="P109" s="6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  <c r="AK109" s="1"/>
    </row>
    <row r="110" spans="1:38" x14ac:dyDescent="0.25">
      <c r="A110" s="478">
        <v>43363</v>
      </c>
      <c r="B110" s="6" t="s">
        <v>376</v>
      </c>
      <c r="C110" s="6"/>
      <c r="D110" s="750" t="s">
        <v>535</v>
      </c>
      <c r="E110" s="776">
        <v>282772</v>
      </c>
      <c r="F110" s="918">
        <v>328.19</v>
      </c>
      <c r="G110" s="6" t="s">
        <v>378</v>
      </c>
      <c r="H110" s="52"/>
      <c r="I110" s="6"/>
      <c r="J110" s="229"/>
      <c r="K110" s="52"/>
      <c r="L110" s="433"/>
      <c r="M110" s="479"/>
      <c r="N110" s="5"/>
      <c r="O110" s="61"/>
      <c r="P110" s="6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H110" s="1"/>
      <c r="AI110" s="1"/>
      <c r="AJ110" s="1"/>
      <c r="AK110" s="1"/>
    </row>
    <row r="111" spans="1:38" x14ac:dyDescent="0.25">
      <c r="A111" s="478">
        <v>43363</v>
      </c>
      <c r="B111" s="6" t="s">
        <v>448</v>
      </c>
      <c r="C111" s="6"/>
      <c r="D111" s="750" t="s">
        <v>449</v>
      </c>
      <c r="E111" s="776">
        <v>282797</v>
      </c>
      <c r="F111" s="918">
        <v>41.95</v>
      </c>
      <c r="G111" s="6" t="s">
        <v>332</v>
      </c>
      <c r="H111" s="52"/>
      <c r="I111" s="6"/>
      <c r="J111" s="229"/>
      <c r="K111" s="52"/>
      <c r="L111" s="433"/>
      <c r="M111" s="479"/>
      <c r="N111" s="5"/>
      <c r="O111" s="61"/>
      <c r="P111" s="6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H111" s="1"/>
      <c r="AI111" s="1"/>
      <c r="AJ111" s="1"/>
      <c r="AK111" s="1"/>
    </row>
    <row r="112" spans="1:38" s="7" customFormat="1" x14ac:dyDescent="0.25">
      <c r="A112" s="799">
        <v>43480</v>
      </c>
      <c r="B112" s="750" t="s">
        <v>376</v>
      </c>
      <c r="C112" s="750"/>
      <c r="D112" s="750" t="s">
        <v>506</v>
      </c>
      <c r="E112" s="776">
        <v>290253</v>
      </c>
      <c r="F112" s="918">
        <v>37.61</v>
      </c>
      <c r="G112" s="750" t="s">
        <v>495</v>
      </c>
      <c r="H112" s="800"/>
      <c r="I112" s="750"/>
      <c r="J112" s="764"/>
      <c r="K112" s="800"/>
      <c r="L112" s="801"/>
      <c r="M112" s="802"/>
      <c r="N112" s="776"/>
      <c r="O112" s="909"/>
      <c r="P112" s="909"/>
    </row>
    <row r="113" spans="1:37" s="969" customFormat="1" x14ac:dyDescent="0.25">
      <c r="A113" s="968">
        <v>43544</v>
      </c>
      <c r="B113" s="844" t="s">
        <v>385</v>
      </c>
      <c r="C113" s="844"/>
      <c r="D113" s="844" t="s">
        <v>590</v>
      </c>
      <c r="E113" s="845" t="s">
        <v>559</v>
      </c>
      <c r="F113" s="1092">
        <v>219.59</v>
      </c>
      <c r="G113" s="844" t="s">
        <v>560</v>
      </c>
      <c r="H113" s="844"/>
      <c r="I113" s="844"/>
      <c r="J113" s="846"/>
      <c r="L113" s="970"/>
      <c r="M113" s="971"/>
      <c r="N113" s="971"/>
    </row>
    <row r="114" spans="1:37" s="969" customFormat="1" x14ac:dyDescent="0.25">
      <c r="A114" s="968">
        <v>43581</v>
      </c>
      <c r="B114" s="844" t="s">
        <v>376</v>
      </c>
      <c r="C114" s="844"/>
      <c r="D114" s="844" t="s">
        <v>623</v>
      </c>
      <c r="E114" s="845">
        <v>297390</v>
      </c>
      <c r="F114" s="1092">
        <v>592.91</v>
      </c>
      <c r="G114" s="844" t="s">
        <v>378</v>
      </c>
      <c r="H114" s="844"/>
      <c r="I114" s="844"/>
      <c r="J114" s="844"/>
      <c r="L114" s="970"/>
      <c r="M114" s="971"/>
      <c r="N114" s="971"/>
    </row>
    <row r="115" spans="1:37" s="7" customFormat="1" x14ac:dyDescent="0.25">
      <c r="A115" s="799">
        <v>43566</v>
      </c>
      <c r="B115" s="750" t="s">
        <v>385</v>
      </c>
      <c r="C115" s="750"/>
      <c r="D115" s="750" t="s">
        <v>660</v>
      </c>
      <c r="E115" s="776">
        <v>295817</v>
      </c>
      <c r="F115" s="918">
        <v>41.95</v>
      </c>
      <c r="G115" s="750" t="s">
        <v>614</v>
      </c>
      <c r="I115" s="750"/>
      <c r="J115" s="1464"/>
      <c r="L115" s="776"/>
      <c r="M115" s="909"/>
      <c r="N115" s="909"/>
      <c r="O115" s="909"/>
    </row>
    <row r="116" spans="1:37" s="969" customFormat="1" x14ac:dyDescent="0.25">
      <c r="A116" s="968">
        <v>43773</v>
      </c>
      <c r="B116" s="844" t="s">
        <v>376</v>
      </c>
      <c r="C116" s="844"/>
      <c r="D116" s="844" t="s">
        <v>731</v>
      </c>
      <c r="E116" s="845">
        <v>311382</v>
      </c>
      <c r="F116" s="1092">
        <v>327.42</v>
      </c>
      <c r="G116" s="844" t="s">
        <v>378</v>
      </c>
      <c r="H116" s="844"/>
      <c r="I116" s="844"/>
      <c r="J116" s="844"/>
      <c r="L116" s="970"/>
      <c r="M116" s="971"/>
      <c r="N116" s="971"/>
    </row>
    <row r="117" spans="1:37" s="7" customFormat="1" x14ac:dyDescent="0.25">
      <c r="A117" s="799">
        <v>43811</v>
      </c>
      <c r="B117" s="750" t="s">
        <v>744</v>
      </c>
      <c r="C117" s="750"/>
      <c r="D117" s="750" t="s">
        <v>745</v>
      </c>
      <c r="E117" s="776">
        <v>315000</v>
      </c>
      <c r="F117" s="918">
        <v>49.5</v>
      </c>
      <c r="G117" s="750" t="s">
        <v>725</v>
      </c>
      <c r="I117" s="750"/>
      <c r="J117" s="1464"/>
      <c r="L117" s="776"/>
      <c r="M117" s="909"/>
      <c r="N117" s="909"/>
    </row>
    <row r="118" spans="1:37" s="7" customFormat="1" x14ac:dyDescent="0.25">
      <c r="A118" s="799">
        <v>43766</v>
      </c>
      <c r="B118" s="750" t="s">
        <v>385</v>
      </c>
      <c r="C118" s="750"/>
      <c r="D118" s="750" t="s">
        <v>829</v>
      </c>
      <c r="E118" s="776">
        <v>311344</v>
      </c>
      <c r="F118" s="918">
        <v>41.95</v>
      </c>
      <c r="G118" s="750" t="s">
        <v>614</v>
      </c>
      <c r="J118" s="750" t="s">
        <v>828</v>
      </c>
      <c r="L118" s="776"/>
      <c r="M118" s="909"/>
      <c r="N118" s="909"/>
      <c r="O118" s="909"/>
    </row>
    <row r="119" spans="1:37" s="7" customFormat="1" x14ac:dyDescent="0.25">
      <c r="A119" s="799">
        <v>43921</v>
      </c>
      <c r="B119" s="750" t="s">
        <v>385</v>
      </c>
      <c r="C119" s="750"/>
      <c r="D119" s="750" t="s">
        <v>1052</v>
      </c>
      <c r="E119" s="776">
        <v>319790</v>
      </c>
      <c r="F119" s="918">
        <v>41.95</v>
      </c>
      <c r="G119" s="750" t="s">
        <v>614</v>
      </c>
      <c r="J119" s="750" t="s">
        <v>1051</v>
      </c>
      <c r="L119" s="776"/>
      <c r="M119" s="909"/>
      <c r="N119" s="909"/>
      <c r="O119" s="909"/>
    </row>
    <row r="120" spans="1:37" s="969" customFormat="1" x14ac:dyDescent="0.25">
      <c r="A120" s="968">
        <v>43970</v>
      </c>
      <c r="B120" s="844" t="s">
        <v>376</v>
      </c>
      <c r="C120" s="844"/>
      <c r="D120" s="844" t="s">
        <v>1129</v>
      </c>
      <c r="E120" s="845">
        <v>319894</v>
      </c>
      <c r="F120" s="1092">
        <v>71.2</v>
      </c>
      <c r="G120" s="844" t="s">
        <v>1112</v>
      </c>
      <c r="H120" s="844"/>
      <c r="I120" s="844"/>
      <c r="J120" s="844">
        <v>314200783</v>
      </c>
      <c r="L120" s="970"/>
      <c r="M120" s="971"/>
      <c r="N120" s="971"/>
    </row>
    <row r="121" spans="1:37" x14ac:dyDescent="0.25">
      <c r="E121" s="57"/>
      <c r="I121" s="6"/>
      <c r="J121" s="57"/>
      <c r="K121" s="1"/>
      <c r="L121" s="5"/>
      <c r="M121" s="61"/>
      <c r="N121" s="6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H121" s="1"/>
      <c r="AI121" s="1"/>
      <c r="AJ121" s="1"/>
      <c r="AK121" s="1"/>
    </row>
    <row r="122" spans="1:37" x14ac:dyDescent="0.25">
      <c r="E122" s="57"/>
      <c r="I122" s="6"/>
      <c r="J122" s="57"/>
      <c r="K122" s="1"/>
      <c r="L122" s="5"/>
      <c r="M122" s="61"/>
      <c r="N122" s="6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H122" s="1"/>
      <c r="AI122" s="1"/>
      <c r="AJ122" s="1"/>
      <c r="AK122" s="1"/>
    </row>
    <row r="123" spans="1:37" x14ac:dyDescent="0.25">
      <c r="J123" s="6"/>
    </row>
    <row r="124" spans="1:37" x14ac:dyDescent="0.25">
      <c r="J124" s="6"/>
    </row>
    <row r="125" spans="1:37" x14ac:dyDescent="0.25">
      <c r="J125" s="6"/>
    </row>
    <row r="126" spans="1:37" x14ac:dyDescent="0.25">
      <c r="J126" s="6"/>
    </row>
    <row r="127" spans="1:37" x14ac:dyDescent="0.25">
      <c r="J127" s="6"/>
    </row>
    <row r="128" spans="1:37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</sheetData>
  <sortState ref="G9:I64">
    <sortCondition ref="G9:G64"/>
  </sortState>
  <mergeCells count="44"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  <mergeCell ref="AC8:AD8"/>
    <mergeCell ref="D100:E100"/>
    <mergeCell ref="G100:H100"/>
    <mergeCell ref="T100:U100"/>
    <mergeCell ref="W100:X100"/>
    <mergeCell ref="Z100:AA100"/>
    <mergeCell ref="K99:L99"/>
    <mergeCell ref="T5:AD5"/>
    <mergeCell ref="D6:E6"/>
    <mergeCell ref="G6:H6"/>
    <mergeCell ref="T6:U6"/>
    <mergeCell ref="W6:X6"/>
    <mergeCell ref="Z6:AA6"/>
    <mergeCell ref="H1:I1"/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</mergeCells>
  <conditionalFormatting sqref="AM9:AM44 AM97:AM98">
    <cfRule type="cellIs" dxfId="258" priority="4" operator="greaterThan">
      <formula>0</formula>
    </cfRule>
    <cfRule type="cellIs" dxfId="257" priority="5" operator="lessThan">
      <formula>0</formula>
    </cfRule>
  </conditionalFormatting>
  <conditionalFormatting sqref="AF9:AF96">
    <cfRule type="cellIs" dxfId="256" priority="6" operator="lessThan">
      <formula>$AF$98</formula>
    </cfRule>
    <cfRule type="cellIs" dxfId="255" priority="7" operator="greaterThan">
      <formula>$AF$98</formula>
    </cfRule>
  </conditionalFormatting>
  <conditionalFormatting sqref="AG9:AG96">
    <cfRule type="cellIs" dxfId="254" priority="8" operator="equal">
      <formula>$AG$99</formula>
    </cfRule>
    <cfRule type="cellIs" dxfId="253" priority="9" operator="lessThan">
      <formula>$AG$98</formula>
    </cfRule>
    <cfRule type="cellIs" dxfId="252" priority="10" operator="greaterThan">
      <formula>$AG$98</formula>
    </cfRule>
  </conditionalFormatting>
  <conditionalFormatting sqref="AM45:AM96">
    <cfRule type="cellIs" dxfId="251" priority="2" operator="greaterThan">
      <formula>0</formula>
    </cfRule>
    <cfRule type="cellIs" dxfId="250" priority="3" operator="lessThan">
      <formula>0</formula>
    </cfRule>
  </conditionalFormatting>
  <conditionalFormatting sqref="E60">
    <cfRule type="cellIs" dxfId="249" priority="1" operator="equal">
      <formula>"zadať"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92D050"/>
  </sheetPr>
  <dimension ref="A1:AM122"/>
  <sheetViews>
    <sheetView workbookViewId="0">
      <pane xSplit="1" ySplit="8" topLeftCell="K9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6.5" style="51" customWidth="1"/>
    <col min="25" max="25" width="10.375" style="51" customWidth="1"/>
    <col min="26" max="26" width="9.125" style="478" customWidth="1"/>
    <col min="27" max="27" width="16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x14ac:dyDescent="0.25">
      <c r="A1" s="1166" t="s">
        <v>33</v>
      </c>
      <c r="B1" s="2288" t="s">
        <v>1021</v>
      </c>
      <c r="C1" s="2288"/>
      <c r="D1" s="2288"/>
      <c r="E1" s="2288"/>
      <c r="F1" s="2288"/>
      <c r="G1" s="2288"/>
      <c r="H1" s="2288"/>
      <c r="I1" s="2288"/>
      <c r="J1" s="2289"/>
      <c r="K1" s="1164"/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x14ac:dyDescent="0.25">
      <c r="A2" s="1167" t="s">
        <v>927</v>
      </c>
      <c r="B2" s="1251">
        <v>37057</v>
      </c>
      <c r="C2" s="1251">
        <v>37057</v>
      </c>
      <c r="D2" s="2263" t="s">
        <v>871</v>
      </c>
      <c r="E2" s="2264"/>
      <c r="F2" s="2264"/>
      <c r="G2" s="1168">
        <f ca="1">IF((TODAY()-B2)/365.25&lt;I2,I2,(TODAY()-B2)/365.25)</f>
        <v>20.670773442847366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500</v>
      </c>
      <c r="C3" s="2264"/>
      <c r="D3" s="1400" t="s">
        <v>874</v>
      </c>
      <c r="E3" s="1169"/>
      <c r="F3" s="1175">
        <f ca="1">B3/G2/12</f>
        <v>2.0157284768211921</v>
      </c>
      <c r="G3" s="2267" t="s">
        <v>77</v>
      </c>
      <c r="H3" s="2267"/>
      <c r="I3" s="1401">
        <f ca="1">B3/G2/365.25</f>
        <v>6.6225165562913899E-2</v>
      </c>
      <c r="J3" s="1171">
        <f ca="1">I3/$F$5</f>
        <v>0.45927599731782814</v>
      </c>
      <c r="K3" s="1375"/>
      <c r="L3" s="645"/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 ca="1">AE5/$G$2/365.25</f>
        <v>4.1152317880794693E-3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0</v>
      </c>
      <c r="C4" s="2283"/>
      <c r="D4" s="2284" t="s">
        <v>872</v>
      </c>
      <c r="E4" s="2285"/>
      <c r="F4" s="1221">
        <v>0</v>
      </c>
      <c r="G4" s="1172" t="s">
        <v>876</v>
      </c>
      <c r="H4" s="1376"/>
      <c r="I4" s="1377">
        <f>F4-B4</f>
        <v>0</v>
      </c>
      <c r="J4" s="1378">
        <f ca="1">I3/F99</f>
        <v>0.44459213255262342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2.8539410473329838E-2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1034</v>
      </c>
      <c r="B5" s="2287"/>
      <c r="C5" s="2287"/>
      <c r="D5" s="2287"/>
      <c r="E5" s="1469" t="s">
        <v>1127</v>
      </c>
      <c r="F5" s="1216">
        <f ca="1">I3+C6+F6+I6+K6+M6+O6+Q6+S6+V6+Y6+AB6+AE6</f>
        <v>0.14419470198675496</v>
      </c>
      <c r="G5" s="1211">
        <f ca="1">J3+C7+F7+I7+K7+M7+O7+Q7+S7+V7+Y7+AB7+AE7</f>
        <v>1</v>
      </c>
      <c r="H5" s="1380">
        <f>B3+C8+F8+I8+K8+M8+O8+Q8+S8+AE5</f>
        <v>1088.6699999999998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31.069999999999993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1022</v>
      </c>
      <c r="B6" s="1179"/>
      <c r="C6" s="1180">
        <v>0</v>
      </c>
      <c r="D6" s="2252" t="s">
        <v>1023</v>
      </c>
      <c r="E6" s="2246"/>
      <c r="F6" s="1180">
        <f ca="1">F8/$G$2/365.25</f>
        <v>7.3589403973509937E-2</v>
      </c>
      <c r="G6" s="2252" t="s">
        <v>1024</v>
      </c>
      <c r="H6" s="2254"/>
      <c r="I6" s="1180">
        <f ca="1">I8/$G$2/365.25</f>
        <v>0</v>
      </c>
      <c r="J6" s="1184" t="s">
        <v>1025</v>
      </c>
      <c r="K6" s="1180">
        <f ca="1">K8/$G$2/365.25</f>
        <v>2.6490066225165557E-4</v>
      </c>
      <c r="L6" s="1181" t="s">
        <v>1026</v>
      </c>
      <c r="M6" s="1180">
        <f ca="1">M8/$G$2/365.25</f>
        <v>0</v>
      </c>
      <c r="N6" s="1181" t="s">
        <v>1027</v>
      </c>
      <c r="O6" s="1180">
        <f ca="1">O8/$G$2/365.25</f>
        <v>0</v>
      </c>
      <c r="P6" s="1181" t="s">
        <v>1028</v>
      </c>
      <c r="Q6" s="1180">
        <f ca="1">Q8/$G$2/365.25</f>
        <v>0</v>
      </c>
      <c r="R6" s="1181" t="s">
        <v>1029</v>
      </c>
      <c r="S6" s="1180">
        <f ca="1">S8/$G$2/365.25</f>
        <v>0</v>
      </c>
      <c r="T6" s="2252" t="s">
        <v>1030</v>
      </c>
      <c r="U6" s="2246"/>
      <c r="V6" s="1180">
        <f ca="1">V8/$G$2/365.25</f>
        <v>4.1152317880794693E-3</v>
      </c>
      <c r="W6" s="2252" t="s">
        <v>1031</v>
      </c>
      <c r="X6" s="2246"/>
      <c r="Y6" s="1180">
        <f ca="1">Y8/$G$2/365.25</f>
        <v>0</v>
      </c>
      <c r="Z6" s="2252" t="s">
        <v>1032</v>
      </c>
      <c r="AA6" s="2246"/>
      <c r="AB6" s="1180">
        <f ca="1">AB8/$G$2/365.25</f>
        <v>0</v>
      </c>
      <c r="AC6" s="2252" t="s">
        <v>1033</v>
      </c>
      <c r="AD6" s="2246"/>
      <c r="AE6" s="1180">
        <f ca="1">AE8/$G$2/365.25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v>0</v>
      </c>
      <c r="C7" s="1183">
        <v>0</v>
      </c>
      <c r="D7" s="1184"/>
      <c r="E7" s="1185"/>
      <c r="F7" s="1183">
        <f ca="1">F6/$F$5</f>
        <v>0.51034748821957066</v>
      </c>
      <c r="G7" s="1184"/>
      <c r="H7" s="1185"/>
      <c r="I7" s="1183">
        <f ca="1">I6/$F$5</f>
        <v>0</v>
      </c>
      <c r="J7" s="1243">
        <f>COUNT(J9:J97)</f>
        <v>1</v>
      </c>
      <c r="K7" s="1183">
        <f ca="1">K6/$F$5</f>
        <v>1.8371039892713123E-3</v>
      </c>
      <c r="L7" s="1184"/>
      <c r="M7" s="1183">
        <f ca="1">M6/$F$5</f>
        <v>0</v>
      </c>
      <c r="N7" s="1184"/>
      <c r="O7" s="1183">
        <f ca="1">O6/$F$5</f>
        <v>0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2.8539410473329838E-2</v>
      </c>
      <c r="W7" s="1184"/>
      <c r="X7" s="1185"/>
      <c r="Y7" s="1183">
        <f ca="1">Y6/$F$5</f>
        <v>0</v>
      </c>
      <c r="Z7" s="1184"/>
      <c r="AA7" s="1185"/>
      <c r="AB7" s="1183">
        <f ca="1">AB6/$F$5</f>
        <v>0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0</v>
      </c>
      <c r="C8" s="1156">
        <f>SUM(C9:C97)</f>
        <v>0</v>
      </c>
      <c r="D8" s="2251" t="s">
        <v>880</v>
      </c>
      <c r="E8" s="2250"/>
      <c r="F8" s="1158">
        <f>SUM(F9:F97)</f>
        <v>555.6</v>
      </c>
      <c r="G8" s="2251" t="s">
        <v>882</v>
      </c>
      <c r="H8" s="2250"/>
      <c r="I8" s="1158">
        <f>SUM(I9:I97)</f>
        <v>0</v>
      </c>
      <c r="J8" s="1157" t="s">
        <v>899</v>
      </c>
      <c r="K8" s="1158">
        <f>SUM(K9:K97)</f>
        <v>2</v>
      </c>
      <c r="L8" s="1157" t="s">
        <v>884</v>
      </c>
      <c r="M8" s="1158">
        <f>SUM(M9:M97)</f>
        <v>0</v>
      </c>
      <c r="N8" s="1157" t="s">
        <v>909</v>
      </c>
      <c r="O8" s="1158">
        <f>SUM(O9:O97)</f>
        <v>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31.069999999999993</v>
      </c>
      <c r="W8" s="2251" t="s">
        <v>913</v>
      </c>
      <c r="X8" s="2250"/>
      <c r="Y8" s="1158">
        <f>SUM(Y9:Y97)</f>
        <v>0</v>
      </c>
      <c r="Z8" s="2251" t="s">
        <v>890</v>
      </c>
      <c r="AA8" s="2250"/>
      <c r="AB8" s="1158">
        <f>SUM(AB9:AB97)</f>
        <v>0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0</v>
      </c>
      <c r="AK8" s="833">
        <f>SUM(AK9:AK97)</f>
        <v>0</v>
      </c>
      <c r="AL8" s="54" t="e">
        <f>SUM(C9:C97)/SUM(B9:B97)</f>
        <v>#DIV/0!</v>
      </c>
    </row>
    <row r="9" spans="1:39" x14ac:dyDescent="0.25">
      <c r="A9" s="64"/>
      <c r="B9" s="65"/>
      <c r="C9" s="66"/>
      <c r="D9" s="67">
        <v>42667</v>
      </c>
      <c r="E9" s="68" t="s">
        <v>76</v>
      </c>
      <c r="F9" s="66">
        <v>213.52</v>
      </c>
      <c r="G9" s="1355"/>
      <c r="H9" s="1356"/>
      <c r="I9" s="1357"/>
      <c r="J9" s="69">
        <v>43210</v>
      </c>
      <c r="K9" s="66">
        <v>2</v>
      </c>
      <c r="L9" s="64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1.73</v>
      </c>
      <c r="W9" s="1152"/>
      <c r="X9" s="1198"/>
      <c r="Y9" s="66"/>
      <c r="Z9" s="1152"/>
      <c r="AA9" s="1198"/>
      <c r="AB9" s="66"/>
      <c r="AC9" s="1152"/>
      <c r="AD9" s="1198"/>
      <c r="AE9" s="66"/>
      <c r="AF9" s="1118">
        <v>4.8499999999999996</v>
      </c>
      <c r="AG9" s="1119"/>
      <c r="AH9" s="1117"/>
      <c r="AI9" s="237"/>
      <c r="AJ9" s="838"/>
      <c r="AK9" s="839"/>
      <c r="AL9" s="51" t="e">
        <f t="shared" ref="AL9:AL72" si="0">C9/B9</f>
        <v>#DIV/0!</v>
      </c>
      <c r="AM9" s="51" t="e">
        <f t="shared" ref="AM9:AM72" si="1">AL9-$AL$8</f>
        <v>#DIV/0!</v>
      </c>
    </row>
    <row r="10" spans="1:39" x14ac:dyDescent="0.25">
      <c r="A10" s="71"/>
      <c r="B10" s="72"/>
      <c r="C10" s="73"/>
      <c r="D10" s="345">
        <v>42669</v>
      </c>
      <c r="E10" s="346" t="s">
        <v>80</v>
      </c>
      <c r="F10" s="347">
        <v>13.5</v>
      </c>
      <c r="G10" s="147"/>
      <c r="H10" s="75"/>
      <c r="I10" s="73"/>
      <c r="J10" s="234"/>
      <c r="K10" s="73"/>
      <c r="L10" s="71"/>
      <c r="M10" s="73"/>
      <c r="N10" s="894"/>
      <c r="O10" s="73"/>
      <c r="P10" s="71"/>
      <c r="Q10" s="73"/>
      <c r="R10" s="71"/>
      <c r="S10" s="73"/>
      <c r="T10" s="147">
        <v>42736</v>
      </c>
      <c r="U10" s="1199"/>
      <c r="V10" s="73">
        <v>1.73</v>
      </c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5.16</v>
      </c>
      <c r="AG10" s="1113"/>
      <c r="AH10" s="1110"/>
      <c r="AI10" s="238"/>
      <c r="AJ10" s="838"/>
      <c r="AK10" s="839"/>
      <c r="AL10" s="51" t="e">
        <f t="shared" si="0"/>
        <v>#DIV/0!</v>
      </c>
      <c r="AM10" s="51" t="e">
        <f t="shared" si="1"/>
        <v>#DIV/0!</v>
      </c>
    </row>
    <row r="11" spans="1:39" x14ac:dyDescent="0.25">
      <c r="A11" s="71"/>
      <c r="B11" s="72"/>
      <c r="C11" s="73"/>
      <c r="D11" s="147">
        <v>43054</v>
      </c>
      <c r="E11" s="75" t="s">
        <v>179</v>
      </c>
      <c r="F11" s="73">
        <v>135.63</v>
      </c>
      <c r="G11" s="1162"/>
      <c r="H11" s="75"/>
      <c r="I11" s="73"/>
      <c r="J11" s="234"/>
      <c r="K11" s="73"/>
      <c r="L11" s="71"/>
      <c r="M11" s="73"/>
      <c r="N11" s="894"/>
      <c r="O11" s="73"/>
      <c r="P11" s="71"/>
      <c r="Q11" s="73"/>
      <c r="R11" s="71"/>
      <c r="S11" s="73"/>
      <c r="T11" s="894">
        <v>42809</v>
      </c>
      <c r="U11" s="1199"/>
      <c r="V11" s="73">
        <v>1.73</v>
      </c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3.51</v>
      </c>
      <c r="AG11" s="1113"/>
      <c r="AH11" s="1110"/>
      <c r="AI11" s="238"/>
      <c r="AJ11" s="838"/>
      <c r="AK11" s="839"/>
      <c r="AL11" s="51" t="e">
        <f t="shared" si="0"/>
        <v>#DIV/0!</v>
      </c>
      <c r="AM11" s="51" t="e">
        <f t="shared" si="1"/>
        <v>#DIV/0!</v>
      </c>
    </row>
    <row r="12" spans="1:39" x14ac:dyDescent="0.25">
      <c r="A12" s="71"/>
      <c r="B12" s="72"/>
      <c r="C12" s="73"/>
      <c r="D12" s="147">
        <v>43054</v>
      </c>
      <c r="E12" s="75" t="s">
        <v>179</v>
      </c>
      <c r="F12" s="73">
        <v>135.63</v>
      </c>
      <c r="G12" s="147"/>
      <c r="H12" s="75"/>
      <c r="I12" s="73"/>
      <c r="J12" s="234"/>
      <c r="K12" s="73"/>
      <c r="L12" s="71"/>
      <c r="M12" s="73"/>
      <c r="N12" s="894"/>
      <c r="O12" s="73"/>
      <c r="P12" s="71"/>
      <c r="Q12" s="73"/>
      <c r="R12" s="71"/>
      <c r="S12" s="73"/>
      <c r="T12" s="147">
        <v>42901</v>
      </c>
      <c r="U12" s="1199"/>
      <c r="V12" s="73">
        <v>1.73</v>
      </c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1.85</v>
      </c>
      <c r="AG12" s="1113"/>
      <c r="AH12" s="1110"/>
      <c r="AI12" s="238"/>
      <c r="AJ12" s="838"/>
      <c r="AK12" s="839"/>
      <c r="AL12" s="51" t="e">
        <f t="shared" si="0"/>
        <v>#DIV/0!</v>
      </c>
      <c r="AM12" s="51" t="e">
        <f t="shared" si="1"/>
        <v>#DIV/0!</v>
      </c>
    </row>
    <row r="13" spans="1:39" x14ac:dyDescent="0.25">
      <c r="A13" s="71"/>
      <c r="B13" s="72"/>
      <c r="C13" s="73"/>
      <c r="D13" s="528">
        <v>44354</v>
      </c>
      <c r="E13" s="516" t="s">
        <v>1395</v>
      </c>
      <c r="F13" s="380">
        <v>57.32</v>
      </c>
      <c r="G13" s="147"/>
      <c r="H13" s="75"/>
      <c r="I13" s="73"/>
      <c r="J13" s="234"/>
      <c r="K13" s="73"/>
      <c r="L13" s="71"/>
      <c r="M13" s="73"/>
      <c r="N13" s="894"/>
      <c r="O13" s="73"/>
      <c r="P13" s="71"/>
      <c r="Q13" s="73"/>
      <c r="R13" s="71"/>
      <c r="S13" s="73"/>
      <c r="T13" s="894">
        <v>43008</v>
      </c>
      <c r="U13" s="1199"/>
      <c r="V13" s="73">
        <v>1.73</v>
      </c>
      <c r="W13" s="894"/>
      <c r="X13" s="1199"/>
      <c r="Y13" s="73"/>
      <c r="Z13" s="147"/>
      <c r="AA13" s="75"/>
      <c r="AB13" s="73"/>
      <c r="AC13" s="894"/>
      <c r="AD13" s="1199"/>
      <c r="AE13" s="73"/>
      <c r="AF13" s="1112">
        <v>1.84</v>
      </c>
      <c r="AG13" s="1113"/>
      <c r="AH13" s="1110"/>
      <c r="AI13" s="238"/>
      <c r="AJ13" s="838"/>
      <c r="AK13" s="839"/>
      <c r="AL13" s="51" t="e">
        <f t="shared" si="0"/>
        <v>#DIV/0!</v>
      </c>
      <c r="AM13" s="51" t="e">
        <f t="shared" si="1"/>
        <v>#DIV/0!</v>
      </c>
    </row>
    <row r="14" spans="1:39" x14ac:dyDescent="0.25">
      <c r="A14" s="71"/>
      <c r="B14" s="72"/>
      <c r="C14" s="73"/>
      <c r="D14" s="147"/>
      <c r="E14" s="75"/>
      <c r="F14" s="73"/>
      <c r="G14" s="1162"/>
      <c r="H14" s="75"/>
      <c r="I14" s="73"/>
      <c r="J14" s="234"/>
      <c r="K14" s="73"/>
      <c r="L14" s="71"/>
      <c r="M14" s="73"/>
      <c r="N14" s="894"/>
      <c r="O14" s="73"/>
      <c r="P14" s="71"/>
      <c r="Q14" s="73"/>
      <c r="R14" s="71"/>
      <c r="S14" s="73"/>
      <c r="T14" s="894">
        <v>43101</v>
      </c>
      <c r="U14" s="1199" t="s">
        <v>953</v>
      </c>
      <c r="V14" s="73">
        <v>1.73</v>
      </c>
      <c r="W14" s="894"/>
      <c r="X14" s="1199"/>
      <c r="Y14" s="73"/>
      <c r="Z14" s="894"/>
      <c r="AA14" s="1199"/>
      <c r="AB14" s="73"/>
      <c r="AC14" s="894"/>
      <c r="AD14" s="1199"/>
      <c r="AE14" s="73"/>
      <c r="AF14" s="1112">
        <v>0.28872656250000006</v>
      </c>
      <c r="AG14" s="1113"/>
      <c r="AH14" s="1110"/>
      <c r="AI14" s="238"/>
      <c r="AJ14" s="838"/>
      <c r="AK14" s="839"/>
      <c r="AL14" s="51" t="e">
        <f t="shared" si="0"/>
        <v>#DIV/0!</v>
      </c>
      <c r="AM14" s="51" t="e">
        <f t="shared" si="1"/>
        <v>#DIV/0!</v>
      </c>
    </row>
    <row r="15" spans="1:39" x14ac:dyDescent="0.25">
      <c r="A15" s="71"/>
      <c r="B15" s="72"/>
      <c r="C15" s="73"/>
      <c r="D15" s="147"/>
      <c r="E15" s="75"/>
      <c r="F15" s="73"/>
      <c r="G15" s="147"/>
      <c r="H15" s="75"/>
      <c r="I15" s="73"/>
      <c r="J15" s="234"/>
      <c r="K15" s="73"/>
      <c r="L15" s="71"/>
      <c r="M15" s="73"/>
      <c r="N15" s="894"/>
      <c r="O15" s="73"/>
      <c r="P15" s="71"/>
      <c r="Q15" s="73"/>
      <c r="R15" s="71"/>
      <c r="S15" s="73"/>
      <c r="T15" s="894">
        <v>43191</v>
      </c>
      <c r="U15" s="1199" t="s">
        <v>954</v>
      </c>
      <c r="V15" s="73">
        <v>1.73</v>
      </c>
      <c r="W15" s="894"/>
      <c r="X15" s="1199"/>
      <c r="Y15" s="73"/>
      <c r="Z15" s="147"/>
      <c r="AA15" s="75"/>
      <c r="AB15" s="73"/>
      <c r="AC15" s="894"/>
      <c r="AD15" s="1199"/>
      <c r="AE15" s="73"/>
      <c r="AF15" s="1112">
        <v>0.9</v>
      </c>
      <c r="AG15" s="1113"/>
      <c r="AH15" s="1110"/>
      <c r="AI15" s="238"/>
      <c r="AJ15" s="838"/>
      <c r="AK15" s="839"/>
      <c r="AL15" s="51" t="e">
        <f t="shared" si="0"/>
        <v>#DIV/0!</v>
      </c>
      <c r="AM15" s="51" t="e">
        <f t="shared" si="1"/>
        <v>#DIV/0!</v>
      </c>
    </row>
    <row r="16" spans="1:39" x14ac:dyDescent="0.25">
      <c r="A16" s="71"/>
      <c r="B16" s="72"/>
      <c r="C16" s="73"/>
      <c r="D16" s="147"/>
      <c r="E16" s="75"/>
      <c r="F16" s="73"/>
      <c r="G16" s="147"/>
      <c r="H16" s="75"/>
      <c r="I16" s="73"/>
      <c r="J16" s="836"/>
      <c r="K16" s="835"/>
      <c r="L16" s="834"/>
      <c r="M16" s="835"/>
      <c r="N16" s="1153"/>
      <c r="O16" s="835"/>
      <c r="P16" s="834"/>
      <c r="Q16" s="835"/>
      <c r="R16" s="834"/>
      <c r="S16" s="73"/>
      <c r="T16" s="894">
        <v>43282</v>
      </c>
      <c r="U16" s="1199" t="s">
        <v>955</v>
      </c>
      <c r="V16" s="73">
        <v>1.73</v>
      </c>
      <c r="W16" s="1153"/>
      <c r="X16" s="1200"/>
      <c r="Y16" s="835"/>
      <c r="Z16" s="894"/>
      <c r="AA16" s="1199"/>
      <c r="AB16" s="73"/>
      <c r="AC16" s="1153"/>
      <c r="AD16" s="1200"/>
      <c r="AE16" s="835"/>
      <c r="AF16" s="1112">
        <v>0.59</v>
      </c>
      <c r="AG16" s="1113"/>
      <c r="AH16" s="1110"/>
      <c r="AI16" s="238"/>
      <c r="AJ16" s="838"/>
      <c r="AK16" s="839"/>
      <c r="AL16" s="51" t="e">
        <f t="shared" si="0"/>
        <v>#DIV/0!</v>
      </c>
      <c r="AM16" s="51" t="e">
        <f t="shared" si="1"/>
        <v>#DIV/0!</v>
      </c>
    </row>
    <row r="17" spans="1:39" x14ac:dyDescent="0.25">
      <c r="A17" s="71"/>
      <c r="B17" s="72"/>
      <c r="C17" s="73"/>
      <c r="D17" s="147"/>
      <c r="E17" s="75"/>
      <c r="F17" s="73"/>
      <c r="G17" s="147"/>
      <c r="H17" s="75"/>
      <c r="I17" s="73"/>
      <c r="J17" s="234"/>
      <c r="K17" s="73"/>
      <c r="L17" s="71"/>
      <c r="M17" s="73"/>
      <c r="N17" s="894"/>
      <c r="O17" s="73"/>
      <c r="P17" s="71"/>
      <c r="Q17" s="73"/>
      <c r="R17" s="71"/>
      <c r="S17" s="73"/>
      <c r="T17" s="894">
        <v>43374</v>
      </c>
      <c r="U17" s="1199" t="s">
        <v>956</v>
      </c>
      <c r="V17" s="73">
        <v>1.73</v>
      </c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0.59</v>
      </c>
      <c r="AG17" s="1113"/>
      <c r="AH17" s="1110"/>
      <c r="AI17" s="238"/>
      <c r="AJ17" s="838"/>
      <c r="AK17" s="839"/>
      <c r="AL17" s="51" t="e">
        <f t="shared" si="0"/>
        <v>#DIV/0!</v>
      </c>
      <c r="AM17" s="51" t="e">
        <f t="shared" si="1"/>
        <v>#DIV/0!</v>
      </c>
    </row>
    <row r="18" spans="1:39" x14ac:dyDescent="0.25">
      <c r="A18" s="71"/>
      <c r="B18" s="72"/>
      <c r="C18" s="73"/>
      <c r="D18" s="147"/>
      <c r="E18" s="75"/>
      <c r="F18" s="73"/>
      <c r="G18" s="1162"/>
      <c r="H18" s="75"/>
      <c r="I18" s="73"/>
      <c r="J18" s="431"/>
      <c r="K18" s="347"/>
      <c r="L18" s="1160"/>
      <c r="M18" s="347"/>
      <c r="N18" s="945"/>
      <c r="O18" s="347"/>
      <c r="P18" s="1160"/>
      <c r="Q18" s="347"/>
      <c r="R18" s="1160"/>
      <c r="S18" s="73"/>
      <c r="T18" s="894">
        <v>43466</v>
      </c>
      <c r="U18" s="1199" t="s">
        <v>957</v>
      </c>
      <c r="V18" s="73">
        <v>1.73</v>
      </c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0.59</v>
      </c>
      <c r="AG18" s="1113"/>
      <c r="AH18" s="1110"/>
      <c r="AI18" s="238"/>
      <c r="AJ18" s="838"/>
      <c r="AK18" s="839"/>
      <c r="AL18" s="51" t="e">
        <f t="shared" si="0"/>
        <v>#DIV/0!</v>
      </c>
      <c r="AM18" s="51" t="e">
        <f t="shared" si="1"/>
        <v>#DIV/0!</v>
      </c>
    </row>
    <row r="19" spans="1:39" x14ac:dyDescent="0.25">
      <c r="A19" s="71"/>
      <c r="B19" s="72"/>
      <c r="C19" s="73"/>
      <c r="D19" s="147"/>
      <c r="E19" s="75"/>
      <c r="F19" s="73"/>
      <c r="G19" s="147"/>
      <c r="H19" s="75"/>
      <c r="I19" s="73"/>
      <c r="J19" s="234"/>
      <c r="K19" s="73"/>
      <c r="L19" s="71"/>
      <c r="M19" s="73"/>
      <c r="N19" s="894"/>
      <c r="O19" s="73"/>
      <c r="P19" s="71"/>
      <c r="Q19" s="73"/>
      <c r="R19" s="71"/>
      <c r="S19" s="73"/>
      <c r="T19" s="894">
        <v>43556</v>
      </c>
      <c r="U19" s="1199" t="s">
        <v>958</v>
      </c>
      <c r="V19" s="73">
        <v>1.73</v>
      </c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0.40177293691750399</v>
      </c>
      <c r="AG19" s="1113"/>
      <c r="AH19" s="1110"/>
      <c r="AI19" s="238"/>
      <c r="AJ19" s="838"/>
      <c r="AK19" s="839"/>
      <c r="AL19" s="51" t="e">
        <f t="shared" si="0"/>
        <v>#DIV/0!</v>
      </c>
      <c r="AM19" s="51" t="e">
        <f t="shared" si="1"/>
        <v>#DIV/0!</v>
      </c>
    </row>
    <row r="20" spans="1:39" x14ac:dyDescent="0.25">
      <c r="A20" s="71"/>
      <c r="B20" s="72"/>
      <c r="C20" s="73"/>
      <c r="D20" s="147"/>
      <c r="E20" s="75"/>
      <c r="F20" s="73"/>
      <c r="G20" s="147"/>
      <c r="H20" s="75"/>
      <c r="I20" s="73"/>
      <c r="J20" s="234"/>
      <c r="K20" s="73"/>
      <c r="L20" s="71"/>
      <c r="M20" s="73"/>
      <c r="N20" s="894"/>
      <c r="O20" s="73"/>
      <c r="P20" s="71"/>
      <c r="Q20" s="73"/>
      <c r="R20" s="71"/>
      <c r="S20" s="73"/>
      <c r="T20" s="894">
        <v>43647</v>
      </c>
      <c r="U20" s="1199" t="s">
        <v>959</v>
      </c>
      <c r="V20" s="73">
        <v>1.72</v>
      </c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0.40177293691750399</v>
      </c>
      <c r="AG20" s="1113"/>
      <c r="AH20" s="1110"/>
      <c r="AI20" s="238"/>
      <c r="AJ20" s="838"/>
      <c r="AK20" s="839"/>
      <c r="AL20" s="51" t="e">
        <f t="shared" si="0"/>
        <v>#DIV/0!</v>
      </c>
      <c r="AM20" s="51" t="e">
        <f t="shared" si="1"/>
        <v>#DIV/0!</v>
      </c>
    </row>
    <row r="21" spans="1:39" x14ac:dyDescent="0.25">
      <c r="A21" s="71"/>
      <c r="B21" s="72"/>
      <c r="C21" s="73"/>
      <c r="D21" s="147"/>
      <c r="E21" s="75"/>
      <c r="F21" s="73"/>
      <c r="G21" s="147"/>
      <c r="H21" s="75"/>
      <c r="I21" s="73"/>
      <c r="J21" s="234"/>
      <c r="K21" s="73"/>
      <c r="L21" s="71"/>
      <c r="M21" s="73"/>
      <c r="N21" s="894"/>
      <c r="O21" s="73"/>
      <c r="P21" s="71"/>
      <c r="Q21" s="73"/>
      <c r="R21" s="71"/>
      <c r="S21" s="73"/>
      <c r="T21" s="894">
        <v>43739</v>
      </c>
      <c r="U21" s="1199" t="s">
        <v>960</v>
      </c>
      <c r="V21" s="73">
        <v>1.72</v>
      </c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0.40177293691750399</v>
      </c>
      <c r="AG21" s="1113"/>
      <c r="AH21" s="1110"/>
      <c r="AI21" s="238"/>
      <c r="AJ21" s="838"/>
      <c r="AK21" s="839"/>
      <c r="AL21" s="51" t="e">
        <f t="shared" si="0"/>
        <v>#DIV/0!</v>
      </c>
      <c r="AM21" s="51" t="e">
        <f t="shared" si="1"/>
        <v>#DIV/0!</v>
      </c>
    </row>
    <row r="22" spans="1:39" x14ac:dyDescent="0.25">
      <c r="A22" s="71"/>
      <c r="B22" s="72"/>
      <c r="C22" s="73"/>
      <c r="D22" s="147"/>
      <c r="E22" s="75"/>
      <c r="F22" s="73"/>
      <c r="G22" s="147"/>
      <c r="H22" s="75"/>
      <c r="I22" s="73"/>
      <c r="J22" s="234"/>
      <c r="K22" s="73"/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f t="shared" ref="AF22:AF85" ca="1" si="2">$F$5</f>
        <v>0.14419470198675496</v>
      </c>
      <c r="AG22" s="1113"/>
      <c r="AH22" s="1110"/>
      <c r="AI22" s="238"/>
      <c r="AJ22" s="838"/>
      <c r="AK22" s="839"/>
      <c r="AL22" s="51" t="e">
        <f t="shared" si="0"/>
        <v>#DIV/0!</v>
      </c>
      <c r="AM22" s="51" t="e">
        <f t="shared" si="1"/>
        <v>#DIV/0!</v>
      </c>
    </row>
    <row r="23" spans="1:39" x14ac:dyDescent="0.25">
      <c r="A23" s="71"/>
      <c r="B23" s="72"/>
      <c r="C23" s="73"/>
      <c r="D23" s="147"/>
      <c r="E23" s="75"/>
      <c r="F23" s="73"/>
      <c r="G23" s="147"/>
      <c r="H23" s="75"/>
      <c r="I23" s="73"/>
      <c r="J23" s="431"/>
      <c r="K23" s="347"/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f t="shared" ca="1" si="2"/>
        <v>0.14419470198675496</v>
      </c>
      <c r="AG23" s="1113"/>
      <c r="AH23" s="1110"/>
      <c r="AI23" s="238"/>
      <c r="AJ23" s="838"/>
      <c r="AK23" s="839"/>
      <c r="AL23" s="51" t="e">
        <f t="shared" si="0"/>
        <v>#DIV/0!</v>
      </c>
      <c r="AM23" s="51" t="e">
        <f t="shared" si="1"/>
        <v>#DIV/0!</v>
      </c>
    </row>
    <row r="24" spans="1:39" x14ac:dyDescent="0.25">
      <c r="A24" s="71"/>
      <c r="B24" s="72"/>
      <c r="C24" s="73"/>
      <c r="D24" s="147"/>
      <c r="E24" s="75"/>
      <c r="F24" s="73"/>
      <c r="G24" s="147"/>
      <c r="H24" s="75"/>
      <c r="I24" s="73"/>
      <c r="J24" s="234"/>
      <c r="K24" s="73"/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f t="shared" ca="1" si="2"/>
        <v>0.14419470198675496</v>
      </c>
      <c r="AG24" s="1113"/>
      <c r="AH24" s="1110"/>
      <c r="AI24" s="238"/>
      <c r="AJ24" s="838"/>
      <c r="AK24" s="839"/>
      <c r="AL24" s="51" t="e">
        <f t="shared" si="0"/>
        <v>#DIV/0!</v>
      </c>
      <c r="AM24" s="51" t="e">
        <f t="shared" si="1"/>
        <v>#DIV/0!</v>
      </c>
    </row>
    <row r="25" spans="1:39" x14ac:dyDescent="0.25">
      <c r="A25" s="71"/>
      <c r="B25" s="72"/>
      <c r="C25" s="73"/>
      <c r="D25" s="528"/>
      <c r="E25" s="516"/>
      <c r="F25" s="380"/>
      <c r="G25" s="147"/>
      <c r="H25" s="75"/>
      <c r="I25" s="73"/>
      <c r="J25" s="234"/>
      <c r="K25" s="73"/>
      <c r="L25" s="71"/>
      <c r="M25" s="73"/>
      <c r="N25" s="1153"/>
      <c r="O25" s="835"/>
      <c r="P25" s="71"/>
      <c r="Q25" s="73"/>
      <c r="R25" s="71"/>
      <c r="S25" s="73"/>
      <c r="T25" s="894"/>
      <c r="U25" s="1199"/>
      <c r="V25" s="73"/>
      <c r="W25" s="894"/>
      <c r="X25" s="1199"/>
      <c r="Y25" s="73"/>
      <c r="Z25" s="894"/>
      <c r="AA25" s="1199"/>
      <c r="AB25" s="73"/>
      <c r="AC25" s="894"/>
      <c r="AD25" s="1199"/>
      <c r="AE25" s="73"/>
      <c r="AF25" s="1112">
        <f t="shared" ca="1" si="2"/>
        <v>0.14419470198675496</v>
      </c>
      <c r="AG25" s="1113"/>
      <c r="AH25" s="1110"/>
      <c r="AI25" s="238"/>
      <c r="AJ25" s="838"/>
      <c r="AK25" s="839"/>
      <c r="AL25" s="51" t="e">
        <f t="shared" si="0"/>
        <v>#DIV/0!</v>
      </c>
      <c r="AM25" s="51" t="e">
        <f t="shared" si="1"/>
        <v>#DIV/0!</v>
      </c>
    </row>
    <row r="26" spans="1:39" x14ac:dyDescent="0.25">
      <c r="A26" s="71"/>
      <c r="B26" s="72"/>
      <c r="C26" s="73"/>
      <c r="D26" s="147"/>
      <c r="E26" s="75"/>
      <c r="F26" s="73"/>
      <c r="G26" s="147"/>
      <c r="H26" s="75"/>
      <c r="I26" s="73"/>
      <c r="J26" s="234"/>
      <c r="K26" s="73"/>
      <c r="L26" s="71"/>
      <c r="M26" s="73"/>
      <c r="N26" s="894"/>
      <c r="O26" s="73"/>
      <c r="P26" s="71"/>
      <c r="Q26" s="73"/>
      <c r="R26" s="71"/>
      <c r="S26" s="73"/>
      <c r="T26" s="894"/>
      <c r="U26" s="1199"/>
      <c r="V26" s="73"/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f t="shared" ca="1" si="2"/>
        <v>0.14419470198675496</v>
      </c>
      <c r="AG26" s="1113"/>
      <c r="AH26" s="1110"/>
      <c r="AI26" s="238"/>
      <c r="AJ26" s="838"/>
      <c r="AK26" s="839"/>
      <c r="AL26" s="51" t="e">
        <f t="shared" si="0"/>
        <v>#DIV/0!</v>
      </c>
      <c r="AM26" s="51" t="e">
        <f t="shared" si="1"/>
        <v>#DIV/0!</v>
      </c>
    </row>
    <row r="27" spans="1:39" x14ac:dyDescent="0.25">
      <c r="A27" s="71"/>
      <c r="B27" s="72"/>
      <c r="C27" s="73"/>
      <c r="D27" s="147"/>
      <c r="E27" s="75"/>
      <c r="F27" s="73"/>
      <c r="G27" s="147"/>
      <c r="H27" s="75"/>
      <c r="I27" s="73"/>
      <c r="J27" s="234"/>
      <c r="K27" s="73"/>
      <c r="L27" s="71"/>
      <c r="M27" s="73"/>
      <c r="N27" s="894"/>
      <c r="O27" s="73"/>
      <c r="P27" s="71"/>
      <c r="Q27" s="73"/>
      <c r="R27" s="71"/>
      <c r="S27" s="73"/>
      <c r="T27" s="894">
        <v>44378</v>
      </c>
      <c r="U27" s="1199" t="s">
        <v>1402</v>
      </c>
      <c r="V27" s="73">
        <v>1.72</v>
      </c>
      <c r="W27" s="945"/>
      <c r="X27" s="1201"/>
      <c r="Y27" s="347"/>
      <c r="Z27" s="894"/>
      <c r="AA27" s="1199"/>
      <c r="AB27" s="73"/>
      <c r="AC27" s="894"/>
      <c r="AD27" s="1199"/>
      <c r="AE27" s="73"/>
      <c r="AF27" s="1112">
        <f t="shared" ca="1" si="2"/>
        <v>0.14419470198675496</v>
      </c>
      <c r="AG27" s="1113"/>
      <c r="AH27" s="1110"/>
      <c r="AI27" s="238"/>
      <c r="AJ27" s="838"/>
      <c r="AK27" s="839"/>
      <c r="AL27" s="51" t="e">
        <f t="shared" si="0"/>
        <v>#DIV/0!</v>
      </c>
      <c r="AM27" s="51" t="e">
        <f t="shared" si="1"/>
        <v>#DIV/0!</v>
      </c>
    </row>
    <row r="28" spans="1:39" x14ac:dyDescent="0.25">
      <c r="A28" s="71"/>
      <c r="B28" s="72"/>
      <c r="C28" s="73"/>
      <c r="D28" s="147"/>
      <c r="E28" s="75"/>
      <c r="F28" s="73"/>
      <c r="G28" s="147"/>
      <c r="H28" s="75"/>
      <c r="I28" s="73"/>
      <c r="J28" s="234"/>
      <c r="K28" s="73"/>
      <c r="L28" s="71"/>
      <c r="M28" s="73"/>
      <c r="N28" s="894"/>
      <c r="O28" s="73"/>
      <c r="P28" s="71"/>
      <c r="Q28" s="73"/>
      <c r="R28" s="71"/>
      <c r="S28" s="73"/>
      <c r="T28" s="894"/>
      <c r="U28" s="1199"/>
      <c r="V28" s="73"/>
      <c r="W28" s="894"/>
      <c r="X28" s="1199"/>
      <c r="Y28" s="73"/>
      <c r="Z28" s="894"/>
      <c r="AA28" s="1199"/>
      <c r="AB28" s="73"/>
      <c r="AC28" s="894"/>
      <c r="AD28" s="1199"/>
      <c r="AE28" s="73"/>
      <c r="AF28" s="1112">
        <f t="shared" ca="1" si="2"/>
        <v>0.14419470198675496</v>
      </c>
      <c r="AG28" s="1113"/>
      <c r="AH28" s="1110"/>
      <c r="AI28" s="238"/>
      <c r="AJ28" s="838"/>
      <c r="AK28" s="839"/>
      <c r="AL28" s="51" t="e">
        <f t="shared" si="0"/>
        <v>#DIV/0!</v>
      </c>
      <c r="AM28" s="51" t="e">
        <f t="shared" si="1"/>
        <v>#DIV/0!</v>
      </c>
    </row>
    <row r="29" spans="1:39" x14ac:dyDescent="0.25">
      <c r="A29" s="71"/>
      <c r="B29" s="72"/>
      <c r="C29" s="73"/>
      <c r="D29" s="147"/>
      <c r="E29" s="75"/>
      <c r="F29" s="73"/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f t="shared" ca="1" si="2"/>
        <v>0.14419470198675496</v>
      </c>
      <c r="AG29" s="1113"/>
      <c r="AH29" s="1110"/>
      <c r="AI29" s="238"/>
      <c r="AJ29" s="838"/>
      <c r="AK29" s="839"/>
      <c r="AL29" s="51" t="e">
        <f t="shared" si="0"/>
        <v>#DIV/0!</v>
      </c>
      <c r="AM29" s="51" t="e">
        <f t="shared" si="1"/>
        <v>#DIV/0!</v>
      </c>
    </row>
    <row r="30" spans="1:39" x14ac:dyDescent="0.25">
      <c r="A30" s="71"/>
      <c r="B30" s="72"/>
      <c r="C30" s="73"/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f t="shared" ca="1" si="2"/>
        <v>0.14419470198675496</v>
      </c>
      <c r="AG30" s="1113"/>
      <c r="AH30" s="1110"/>
      <c r="AI30" s="238"/>
      <c r="AJ30" s="838"/>
      <c r="AK30" s="839"/>
      <c r="AL30" s="51" t="e">
        <f t="shared" si="0"/>
        <v>#DIV/0!</v>
      </c>
      <c r="AM30" s="51" t="e">
        <f t="shared" si="1"/>
        <v>#DIV/0!</v>
      </c>
    </row>
    <row r="31" spans="1:39" x14ac:dyDescent="0.25">
      <c r="A31" s="71"/>
      <c r="B31" s="72"/>
      <c r="C31" s="73"/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f t="shared" ca="1" si="2"/>
        <v>0.14419470198675496</v>
      </c>
      <c r="AG31" s="1113"/>
      <c r="AH31" s="1110"/>
      <c r="AI31" s="238"/>
      <c r="AJ31" s="838"/>
      <c r="AK31" s="839"/>
      <c r="AL31" s="51" t="e">
        <f t="shared" si="0"/>
        <v>#DIV/0!</v>
      </c>
      <c r="AM31" s="51" t="e">
        <f t="shared" si="1"/>
        <v>#DIV/0!</v>
      </c>
    </row>
    <row r="32" spans="1:39" x14ac:dyDescent="0.25">
      <c r="A32" s="71"/>
      <c r="B32" s="72"/>
      <c r="C32" s="73"/>
      <c r="D32" s="528"/>
      <c r="E32" s="516"/>
      <c r="F32" s="380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f t="shared" ca="1" si="2"/>
        <v>0.14419470198675496</v>
      </c>
      <c r="AG32" s="1113"/>
      <c r="AH32" s="1110"/>
      <c r="AI32" s="238"/>
      <c r="AJ32" s="838"/>
      <c r="AK32" s="839"/>
      <c r="AL32" s="51" t="e">
        <f t="shared" si="0"/>
        <v>#DIV/0!</v>
      </c>
      <c r="AM32" s="51" t="e">
        <f t="shared" si="1"/>
        <v>#DIV/0!</v>
      </c>
    </row>
    <row r="33" spans="1:39" x14ac:dyDescent="0.25">
      <c r="A33" s="71"/>
      <c r="B33" s="72"/>
      <c r="C33" s="73"/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f t="shared" ca="1" si="2"/>
        <v>0.14419470198675496</v>
      </c>
      <c r="AG33" s="1113"/>
      <c r="AH33" s="1110"/>
      <c r="AI33" s="238"/>
      <c r="AJ33" s="838"/>
      <c r="AK33" s="839"/>
      <c r="AL33" s="51" t="e">
        <f t="shared" si="0"/>
        <v>#DIV/0!</v>
      </c>
      <c r="AM33" s="51" t="e">
        <f t="shared" si="1"/>
        <v>#DIV/0!</v>
      </c>
    </row>
    <row r="34" spans="1:39" x14ac:dyDescent="0.25">
      <c r="A34" s="71"/>
      <c r="B34" s="72"/>
      <c r="C34" s="73"/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f t="shared" ca="1" si="2"/>
        <v>0.14419470198675496</v>
      </c>
      <c r="AG34" s="1113"/>
      <c r="AH34" s="1110"/>
      <c r="AI34" s="238"/>
      <c r="AJ34" s="838"/>
      <c r="AK34" s="839"/>
      <c r="AL34" s="51" t="e">
        <f t="shared" si="0"/>
        <v>#DIV/0!</v>
      </c>
      <c r="AM34" s="51" t="e">
        <f t="shared" si="1"/>
        <v>#DIV/0!</v>
      </c>
    </row>
    <row r="35" spans="1:39" x14ac:dyDescent="0.25">
      <c r="A35" s="71"/>
      <c r="B35" s="72"/>
      <c r="C35" s="73"/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f t="shared" ca="1" si="2"/>
        <v>0.14419470198675496</v>
      </c>
      <c r="AG35" s="1113"/>
      <c r="AH35" s="1110"/>
      <c r="AI35" s="238"/>
      <c r="AJ35" s="838"/>
      <c r="AK35" s="839"/>
      <c r="AL35" s="51" t="e">
        <f t="shared" si="0"/>
        <v>#DIV/0!</v>
      </c>
      <c r="AM35" s="51" t="e">
        <f t="shared" si="1"/>
        <v>#DIV/0!</v>
      </c>
    </row>
    <row r="36" spans="1:39" x14ac:dyDescent="0.25">
      <c r="A36" s="71"/>
      <c r="B36" s="72"/>
      <c r="C36" s="73"/>
      <c r="D36" s="147"/>
      <c r="E36" s="75"/>
      <c r="F36" s="73"/>
      <c r="G36" s="147"/>
      <c r="H36" s="75"/>
      <c r="I36" s="73"/>
      <c r="J36" s="234"/>
      <c r="K36" s="73"/>
      <c r="L36" s="71"/>
      <c r="M36" s="73"/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f t="shared" ca="1" si="2"/>
        <v>0.14419470198675496</v>
      </c>
      <c r="AG36" s="1113"/>
      <c r="AH36" s="1110"/>
      <c r="AI36" s="238"/>
      <c r="AJ36" s="838"/>
      <c r="AK36" s="839"/>
      <c r="AL36" s="51" t="e">
        <f t="shared" si="0"/>
        <v>#DIV/0!</v>
      </c>
      <c r="AM36" s="51" t="e">
        <f t="shared" si="1"/>
        <v>#DIV/0!</v>
      </c>
    </row>
    <row r="37" spans="1:39" x14ac:dyDescent="0.25">
      <c r="A37" s="71"/>
      <c r="B37" s="72"/>
      <c r="C37" s="73"/>
      <c r="D37" s="147"/>
      <c r="E37" s="75"/>
      <c r="F37" s="73"/>
      <c r="G37" s="147"/>
      <c r="H37" s="75"/>
      <c r="I37" s="73"/>
      <c r="J37" s="234"/>
      <c r="K37" s="73"/>
      <c r="L37" s="71"/>
      <c r="M37" s="73"/>
      <c r="N37" s="894"/>
      <c r="O37" s="73"/>
      <c r="P37" s="71"/>
      <c r="Q37" s="73"/>
      <c r="R37" s="71"/>
      <c r="S37" s="73"/>
      <c r="T37" s="894"/>
      <c r="U37" s="1199"/>
      <c r="V37" s="73"/>
      <c r="W37" s="894"/>
      <c r="X37" s="1199"/>
      <c r="Y37" s="73"/>
      <c r="Z37" s="894"/>
      <c r="AA37" s="1199"/>
      <c r="AB37" s="73"/>
      <c r="AC37" s="894"/>
      <c r="AD37" s="1199"/>
      <c r="AE37" s="73"/>
      <c r="AF37" s="1112">
        <f t="shared" ca="1" si="2"/>
        <v>0.14419470198675496</v>
      </c>
      <c r="AG37" s="1113"/>
      <c r="AH37" s="1110"/>
      <c r="AI37" s="238"/>
      <c r="AJ37" s="838"/>
      <c r="AK37" s="839"/>
      <c r="AL37" s="51" t="e">
        <f t="shared" si="0"/>
        <v>#DIV/0!</v>
      </c>
      <c r="AM37" s="51" t="e">
        <f t="shared" si="1"/>
        <v>#DIV/0!</v>
      </c>
    </row>
    <row r="38" spans="1:39" x14ac:dyDescent="0.25">
      <c r="A38" s="71"/>
      <c r="B38" s="72"/>
      <c r="C38" s="73"/>
      <c r="D38" s="147"/>
      <c r="E38" s="75"/>
      <c r="F38" s="73"/>
      <c r="G38" s="147"/>
      <c r="H38" s="75"/>
      <c r="I38" s="73"/>
      <c r="J38" s="234"/>
      <c r="K38" s="73"/>
      <c r="L38" s="71"/>
      <c r="M38" s="73"/>
      <c r="N38" s="894"/>
      <c r="O38" s="73"/>
      <c r="P38" s="71"/>
      <c r="Q38" s="73"/>
      <c r="R38" s="71"/>
      <c r="S38" s="73"/>
      <c r="T38" s="894"/>
      <c r="U38" s="1199"/>
      <c r="V38" s="73"/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f t="shared" ca="1" si="2"/>
        <v>0.14419470198675496</v>
      </c>
      <c r="AG38" s="1113"/>
      <c r="AH38" s="1110"/>
      <c r="AI38" s="238"/>
      <c r="AJ38" s="838"/>
      <c r="AK38" s="839"/>
      <c r="AL38" s="51" t="e">
        <f t="shared" si="0"/>
        <v>#DIV/0!</v>
      </c>
      <c r="AM38" s="51" t="e">
        <f t="shared" si="1"/>
        <v>#DIV/0!</v>
      </c>
    </row>
    <row r="39" spans="1:39" x14ac:dyDescent="0.25">
      <c r="A39" s="71"/>
      <c r="B39" s="72"/>
      <c r="C39" s="73"/>
      <c r="D39" s="147"/>
      <c r="E39" s="75"/>
      <c r="F39" s="73"/>
      <c r="G39" s="147"/>
      <c r="H39" s="75"/>
      <c r="I39" s="73"/>
      <c r="J39" s="234"/>
      <c r="K39" s="73"/>
      <c r="L39" s="71"/>
      <c r="M39" s="73"/>
      <c r="N39" s="894"/>
      <c r="O39" s="73"/>
      <c r="P39" s="71"/>
      <c r="Q39" s="73"/>
      <c r="R39" s="71"/>
      <c r="S39" s="73"/>
      <c r="T39" s="894"/>
      <c r="U39" s="1199"/>
      <c r="V39" s="73"/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f t="shared" ca="1" si="2"/>
        <v>0.14419470198675496</v>
      </c>
      <c r="AG39" s="1113"/>
      <c r="AH39" s="1110"/>
      <c r="AI39" s="238"/>
      <c r="AJ39" s="838"/>
      <c r="AK39" s="839"/>
      <c r="AL39" s="51" t="e">
        <f t="shared" si="0"/>
        <v>#DIV/0!</v>
      </c>
      <c r="AM39" s="51" t="e">
        <f t="shared" si="1"/>
        <v>#DIV/0!</v>
      </c>
    </row>
    <row r="40" spans="1:39" x14ac:dyDescent="0.25">
      <c r="A40" s="71"/>
      <c r="B40" s="72"/>
      <c r="C40" s="73"/>
      <c r="D40" s="147"/>
      <c r="E40" s="75"/>
      <c r="F40" s="73"/>
      <c r="G40" s="147"/>
      <c r="H40" s="75"/>
      <c r="I40" s="73"/>
      <c r="J40" s="234"/>
      <c r="K40" s="73"/>
      <c r="L40" s="71"/>
      <c r="M40" s="73"/>
      <c r="N40" s="894"/>
      <c r="O40" s="73"/>
      <c r="P40" s="71"/>
      <c r="Q40" s="73"/>
      <c r="R40" s="71"/>
      <c r="S40" s="73"/>
      <c r="T40" s="894"/>
      <c r="U40" s="1199"/>
      <c r="V40" s="73"/>
      <c r="W40" s="894"/>
      <c r="X40" s="1199"/>
      <c r="Y40" s="73"/>
      <c r="Z40" s="894"/>
      <c r="AA40" s="1199"/>
      <c r="AB40" s="73"/>
      <c r="AC40" s="894"/>
      <c r="AD40" s="1199"/>
      <c r="AE40" s="73"/>
      <c r="AF40" s="1112">
        <f t="shared" ca="1" si="2"/>
        <v>0.14419470198675496</v>
      </c>
      <c r="AG40" s="1113"/>
      <c r="AH40" s="1110"/>
      <c r="AI40" s="238"/>
      <c r="AJ40" s="838"/>
      <c r="AK40" s="839"/>
      <c r="AL40" s="51" t="e">
        <f t="shared" si="0"/>
        <v>#DIV/0!</v>
      </c>
      <c r="AM40" s="51" t="e">
        <f t="shared" si="1"/>
        <v>#DIV/0!</v>
      </c>
    </row>
    <row r="41" spans="1:39" x14ac:dyDescent="0.25">
      <c r="A41" s="71"/>
      <c r="B41" s="72"/>
      <c r="C41" s="73"/>
      <c r="D41" s="147"/>
      <c r="E41" s="75"/>
      <c r="F41" s="73"/>
      <c r="G41" s="147"/>
      <c r="H41" s="75"/>
      <c r="I41" s="73"/>
      <c r="J41" s="234"/>
      <c r="K41" s="73"/>
      <c r="L41" s="71"/>
      <c r="M41" s="73"/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f t="shared" ca="1" si="2"/>
        <v>0.14419470198675496</v>
      </c>
      <c r="AG41" s="1113"/>
      <c r="AH41" s="1110"/>
      <c r="AI41" s="238"/>
      <c r="AJ41" s="838"/>
      <c r="AK41" s="839"/>
      <c r="AL41" s="51" t="e">
        <f t="shared" si="0"/>
        <v>#DIV/0!</v>
      </c>
      <c r="AM41" s="51" t="e">
        <f t="shared" si="1"/>
        <v>#DIV/0!</v>
      </c>
    </row>
    <row r="42" spans="1:39" x14ac:dyDescent="0.25">
      <c r="A42" s="71"/>
      <c r="B42" s="72"/>
      <c r="C42" s="73"/>
      <c r="D42" s="147"/>
      <c r="E42" s="75"/>
      <c r="F42" s="73"/>
      <c r="G42" s="147"/>
      <c r="H42" s="75"/>
      <c r="I42" s="73"/>
      <c r="J42" s="234"/>
      <c r="K42" s="73"/>
      <c r="L42" s="71"/>
      <c r="M42" s="73"/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f t="shared" ca="1" si="2"/>
        <v>0.14419470198675496</v>
      </c>
      <c r="AG42" s="1113"/>
      <c r="AH42" s="1110"/>
      <c r="AI42" s="238"/>
      <c r="AJ42" s="838"/>
      <c r="AK42" s="839"/>
      <c r="AL42" s="51" t="e">
        <f t="shared" si="0"/>
        <v>#DIV/0!</v>
      </c>
      <c r="AM42" s="51" t="e">
        <f t="shared" si="1"/>
        <v>#DIV/0!</v>
      </c>
    </row>
    <row r="43" spans="1:39" x14ac:dyDescent="0.25">
      <c r="A43" s="71"/>
      <c r="B43" s="72"/>
      <c r="C43" s="73"/>
      <c r="D43" s="147"/>
      <c r="E43" s="75"/>
      <c r="F43" s="73"/>
      <c r="G43" s="147"/>
      <c r="H43" s="75"/>
      <c r="I43" s="73"/>
      <c r="J43" s="234"/>
      <c r="K43" s="73"/>
      <c r="L43" s="71"/>
      <c r="M43" s="73"/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f t="shared" ca="1" si="2"/>
        <v>0.14419470198675496</v>
      </c>
      <c r="AG43" s="1113"/>
      <c r="AH43" s="1110"/>
      <c r="AI43" s="238"/>
      <c r="AJ43" s="838"/>
      <c r="AK43" s="839"/>
      <c r="AL43" s="51" t="e">
        <f t="shared" si="0"/>
        <v>#DIV/0!</v>
      </c>
      <c r="AM43" s="51" t="e">
        <f t="shared" si="1"/>
        <v>#DIV/0!</v>
      </c>
    </row>
    <row r="44" spans="1:39" x14ac:dyDescent="0.25">
      <c r="A44" s="71"/>
      <c r="B44" s="72"/>
      <c r="C44" s="73"/>
      <c r="D44" s="147"/>
      <c r="E44" s="75"/>
      <c r="F44" s="73"/>
      <c r="G44" s="345"/>
      <c r="H44" s="346"/>
      <c r="I44" s="347"/>
      <c r="J44" s="234"/>
      <c r="K44" s="73"/>
      <c r="L44" s="71"/>
      <c r="M44" s="73"/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f t="shared" ca="1" si="2"/>
        <v>0.14419470198675496</v>
      </c>
      <c r="AG44" s="1113"/>
      <c r="AH44" s="1110"/>
      <c r="AI44" s="238"/>
      <c r="AJ44" s="838"/>
      <c r="AK44" s="839"/>
      <c r="AL44" s="51" t="e">
        <f t="shared" si="0"/>
        <v>#DIV/0!</v>
      </c>
      <c r="AM44" s="51" t="e">
        <f t="shared" si="1"/>
        <v>#DIV/0!</v>
      </c>
    </row>
    <row r="45" spans="1:39" x14ac:dyDescent="0.25">
      <c r="A45" s="71"/>
      <c r="B45" s="72"/>
      <c r="C45" s="73"/>
      <c r="D45" s="147"/>
      <c r="E45" s="75"/>
      <c r="F45" s="73"/>
      <c r="G45" s="147"/>
      <c r="H45" s="75"/>
      <c r="I45" s="73"/>
      <c r="J45" s="234"/>
      <c r="K45" s="73"/>
      <c r="L45" s="71"/>
      <c r="M45" s="73"/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f t="shared" ca="1" si="2"/>
        <v>0.14419470198675496</v>
      </c>
      <c r="AG45" s="1113"/>
      <c r="AH45" s="1110"/>
      <c r="AI45" s="238"/>
      <c r="AJ45" s="838"/>
      <c r="AK45" s="839"/>
      <c r="AL45" s="51" t="e">
        <f t="shared" si="0"/>
        <v>#DIV/0!</v>
      </c>
      <c r="AM45" s="51" t="e">
        <f t="shared" si="1"/>
        <v>#DIV/0!</v>
      </c>
    </row>
    <row r="46" spans="1:39" x14ac:dyDescent="0.25">
      <c r="A46" s="71"/>
      <c r="B46" s="72"/>
      <c r="C46" s="73"/>
      <c r="D46" s="147"/>
      <c r="E46" s="75"/>
      <c r="F46" s="73"/>
      <c r="G46" s="147"/>
      <c r="H46" s="75"/>
      <c r="I46" s="73"/>
      <c r="J46" s="234"/>
      <c r="K46" s="73"/>
      <c r="L46" s="71"/>
      <c r="M46" s="73"/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f t="shared" ca="1" si="2"/>
        <v>0.14419470198675496</v>
      </c>
      <c r="AG46" s="1113"/>
      <c r="AH46" s="1110"/>
      <c r="AI46" s="238"/>
      <c r="AJ46" s="838"/>
      <c r="AK46" s="839"/>
      <c r="AL46" s="51" t="e">
        <f t="shared" si="0"/>
        <v>#DIV/0!</v>
      </c>
      <c r="AM46" s="51" t="e">
        <f t="shared" si="1"/>
        <v>#DIV/0!</v>
      </c>
    </row>
    <row r="47" spans="1:39" x14ac:dyDescent="0.25">
      <c r="A47" s="71"/>
      <c r="B47" s="72"/>
      <c r="C47" s="73"/>
      <c r="D47" s="147"/>
      <c r="E47" s="75"/>
      <c r="F47" s="73"/>
      <c r="G47" s="147"/>
      <c r="H47" s="75"/>
      <c r="I47" s="73"/>
      <c r="J47" s="234"/>
      <c r="K47" s="73"/>
      <c r="L47" s="71"/>
      <c r="M47" s="73"/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f t="shared" ca="1" si="2"/>
        <v>0.14419470198675496</v>
      </c>
      <c r="AG47" s="1113"/>
      <c r="AH47" s="1110"/>
      <c r="AI47" s="238"/>
      <c r="AJ47" s="838"/>
      <c r="AK47" s="839"/>
      <c r="AL47" s="51" t="e">
        <f t="shared" si="0"/>
        <v>#DIV/0!</v>
      </c>
      <c r="AM47" s="51" t="e">
        <f t="shared" si="1"/>
        <v>#DIV/0!</v>
      </c>
    </row>
    <row r="48" spans="1:39" x14ac:dyDescent="0.25">
      <c r="A48" s="71"/>
      <c r="B48" s="72"/>
      <c r="C48" s="73"/>
      <c r="D48" s="147"/>
      <c r="E48" s="75"/>
      <c r="F48" s="73"/>
      <c r="G48" s="147"/>
      <c r="H48" s="75"/>
      <c r="I48" s="73"/>
      <c r="J48" s="234"/>
      <c r="K48" s="73"/>
      <c r="L48" s="71"/>
      <c r="M48" s="73"/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f t="shared" ca="1" si="2"/>
        <v>0.14419470198675496</v>
      </c>
      <c r="AG48" s="1113"/>
      <c r="AH48" s="1110"/>
      <c r="AI48" s="238"/>
      <c r="AJ48" s="838"/>
      <c r="AK48" s="839"/>
      <c r="AL48" s="51" t="e">
        <f t="shared" si="0"/>
        <v>#DIV/0!</v>
      </c>
      <c r="AM48" s="51" t="e">
        <f t="shared" si="1"/>
        <v>#DIV/0!</v>
      </c>
    </row>
    <row r="49" spans="1:39" x14ac:dyDescent="0.25">
      <c r="A49" s="71"/>
      <c r="B49" s="72"/>
      <c r="C49" s="73"/>
      <c r="D49" s="147"/>
      <c r="E49" s="75"/>
      <c r="F49" s="73"/>
      <c r="G49" s="147"/>
      <c r="H49" s="75"/>
      <c r="I49" s="73"/>
      <c r="J49" s="234"/>
      <c r="K49" s="73"/>
      <c r="L49" s="71"/>
      <c r="M49" s="73"/>
      <c r="N49" s="894"/>
      <c r="O49" s="73"/>
      <c r="P49" s="71"/>
      <c r="Q49" s="73"/>
      <c r="R49" s="71"/>
      <c r="S49" s="73"/>
      <c r="T49" s="894">
        <v>43808</v>
      </c>
      <c r="U49" s="1199" t="s">
        <v>961</v>
      </c>
      <c r="V49" s="73">
        <v>1.72</v>
      </c>
      <c r="W49" s="894"/>
      <c r="X49" s="1199"/>
      <c r="Y49" s="73"/>
      <c r="Z49" s="894"/>
      <c r="AA49" s="1199"/>
      <c r="AB49" s="73"/>
      <c r="AC49" s="894"/>
      <c r="AD49" s="1199"/>
      <c r="AE49" s="73"/>
      <c r="AF49" s="1112">
        <f t="shared" ca="1" si="2"/>
        <v>0.14419470198675496</v>
      </c>
      <c r="AG49" s="1113"/>
      <c r="AH49" s="1110"/>
      <c r="AI49" s="238"/>
      <c r="AJ49" s="838"/>
      <c r="AK49" s="839"/>
      <c r="AL49" s="51" t="e">
        <f t="shared" si="0"/>
        <v>#DIV/0!</v>
      </c>
      <c r="AM49" s="51" t="e">
        <f t="shared" si="1"/>
        <v>#DIV/0!</v>
      </c>
    </row>
    <row r="50" spans="1:39" x14ac:dyDescent="0.25">
      <c r="A50" s="71"/>
      <c r="B50" s="72"/>
      <c r="C50" s="73"/>
      <c r="D50" s="147"/>
      <c r="E50" s="75"/>
      <c r="F50" s="73"/>
      <c r="G50" s="147"/>
      <c r="H50" s="75"/>
      <c r="I50" s="73"/>
      <c r="J50" s="234"/>
      <c r="K50" s="73"/>
      <c r="L50" s="71"/>
      <c r="M50" s="73"/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1.72</v>
      </c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f t="shared" ca="1" si="2"/>
        <v>0.14419470198675496</v>
      </c>
      <c r="AG50" s="1113"/>
      <c r="AH50" s="1110"/>
      <c r="AI50" s="238"/>
      <c r="AJ50" s="838"/>
      <c r="AK50" s="839"/>
      <c r="AL50" s="51" t="e">
        <f t="shared" si="0"/>
        <v>#DIV/0!</v>
      </c>
      <c r="AM50" s="51" t="e">
        <f t="shared" si="1"/>
        <v>#DIV/0!</v>
      </c>
    </row>
    <row r="51" spans="1:39" x14ac:dyDescent="0.25">
      <c r="A51" s="71"/>
      <c r="B51" s="72"/>
      <c r="C51" s="73"/>
      <c r="D51" s="147"/>
      <c r="E51" s="75"/>
      <c r="F51" s="73"/>
      <c r="G51" s="147"/>
      <c r="H51" s="75"/>
      <c r="I51" s="73"/>
      <c r="J51" s="234"/>
      <c r="K51" s="73"/>
      <c r="L51" s="71"/>
      <c r="M51" s="73"/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1.72</v>
      </c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f t="shared" ca="1" si="2"/>
        <v>0.14419470198675496</v>
      </c>
      <c r="AG51" s="1113"/>
      <c r="AH51" s="1110"/>
      <c r="AI51" s="238"/>
      <c r="AJ51" s="838"/>
      <c r="AK51" s="839"/>
      <c r="AL51" s="51" t="e">
        <f t="shared" si="0"/>
        <v>#DIV/0!</v>
      </c>
      <c r="AM51" s="51" t="e">
        <f t="shared" si="1"/>
        <v>#DIV/0!</v>
      </c>
    </row>
    <row r="52" spans="1:39" x14ac:dyDescent="0.25">
      <c r="A52" s="71"/>
      <c r="B52" s="72"/>
      <c r="C52" s="73"/>
      <c r="D52" s="147"/>
      <c r="E52" s="75"/>
      <c r="F52" s="73"/>
      <c r="G52" s="147"/>
      <c r="H52" s="75"/>
      <c r="I52" s="73"/>
      <c r="J52" s="234"/>
      <c r="K52" s="73"/>
      <c r="L52" s="71"/>
      <c r="M52" s="73"/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1.72</v>
      </c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f t="shared" ca="1" si="2"/>
        <v>0.14419470198675496</v>
      </c>
      <c r="AG52" s="1113"/>
      <c r="AH52" s="1110"/>
      <c r="AI52" s="238"/>
      <c r="AJ52" s="838"/>
      <c r="AK52" s="839"/>
      <c r="AL52" s="51" t="e">
        <f t="shared" si="0"/>
        <v>#DIV/0!</v>
      </c>
      <c r="AM52" s="51" t="e">
        <f t="shared" si="1"/>
        <v>#DIV/0!</v>
      </c>
    </row>
    <row r="53" spans="1:39" x14ac:dyDescent="0.25">
      <c r="A53" s="71"/>
      <c r="B53" s="72"/>
      <c r="C53" s="73"/>
      <c r="D53" s="147"/>
      <c r="E53" s="75"/>
      <c r="F53" s="73"/>
      <c r="G53" s="147"/>
      <c r="H53" s="75"/>
      <c r="I53" s="73"/>
      <c r="J53" s="234"/>
      <c r="K53" s="73"/>
      <c r="L53" s="71"/>
      <c r="M53" s="73"/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f t="shared" ca="1" si="2"/>
        <v>0.14419470198675496</v>
      </c>
      <c r="AG53" s="1113"/>
      <c r="AH53" s="1110"/>
      <c r="AI53" s="238"/>
      <c r="AJ53" s="838"/>
      <c r="AK53" s="839"/>
      <c r="AL53" s="51" t="e">
        <f t="shared" si="0"/>
        <v>#DIV/0!</v>
      </c>
      <c r="AM53" s="51" t="e">
        <f t="shared" si="1"/>
        <v>#DIV/0!</v>
      </c>
    </row>
    <row r="54" spans="1:39" x14ac:dyDescent="0.25">
      <c r="A54" s="71"/>
      <c r="B54" s="72"/>
      <c r="C54" s="73"/>
      <c r="D54" s="147"/>
      <c r="E54" s="75"/>
      <c r="F54" s="73"/>
      <c r="G54" s="147"/>
      <c r="H54" s="75"/>
      <c r="I54" s="73"/>
      <c r="J54" s="234"/>
      <c r="K54" s="73"/>
      <c r="L54" s="71"/>
      <c r="M54" s="73"/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f t="shared" ca="1" si="2"/>
        <v>0.14419470198675496</v>
      </c>
      <c r="AG54" s="1113"/>
      <c r="AH54" s="1110"/>
      <c r="AI54" s="238"/>
      <c r="AJ54" s="838"/>
      <c r="AK54" s="839"/>
      <c r="AL54" s="51" t="e">
        <f t="shared" si="0"/>
        <v>#DIV/0!</v>
      </c>
      <c r="AM54" s="51" t="e">
        <f t="shared" si="1"/>
        <v>#DIV/0!</v>
      </c>
    </row>
    <row r="55" spans="1:39" x14ac:dyDescent="0.25">
      <c r="A55" s="71"/>
      <c r="B55" s="72"/>
      <c r="C55" s="73"/>
      <c r="D55" s="147"/>
      <c r="E55" s="75"/>
      <c r="F55" s="73"/>
      <c r="G55" s="147"/>
      <c r="H55" s="75"/>
      <c r="I55" s="73"/>
      <c r="J55" s="234"/>
      <c r="K55" s="73"/>
      <c r="L55" s="71"/>
      <c r="M55" s="73"/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f t="shared" ca="1" si="2"/>
        <v>0.14419470198675496</v>
      </c>
      <c r="AG55" s="1113"/>
      <c r="AH55" s="1110"/>
      <c r="AI55" s="238"/>
      <c r="AJ55" s="838"/>
      <c r="AK55" s="839"/>
      <c r="AL55" s="51" t="e">
        <f t="shared" si="0"/>
        <v>#DIV/0!</v>
      </c>
      <c r="AM55" s="51" t="e">
        <f t="shared" si="1"/>
        <v>#DIV/0!</v>
      </c>
    </row>
    <row r="56" spans="1:39" x14ac:dyDescent="0.25">
      <c r="A56" s="71"/>
      <c r="B56" s="72"/>
      <c r="C56" s="73"/>
      <c r="D56" s="147"/>
      <c r="E56" s="75"/>
      <c r="F56" s="73"/>
      <c r="G56" s="147"/>
      <c r="H56" s="75"/>
      <c r="I56" s="73"/>
      <c r="J56" s="234"/>
      <c r="K56" s="73"/>
      <c r="L56" s="71"/>
      <c r="M56" s="73"/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f t="shared" ca="1" si="2"/>
        <v>0.14419470198675496</v>
      </c>
      <c r="AG56" s="1113"/>
      <c r="AH56" s="1110"/>
      <c r="AI56" s="238"/>
      <c r="AJ56" s="838"/>
      <c r="AK56" s="839"/>
      <c r="AL56" s="51" t="e">
        <f t="shared" si="0"/>
        <v>#DIV/0!</v>
      </c>
      <c r="AM56" s="51" t="e">
        <f t="shared" si="1"/>
        <v>#DIV/0!</v>
      </c>
    </row>
    <row r="57" spans="1:39" x14ac:dyDescent="0.25">
      <c r="A57" s="71"/>
      <c r="B57" s="72"/>
      <c r="C57" s="73"/>
      <c r="D57" s="147"/>
      <c r="E57" s="75"/>
      <c r="F57" s="73"/>
      <c r="G57" s="147"/>
      <c r="H57" s="75"/>
      <c r="I57" s="73"/>
      <c r="J57" s="234"/>
      <c r="K57" s="73"/>
      <c r="L57" s="71"/>
      <c r="M57" s="73"/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f t="shared" ca="1" si="2"/>
        <v>0.14419470198675496</v>
      </c>
      <c r="AG57" s="1113"/>
      <c r="AH57" s="1110"/>
      <c r="AI57" s="238"/>
      <c r="AJ57" s="838"/>
      <c r="AK57" s="839"/>
      <c r="AL57" s="51" t="e">
        <f t="shared" si="0"/>
        <v>#DIV/0!</v>
      </c>
      <c r="AM57" s="51" t="e">
        <f t="shared" si="1"/>
        <v>#DIV/0!</v>
      </c>
    </row>
    <row r="58" spans="1:39" x14ac:dyDescent="0.25">
      <c r="A58" s="71"/>
      <c r="B58" s="72"/>
      <c r="C58" s="73"/>
      <c r="D58" s="147"/>
      <c r="E58" s="75"/>
      <c r="F58" s="73"/>
      <c r="G58" s="147"/>
      <c r="H58" s="75"/>
      <c r="I58" s="73"/>
      <c r="J58" s="234"/>
      <c r="K58" s="73"/>
      <c r="L58" s="71"/>
      <c r="M58" s="73"/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f t="shared" ca="1" si="2"/>
        <v>0.14419470198675496</v>
      </c>
      <c r="AG58" s="1113"/>
      <c r="AH58" s="1110"/>
      <c r="AI58" s="238"/>
      <c r="AJ58" s="838"/>
      <c r="AK58" s="839"/>
      <c r="AL58" s="51" t="e">
        <f t="shared" si="0"/>
        <v>#DIV/0!</v>
      </c>
      <c r="AM58" s="51" t="e">
        <f t="shared" si="1"/>
        <v>#DIV/0!</v>
      </c>
    </row>
    <row r="59" spans="1:39" x14ac:dyDescent="0.25">
      <c r="A59" s="71"/>
      <c r="B59" s="72"/>
      <c r="C59" s="73"/>
      <c r="D59" s="147"/>
      <c r="E59" s="75"/>
      <c r="F59" s="73"/>
      <c r="G59" s="147"/>
      <c r="H59" s="75"/>
      <c r="I59" s="73"/>
      <c r="J59" s="234"/>
      <c r="K59" s="73"/>
      <c r="L59" s="71"/>
      <c r="M59" s="73"/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f t="shared" ca="1" si="2"/>
        <v>0.14419470198675496</v>
      </c>
      <c r="AG59" s="1113"/>
      <c r="AH59" s="1110"/>
      <c r="AI59" s="238"/>
      <c r="AJ59" s="838"/>
      <c r="AK59" s="839"/>
      <c r="AL59" s="51" t="e">
        <f t="shared" si="0"/>
        <v>#DIV/0!</v>
      </c>
      <c r="AM59" s="51" t="e">
        <f t="shared" si="1"/>
        <v>#DIV/0!</v>
      </c>
    </row>
    <row r="60" spans="1:39" x14ac:dyDescent="0.25">
      <c r="A60" s="71"/>
      <c r="B60" s="72"/>
      <c r="C60" s="73"/>
      <c r="D60" s="147"/>
      <c r="E60" s="75"/>
      <c r="F60" s="73"/>
      <c r="G60" s="147"/>
      <c r="H60" s="75"/>
      <c r="I60" s="73"/>
      <c r="J60" s="234"/>
      <c r="K60" s="73"/>
      <c r="L60" s="71"/>
      <c r="M60" s="73"/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f t="shared" ca="1" si="2"/>
        <v>0.14419470198675496</v>
      </c>
      <c r="AG60" s="1113"/>
      <c r="AH60" s="1110"/>
      <c r="AI60" s="238"/>
      <c r="AJ60" s="838"/>
      <c r="AK60" s="839"/>
      <c r="AL60" s="51" t="e">
        <f t="shared" si="0"/>
        <v>#DIV/0!</v>
      </c>
      <c r="AM60" s="51" t="e">
        <f t="shared" si="1"/>
        <v>#DIV/0!</v>
      </c>
    </row>
    <row r="61" spans="1:39" x14ac:dyDescent="0.25">
      <c r="A61" s="71"/>
      <c r="B61" s="72"/>
      <c r="C61" s="73"/>
      <c r="D61" s="147"/>
      <c r="E61" s="75"/>
      <c r="F61" s="73"/>
      <c r="G61" s="147"/>
      <c r="H61" s="75"/>
      <c r="I61" s="73"/>
      <c r="J61" s="234"/>
      <c r="K61" s="73"/>
      <c r="L61" s="71"/>
      <c r="M61" s="73"/>
      <c r="N61" s="894"/>
      <c r="O61" s="73"/>
      <c r="P61" s="71"/>
      <c r="Q61" s="73"/>
      <c r="R61" s="71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>
        <f t="shared" ca="1" si="2"/>
        <v>0.14419470198675496</v>
      </c>
      <c r="AG61" s="1113"/>
      <c r="AH61" s="1110"/>
      <c r="AI61" s="238"/>
      <c r="AJ61" s="838"/>
      <c r="AK61" s="839"/>
      <c r="AL61" s="51" t="e">
        <f t="shared" si="0"/>
        <v>#DIV/0!</v>
      </c>
      <c r="AM61" s="51" t="e">
        <f t="shared" si="1"/>
        <v>#DIV/0!</v>
      </c>
    </row>
    <row r="62" spans="1:39" x14ac:dyDescent="0.25">
      <c r="A62" s="71"/>
      <c r="B62" s="72"/>
      <c r="C62" s="73"/>
      <c r="D62" s="147"/>
      <c r="E62" s="75"/>
      <c r="F62" s="73"/>
      <c r="G62" s="147"/>
      <c r="H62" s="75"/>
      <c r="I62" s="73"/>
      <c r="J62" s="234"/>
      <c r="K62" s="73"/>
      <c r="L62" s="71"/>
      <c r="M62" s="73"/>
      <c r="N62" s="894"/>
      <c r="O62" s="73"/>
      <c r="P62" s="71"/>
      <c r="Q62" s="73"/>
      <c r="R62" s="71"/>
      <c r="S62" s="73"/>
      <c r="T62" s="894"/>
      <c r="U62" s="1199"/>
      <c r="V62" s="73"/>
      <c r="W62" s="894"/>
      <c r="X62" s="1199"/>
      <c r="Y62" s="73"/>
      <c r="Z62" s="894"/>
      <c r="AA62" s="1199"/>
      <c r="AB62" s="73"/>
      <c r="AC62" s="894"/>
      <c r="AD62" s="1199"/>
      <c r="AE62" s="73"/>
      <c r="AF62" s="1112">
        <f t="shared" ca="1" si="2"/>
        <v>0.14419470198675496</v>
      </c>
      <c r="AG62" s="1113"/>
      <c r="AH62" s="1110"/>
      <c r="AI62" s="238"/>
      <c r="AJ62" s="838"/>
      <c r="AK62" s="839"/>
      <c r="AL62" s="51" t="e">
        <f t="shared" si="0"/>
        <v>#DIV/0!</v>
      </c>
      <c r="AM62" s="51" t="e">
        <f t="shared" si="1"/>
        <v>#DIV/0!</v>
      </c>
    </row>
    <row r="63" spans="1:39" x14ac:dyDescent="0.25">
      <c r="A63" s="71"/>
      <c r="B63" s="72"/>
      <c r="C63" s="73"/>
      <c r="D63" s="147"/>
      <c r="E63" s="75"/>
      <c r="F63" s="73"/>
      <c r="G63" s="147"/>
      <c r="H63" s="75"/>
      <c r="I63" s="73"/>
      <c r="J63" s="234"/>
      <c r="K63" s="73"/>
      <c r="L63" s="71"/>
      <c r="M63" s="73"/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f t="shared" ca="1" si="2"/>
        <v>0.14419470198675496</v>
      </c>
      <c r="AG63" s="1113"/>
      <c r="AH63" s="1110"/>
      <c r="AI63" s="238"/>
      <c r="AJ63" s="838"/>
      <c r="AK63" s="839"/>
      <c r="AL63" s="51" t="e">
        <f t="shared" si="0"/>
        <v>#DIV/0!</v>
      </c>
      <c r="AM63" s="51" t="e">
        <f t="shared" si="1"/>
        <v>#DIV/0!</v>
      </c>
    </row>
    <row r="64" spans="1:39" x14ac:dyDescent="0.25">
      <c r="A64" s="71"/>
      <c r="B64" s="72"/>
      <c r="C64" s="73"/>
      <c r="D64" s="147"/>
      <c r="E64" s="75"/>
      <c r="F64" s="73"/>
      <c r="G64" s="147"/>
      <c r="H64" s="75"/>
      <c r="I64" s="73"/>
      <c r="J64" s="234"/>
      <c r="K64" s="73"/>
      <c r="L64" s="71"/>
      <c r="M64" s="73"/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f t="shared" ca="1" si="2"/>
        <v>0.14419470198675496</v>
      </c>
      <c r="AG64" s="1113"/>
      <c r="AH64" s="1110"/>
      <c r="AI64" s="238"/>
      <c r="AJ64" s="838"/>
      <c r="AK64" s="839"/>
      <c r="AL64" s="51" t="e">
        <f t="shared" si="0"/>
        <v>#DIV/0!</v>
      </c>
      <c r="AM64" s="51" t="e">
        <f t="shared" si="1"/>
        <v>#DIV/0!</v>
      </c>
    </row>
    <row r="65" spans="1:39" x14ac:dyDescent="0.25">
      <c r="A65" s="71"/>
      <c r="B65" s="72"/>
      <c r="C65" s="73"/>
      <c r="D65" s="147"/>
      <c r="E65" s="75"/>
      <c r="F65" s="73"/>
      <c r="G65" s="147"/>
      <c r="H65" s="75"/>
      <c r="I65" s="73"/>
      <c r="J65" s="234"/>
      <c r="K65" s="73"/>
      <c r="L65" s="71"/>
      <c r="M65" s="73"/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f t="shared" ca="1" si="2"/>
        <v>0.14419470198675496</v>
      </c>
      <c r="AG65" s="1113"/>
      <c r="AH65" s="1110"/>
      <c r="AI65" s="238"/>
      <c r="AJ65" s="838"/>
      <c r="AK65" s="839"/>
      <c r="AL65" s="51" t="e">
        <f t="shared" si="0"/>
        <v>#DIV/0!</v>
      </c>
      <c r="AM65" s="51" t="e">
        <f t="shared" si="1"/>
        <v>#DIV/0!</v>
      </c>
    </row>
    <row r="66" spans="1:39" x14ac:dyDescent="0.25">
      <c r="A66" s="71"/>
      <c r="B66" s="72"/>
      <c r="C66" s="73"/>
      <c r="D66" s="147"/>
      <c r="E66" s="75"/>
      <c r="F66" s="73"/>
      <c r="G66" s="147"/>
      <c r="H66" s="75"/>
      <c r="I66" s="73"/>
      <c r="J66" s="234"/>
      <c r="K66" s="73"/>
      <c r="L66" s="71"/>
      <c r="M66" s="73"/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f t="shared" ca="1" si="2"/>
        <v>0.14419470198675496</v>
      </c>
      <c r="AG66" s="1113"/>
      <c r="AH66" s="1110"/>
      <c r="AI66" s="238"/>
      <c r="AJ66" s="838"/>
      <c r="AK66" s="839"/>
      <c r="AL66" s="51" t="e">
        <f t="shared" si="0"/>
        <v>#DIV/0!</v>
      </c>
      <c r="AM66" s="51" t="e">
        <f t="shared" si="1"/>
        <v>#DIV/0!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71"/>
      <c r="M67" s="73"/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ca="1" si="2"/>
        <v>0.14419470198675496</v>
      </c>
      <c r="AG67" s="1113"/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71"/>
      <c r="M68" s="73"/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0.14419470198675496</v>
      </c>
      <c r="AG68" s="1113"/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71"/>
      <c r="M69" s="73"/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0.14419470198675496</v>
      </c>
      <c r="AG69" s="1113"/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71"/>
      <c r="M70" s="73"/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0.14419470198675496</v>
      </c>
      <c r="AG70" s="1113"/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71"/>
      <c r="M71" s="73"/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0.14419470198675496</v>
      </c>
      <c r="AG71" s="1113"/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71"/>
      <c r="M72" s="73"/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0.14419470198675496</v>
      </c>
      <c r="AG72" s="1113"/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71"/>
      <c r="M73" s="73"/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2"/>
        <v>0.14419470198675496</v>
      </c>
      <c r="AG73" s="1113"/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71"/>
      <c r="M74" s="73"/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0.14419470198675496</v>
      </c>
      <c r="AG74" s="1113"/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0.14419470198675496</v>
      </c>
      <c r="AG75" s="1113"/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0.14419470198675496</v>
      </c>
      <c r="AG76" s="1113"/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0.14419470198675496</v>
      </c>
      <c r="AG77" s="1113"/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0.14419470198675496</v>
      </c>
      <c r="AG78" s="1113"/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0.14419470198675496</v>
      </c>
      <c r="AG79" s="1113"/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161"/>
      <c r="H80" s="831"/>
      <c r="I80" s="835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0.14419470198675496</v>
      </c>
      <c r="AG80" s="1113"/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0.14419470198675496</v>
      </c>
      <c r="AG81" s="1113"/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0.14419470198675496</v>
      </c>
      <c r="AG82" s="1113"/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0.14419470198675496</v>
      </c>
      <c r="AG83" s="1113"/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0.14419470198675496</v>
      </c>
      <c r="AG84" s="1113"/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0.14419470198675496</v>
      </c>
      <c r="AG85" s="1113"/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ca="1">$F$5</f>
        <v>0.14419470198675496</v>
      </c>
      <c r="AG86" s="1113"/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ca="1">$F$5</f>
        <v>0.14419470198675496</v>
      </c>
      <c r="AG87" s="1113"/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ca="1">$F$5</f>
        <v>0.14419470198675496</v>
      </c>
      <c r="AG88" s="1113"/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ref="AF89:AF96" ca="1" si="5">$F$5</f>
        <v>0.14419470198675496</v>
      </c>
      <c r="AG89" s="1113"/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5"/>
        <v>0.14419470198675496</v>
      </c>
      <c r="AG90" s="1113"/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5"/>
        <v>0.14419470198675496</v>
      </c>
      <c r="AG91" s="1113"/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5"/>
        <v>0.14419470198675496</v>
      </c>
      <c r="AG92" s="1113"/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5"/>
        <v>0.14419470198675496</v>
      </c>
      <c r="AG93" s="1113"/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5"/>
        <v>0.14419470198675496</v>
      </c>
      <c r="AG94" s="1113"/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5"/>
        <v>0.14419470198675496</v>
      </c>
      <c r="AG95" s="1113"/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5"/>
        <v>0.14419470198675496</v>
      </c>
      <c r="AG96" s="1113"/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0.36578009116203608</v>
      </c>
      <c r="AG98" s="1109" t="e">
        <f>AVERAGE(AG9:AG97)</f>
        <v>#DIV/0!</v>
      </c>
      <c r="AH98" s="1228">
        <f ca="1">D99-C99</f>
        <v>776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0.14895712432580049</v>
      </c>
      <c r="G99" s="1208">
        <f ca="1">J4+C101+F101+I101+K101+M101+O101+Q101+S101+V101+Y101+AB101+AE101</f>
        <v>1.0000000000000002</v>
      </c>
      <c r="H99" s="1210" t="s">
        <v>962</v>
      </c>
      <c r="I99" s="1207">
        <f ca="1">F99-F5</f>
        <v>4.76242233904553E-3</v>
      </c>
      <c r="J99" s="1303">
        <f ca="1">(F99/F5)-1</f>
        <v>3.3027720668149074E-2</v>
      </c>
      <c r="K99" s="2253">
        <f ca="1">((D99-C99)/(365.25/12)*F3)+C102+F102+I102+K102+M102+O102+Q102+S102+AE106</f>
        <v>115.5907284768212</v>
      </c>
      <c r="L99" s="2253"/>
      <c r="M99" s="1472" t="s">
        <v>1135</v>
      </c>
      <c r="N99" s="1470"/>
      <c r="O99" s="1471"/>
      <c r="P99" s="1188"/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0</v>
      </c>
      <c r="AH99" s="1226" t="e">
        <f>AVERAGE(AH9:AH97)</f>
        <v>#DIV/0!</v>
      </c>
      <c r="AI99" s="150"/>
      <c r="AJ99" s="150"/>
      <c r="AK99" s="150"/>
    </row>
    <row r="100" spans="1:38" s="561" customFormat="1" x14ac:dyDescent="0.25">
      <c r="A100" s="1178" t="s">
        <v>1022</v>
      </c>
      <c r="B100" s="1179"/>
      <c r="C100" s="1180">
        <v>0</v>
      </c>
      <c r="D100" s="2252" t="s">
        <v>1023</v>
      </c>
      <c r="E100" s="2246"/>
      <c r="F100" s="1180">
        <f ca="1">F102/$AH$98</f>
        <v>7.3865979381443306E-2</v>
      </c>
      <c r="G100" s="2252" t="s">
        <v>1024</v>
      </c>
      <c r="H100" s="2246"/>
      <c r="I100" s="1180">
        <f ca="1">I102/$AH$98</f>
        <v>0</v>
      </c>
      <c r="J100" s="1181" t="s">
        <v>1025</v>
      </c>
      <c r="K100" s="1180">
        <f ca="1">K102/$AH$98</f>
        <v>0</v>
      </c>
      <c r="L100" s="1181" t="s">
        <v>1026</v>
      </c>
      <c r="M100" s="1180">
        <f ca="1">M102/$AH$98</f>
        <v>0</v>
      </c>
      <c r="N100" s="1181" t="s">
        <v>1027</v>
      </c>
      <c r="O100" s="1180">
        <f ca="1">O102/$AH$98</f>
        <v>0</v>
      </c>
      <c r="P100" s="1181" t="s">
        <v>1028</v>
      </c>
      <c r="Q100" s="1180">
        <f ca="1">Q102/$AH$98</f>
        <v>0</v>
      </c>
      <c r="R100" s="1181" t="s">
        <v>1029</v>
      </c>
      <c r="S100" s="1241">
        <f ca="1">S102/$AH$98</f>
        <v>0</v>
      </c>
      <c r="T100" s="2252" t="s">
        <v>1030</v>
      </c>
      <c r="U100" s="2246"/>
      <c r="V100" s="1180">
        <f ca="1">V102/$AH$98</f>
        <v>8.8659793814432983E-3</v>
      </c>
      <c r="W100" s="2252" t="s">
        <v>1031</v>
      </c>
      <c r="X100" s="2246"/>
      <c r="Y100" s="1180">
        <f ca="1">Y102/$AH$98</f>
        <v>0</v>
      </c>
      <c r="Z100" s="2252" t="s">
        <v>1032</v>
      </c>
      <c r="AA100" s="2246"/>
      <c r="AB100" s="1180">
        <f ca="1">AB102/$AH$98</f>
        <v>0</v>
      </c>
      <c r="AC100" s="2252" t="s">
        <v>1033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v>0</v>
      </c>
      <c r="C101" s="1183">
        <v>0</v>
      </c>
      <c r="D101" s="1184"/>
      <c r="E101" s="1185"/>
      <c r="F101" s="1183">
        <f ca="1">F100/$F$99</f>
        <v>0.49588752277388831</v>
      </c>
      <c r="G101" s="1184"/>
      <c r="H101" s="1185"/>
      <c r="I101" s="1183">
        <f ca="1">I100/$F$99</f>
        <v>0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0</v>
      </c>
      <c r="N101" s="1184"/>
      <c r="O101" s="1183">
        <f ca="1">O100/$F$99</f>
        <v>0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5.952034467348833E-2</v>
      </c>
      <c r="W101" s="1184"/>
      <c r="X101" s="1185"/>
      <c r="Y101" s="1183">
        <f ca="1">Y100/$F$99</f>
        <v>0</v>
      </c>
      <c r="Z101" s="1184"/>
      <c r="AA101" s="1185"/>
      <c r="AB101" s="1183">
        <f ca="1">AB100/$F$99</f>
        <v>0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0</v>
      </c>
      <c r="C102" s="1197">
        <f ca="1">SUMIFS($C$9:$C$97,$A$9:$A$97,"&gt;="&amp;$C99,$A$9:$A$97,"&lt;="&amp;$D99)</f>
        <v>0</v>
      </c>
      <c r="D102" s="2251" t="s">
        <v>880</v>
      </c>
      <c r="E102" s="2250"/>
      <c r="F102" s="1197">
        <f ca="1">SUMIFS($F$9:$F$97,$D$9:$D$97,"&gt;="&amp;$C99,$D$9:$D$97,"&lt;="&amp;$D99)</f>
        <v>57.32</v>
      </c>
      <c r="G102" s="2251" t="s">
        <v>882</v>
      </c>
      <c r="H102" s="2250"/>
      <c r="I102" s="1197">
        <f ca="1">SUMIFS($I$9:$I$97,$G$9:$G$97,"&gt;="&amp;$C99,$G$9:$G$97,"&lt;="&amp;$D99)</f>
        <v>0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0</v>
      </c>
      <c r="N102" s="1157" t="s">
        <v>909</v>
      </c>
      <c r="O102" s="1158">
        <f ca="1">SUMIFS(O9:O97,N9:N97,"&gt;="&amp;$C99,N9:N97,"&lt;="&amp;$D99)</f>
        <v>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6.88</v>
      </c>
      <c r="W102" s="2251" t="s">
        <v>913</v>
      </c>
      <c r="X102" s="2250"/>
      <c r="Y102" s="1158">
        <f ca="1">SUMIFS(Y9:Y97,W9:W97,"&gt;="&amp;$C99,W9:W97,"&lt;="&amp;$D99)</f>
        <v>0</v>
      </c>
      <c r="Z102" s="2251" t="s">
        <v>890</v>
      </c>
      <c r="AA102" s="2250"/>
      <c r="AB102" s="1158">
        <f ca="1">SUMIFS(AB9:AB97,Z9:Z97,"&gt;="&amp;$C99,Z9:Z97,"&lt;="&amp;$D99)</f>
        <v>0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>C100-C6</f>
        <v>0</v>
      </c>
      <c r="D103" s="1205" t="s">
        <v>897</v>
      </c>
      <c r="E103" s="1195"/>
      <c r="F103" s="1206">
        <f ca="1">F100-F6</f>
        <v>2.7657540793336877E-4</v>
      </c>
      <c r="G103" s="1204" t="s">
        <v>897</v>
      </c>
      <c r="H103" s="1195"/>
      <c r="I103" s="1203">
        <f ca="1">I100-I6</f>
        <v>0</v>
      </c>
      <c r="J103" s="1205" t="s">
        <v>897</v>
      </c>
      <c r="K103" s="1206">
        <f ca="1">K100-K6</f>
        <v>-2.6490066225165557E-4</v>
      </c>
      <c r="L103" s="1204" t="s">
        <v>897</v>
      </c>
      <c r="M103" s="1203">
        <f ca="1">M100-M6</f>
        <v>0</v>
      </c>
      <c r="N103" s="1205" t="s">
        <v>897</v>
      </c>
      <c r="O103" s="1206">
        <f ca="1">O100-O6</f>
        <v>0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4.750747593363829E-3</v>
      </c>
      <c r="W103" s="1205" t="s">
        <v>897</v>
      </c>
      <c r="X103" s="1195"/>
      <c r="Y103" s="1206">
        <f ca="1">Y100-Y6</f>
        <v>0</v>
      </c>
      <c r="Z103" s="1205" t="s">
        <v>897</v>
      </c>
      <c r="AA103" s="1195"/>
      <c r="AB103" s="1206">
        <f ca="1">AB100-AB6</f>
        <v>0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1035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8.8659793814432983E-3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5.952034467348833E-2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6.88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s="7" customFormat="1" x14ac:dyDescent="0.25">
      <c r="A108" s="799">
        <v>43496</v>
      </c>
      <c r="B108" s="750" t="s">
        <v>376</v>
      </c>
      <c r="C108" s="750"/>
      <c r="D108" s="750" t="s">
        <v>539</v>
      </c>
      <c r="E108" s="776"/>
      <c r="F108" s="764">
        <v>33.97</v>
      </c>
      <c r="G108" s="750" t="s">
        <v>502</v>
      </c>
      <c r="H108" s="800"/>
      <c r="I108" s="800"/>
      <c r="J108" s="764"/>
      <c r="K108" s="800"/>
      <c r="L108" s="801"/>
      <c r="M108" s="802"/>
      <c r="N108" s="776"/>
      <c r="O108" s="909"/>
      <c r="P108" s="909"/>
    </row>
    <row r="109" spans="1:38" s="828" customFormat="1" x14ac:dyDescent="0.25">
      <c r="A109" s="827">
        <v>44354</v>
      </c>
      <c r="B109" s="537" t="s">
        <v>376</v>
      </c>
      <c r="C109" s="537"/>
      <c r="D109" s="537" t="s">
        <v>1396</v>
      </c>
      <c r="E109" s="596"/>
      <c r="F109" s="618">
        <v>57.32</v>
      </c>
      <c r="G109" s="537" t="s">
        <v>637</v>
      </c>
      <c r="J109" s="618"/>
      <c r="K109" s="828" t="s">
        <v>1397</v>
      </c>
      <c r="L109" s="829"/>
      <c r="M109" s="830"/>
      <c r="N109" s="830"/>
    </row>
    <row r="110" spans="1:38" s="52" customFormat="1" x14ac:dyDescent="0.25">
      <c r="A110" s="799"/>
      <c r="B110" s="6"/>
      <c r="C110" s="6"/>
      <c r="D110" s="750"/>
      <c r="E110" s="5"/>
      <c r="F110" s="764"/>
      <c r="G110" s="6"/>
      <c r="J110" s="229"/>
      <c r="L110" s="433"/>
      <c r="M110" s="479"/>
      <c r="N110" s="479"/>
    </row>
    <row r="111" spans="1:38" s="7" customFormat="1" x14ac:dyDescent="0.25">
      <c r="A111" s="799"/>
      <c r="B111" s="750"/>
      <c r="C111" s="750"/>
      <c r="D111" s="750"/>
      <c r="E111" s="776"/>
      <c r="F111" s="764"/>
      <c r="G111" s="750"/>
      <c r="J111" s="918"/>
      <c r="L111" s="776"/>
      <c r="M111" s="909"/>
      <c r="N111" s="909"/>
    </row>
    <row r="112" spans="1:38" s="7" customFormat="1" x14ac:dyDescent="0.25">
      <c r="A112" s="799"/>
      <c r="B112" s="750"/>
      <c r="C112" s="750"/>
      <c r="D112" s="750"/>
      <c r="E112" s="776"/>
      <c r="F112" s="764"/>
      <c r="G112" s="750"/>
      <c r="J112" s="918"/>
      <c r="L112" s="776"/>
      <c r="M112" s="909"/>
      <c r="N112" s="909"/>
    </row>
    <row r="113" spans="1:37" s="7" customFormat="1" x14ac:dyDescent="0.25">
      <c r="A113" s="799"/>
      <c r="B113" s="750"/>
      <c r="C113" s="750"/>
      <c r="D113" s="750"/>
      <c r="E113" s="776"/>
      <c r="F113" s="764"/>
      <c r="G113" s="750"/>
      <c r="J113" s="918"/>
      <c r="L113" s="776"/>
      <c r="M113" s="909"/>
      <c r="N113" s="909"/>
    </row>
    <row r="114" spans="1:37" s="7" customFormat="1" x14ac:dyDescent="0.25">
      <c r="A114" s="799"/>
      <c r="B114" s="750"/>
      <c r="C114" s="750"/>
      <c r="D114" s="750"/>
      <c r="E114" s="776"/>
      <c r="F114" s="764"/>
      <c r="G114" s="750"/>
      <c r="J114" s="918"/>
      <c r="L114" s="776"/>
      <c r="M114" s="909"/>
      <c r="N114" s="909"/>
    </row>
    <row r="115" spans="1:37" s="52" customFormat="1" x14ac:dyDescent="0.25">
      <c r="A115" s="799"/>
      <c r="B115" s="6"/>
      <c r="C115" s="6"/>
      <c r="D115" s="750"/>
      <c r="E115" s="5"/>
      <c r="F115" s="764"/>
      <c r="G115" s="6"/>
      <c r="J115" s="229"/>
      <c r="L115" s="433"/>
      <c r="M115" s="479"/>
      <c r="N115" s="479"/>
    </row>
    <row r="116" spans="1:37" s="52" customFormat="1" x14ac:dyDescent="0.25">
      <c r="A116" s="799"/>
      <c r="B116" s="6"/>
      <c r="C116" s="6"/>
      <c r="D116" s="750"/>
      <c r="E116" s="5"/>
      <c r="F116" s="764"/>
      <c r="G116" s="6"/>
      <c r="J116" s="229"/>
      <c r="L116" s="433"/>
      <c r="M116" s="479"/>
      <c r="N116" s="479"/>
    </row>
    <row r="117" spans="1:37" s="52" customFormat="1" x14ac:dyDescent="0.25">
      <c r="A117" s="799"/>
      <c r="B117" s="6"/>
      <c r="C117" s="6"/>
      <c r="D117" s="750"/>
      <c r="E117" s="5"/>
      <c r="F117" s="764"/>
      <c r="G117" s="6"/>
      <c r="J117" s="229"/>
      <c r="L117" s="433"/>
      <c r="M117" s="479"/>
      <c r="N117" s="479"/>
    </row>
    <row r="118" spans="1:37" s="52" customFormat="1" x14ac:dyDescent="0.25">
      <c r="A118" s="799"/>
      <c r="B118" s="6"/>
      <c r="C118" s="6"/>
      <c r="D118" s="750"/>
      <c r="E118" s="5"/>
      <c r="F118" s="764"/>
      <c r="G118" s="6"/>
      <c r="J118" s="229"/>
      <c r="L118" s="433"/>
      <c r="M118" s="479"/>
      <c r="N118" s="479"/>
    </row>
    <row r="119" spans="1:37" x14ac:dyDescent="0.25">
      <c r="E119" s="57"/>
      <c r="F119" s="121"/>
      <c r="I119" s="6"/>
      <c r="J119" s="1217"/>
      <c r="K119" s="1"/>
      <c r="L119" s="5"/>
      <c r="M119" s="61"/>
      <c r="N119" s="6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H119" s="1"/>
      <c r="AI119" s="1"/>
      <c r="AJ119" s="1"/>
      <c r="AK119" s="1"/>
    </row>
    <row r="120" spans="1:37" x14ac:dyDescent="0.25">
      <c r="E120" s="57"/>
      <c r="I120" s="6"/>
      <c r="J120" s="1217"/>
      <c r="K120" s="1"/>
      <c r="L120" s="5"/>
      <c r="M120" s="61"/>
      <c r="N120" s="6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H120" s="1"/>
      <c r="AI120" s="1"/>
      <c r="AJ120" s="1"/>
      <c r="AK120" s="1"/>
    </row>
    <row r="121" spans="1:37" x14ac:dyDescent="0.25">
      <c r="E121" s="57"/>
      <c r="I121" s="6"/>
      <c r="J121" s="1217"/>
      <c r="K121" s="1"/>
      <c r="L121" s="5"/>
      <c r="M121" s="61"/>
      <c r="N121" s="6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H121" s="1"/>
      <c r="AI121" s="1"/>
      <c r="AJ121" s="1"/>
      <c r="AK121" s="1"/>
    </row>
    <row r="122" spans="1:37" x14ac:dyDescent="0.25">
      <c r="E122" s="57"/>
      <c r="I122" s="6"/>
      <c r="J122" s="1217"/>
      <c r="K122" s="1"/>
      <c r="L122" s="5"/>
      <c r="M122" s="61"/>
      <c r="N122" s="6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H122" s="1"/>
      <c r="AI122" s="1"/>
      <c r="AJ122" s="1"/>
      <c r="AK122" s="1"/>
    </row>
  </sheetData>
  <sortState ref="G9:I26">
    <sortCondition ref="H9:H26"/>
    <sortCondition ref="G9:G26"/>
  </sortState>
  <mergeCells count="44">
    <mergeCell ref="AJ1:AK7"/>
    <mergeCell ref="D2:F2"/>
    <mergeCell ref="I2:J2"/>
    <mergeCell ref="B3:C3"/>
    <mergeCell ref="G3:H3"/>
    <mergeCell ref="B1:J1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100:AD100"/>
    <mergeCell ref="D8:E8"/>
    <mergeCell ref="G8:H8"/>
    <mergeCell ref="T8:U8"/>
    <mergeCell ref="W8:X8"/>
    <mergeCell ref="Z8:AA8"/>
    <mergeCell ref="AC8:AD8"/>
    <mergeCell ref="D100:E100"/>
    <mergeCell ref="G100:H100"/>
    <mergeCell ref="T100:U100"/>
    <mergeCell ref="W100:X100"/>
    <mergeCell ref="Z100:AA100"/>
    <mergeCell ref="K99:L99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</mergeCells>
  <conditionalFormatting sqref="AM9:AM44 AM97:AM98">
    <cfRule type="cellIs" dxfId="248" priority="3" operator="greaterThan">
      <formula>0</formula>
    </cfRule>
    <cfRule type="cellIs" dxfId="247" priority="4" operator="lessThan">
      <formula>0</formula>
    </cfRule>
  </conditionalFormatting>
  <conditionalFormatting sqref="AF9:AF96">
    <cfRule type="cellIs" dxfId="246" priority="5" operator="lessThan">
      <formula>$AF$98</formula>
    </cfRule>
    <cfRule type="cellIs" dxfId="245" priority="6" operator="greaterThan">
      <formula>$AF$98</formula>
    </cfRule>
  </conditionalFormatting>
  <conditionalFormatting sqref="AG9:AG96">
    <cfRule type="cellIs" dxfId="244" priority="7" operator="equal">
      <formula>$AG$99</formula>
    </cfRule>
    <cfRule type="cellIs" dxfId="243" priority="8" operator="lessThan">
      <formula>$AG$98</formula>
    </cfRule>
    <cfRule type="cellIs" dxfId="242" priority="9" operator="greaterThan">
      <formula>$AG$98</formula>
    </cfRule>
  </conditionalFormatting>
  <conditionalFormatting sqref="AM45:AM96">
    <cfRule type="cellIs" dxfId="241" priority="1" operator="greaterThan">
      <formula>0</formula>
    </cfRule>
    <cfRule type="cellIs" dxfId="240" priority="2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>
    <tabColor rgb="FF92D050"/>
  </sheetPr>
  <dimension ref="A1:AM152"/>
  <sheetViews>
    <sheetView workbookViewId="0">
      <pane xSplit="1" ySplit="8" topLeftCell="B60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6.5" style="51" customWidth="1"/>
    <col min="25" max="25" width="10.375" style="51" customWidth="1"/>
    <col min="26" max="26" width="9.125" style="478" customWidth="1"/>
    <col min="27" max="27" width="16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28</v>
      </c>
      <c r="B1" s="1569" t="s">
        <v>27</v>
      </c>
      <c r="C1" s="1569"/>
      <c r="D1" s="1569"/>
      <c r="E1" s="1569"/>
      <c r="F1" s="1569"/>
      <c r="G1" s="1569"/>
      <c r="H1" s="2243" t="s">
        <v>1163</v>
      </c>
      <c r="I1" s="2244"/>
      <c r="J1" s="1572">
        <v>161053</v>
      </c>
      <c r="K1" s="1573">
        <f>J1-B4</f>
        <v>31248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39309</v>
      </c>
      <c r="C2" s="1251">
        <v>39309</v>
      </c>
      <c r="D2" s="2263" t="s">
        <v>871</v>
      </c>
      <c r="E2" s="2264"/>
      <c r="F2" s="2264"/>
      <c r="G2" s="1168">
        <f ca="1">IF((TODAY()-B2)/365.25&lt;I2,I2,(TODAY()-B2)/365.25)</f>
        <v>14.505133470225873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20000</v>
      </c>
      <c r="C3" s="2264"/>
      <c r="D3" s="1365" t="s">
        <v>874</v>
      </c>
      <c r="E3" s="1169"/>
      <c r="F3" s="1175">
        <f ca="1">B3/G2/12</f>
        <v>114.90184975462438</v>
      </c>
      <c r="G3" s="2267" t="s">
        <v>875</v>
      </c>
      <c r="H3" s="2267"/>
      <c r="I3" s="1364">
        <f ca="1">F3/(F4/((TODAY()-C2)/365.25*12))</f>
        <v>0.12284634992782778</v>
      </c>
      <c r="J3" s="1171">
        <f ca="1">I3/$F$5</f>
        <v>0.24598096851706561</v>
      </c>
      <c r="K3" s="1375">
        <f ca="1">(B3/G2/365.25)/(F4/(TODAY()-C2))</f>
        <v>0.12284634992782777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2.2800303030303028E-2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129805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162805</v>
      </c>
      <c r="G4" s="1172" t="s">
        <v>876</v>
      </c>
      <c r="H4" s="1376"/>
      <c r="I4" s="1377">
        <f>F4-B4</f>
        <v>33000</v>
      </c>
      <c r="J4" s="1378">
        <f ca="1">I3/F99</f>
        <v>0.13851383697960026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4.5654108772230376E-2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0.49941404275471407</v>
      </c>
      <c r="G5" s="1211">
        <f ca="1">J3+C7+F7+I7+K7+M7+O7+Q7+S7+V7+Y7+AB7+AE7</f>
        <v>1.0000000000000002</v>
      </c>
      <c r="H5" s="1380">
        <f>B3+C8+F8+I8+K8+M8+O8+Q8+S8+AE5</f>
        <v>32171.48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752.41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0.14569284434203789</v>
      </c>
      <c r="D6" s="2252" t="s">
        <v>879</v>
      </c>
      <c r="E6" s="2246"/>
      <c r="F6" s="1180">
        <f>F8/$I$4</f>
        <v>0.18191939393939394</v>
      </c>
      <c r="G6" s="2252" t="s">
        <v>881</v>
      </c>
      <c r="H6" s="2254"/>
      <c r="I6" s="1379">
        <f>I8/$I$4</f>
        <v>5.8727272727272734E-3</v>
      </c>
      <c r="J6" s="1184" t="s">
        <v>898</v>
      </c>
      <c r="K6" s="1180">
        <f>K8/$I$4</f>
        <v>4.5454545454545455E-4</v>
      </c>
      <c r="L6" s="1181" t="s">
        <v>883</v>
      </c>
      <c r="M6" s="1180">
        <f>M8/$I$4</f>
        <v>1.9827878787878762E-2</v>
      </c>
      <c r="N6" s="1181" t="s">
        <v>908</v>
      </c>
      <c r="O6" s="1180">
        <f>O8/$I$4</f>
        <v>0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9.5627272727272731E-3</v>
      </c>
      <c r="W6" s="2252" t="s">
        <v>912</v>
      </c>
      <c r="X6" s="2246"/>
      <c r="Y6" s="1180">
        <f>Y8/$I$4</f>
        <v>4.8484848484848485E-3</v>
      </c>
      <c r="Z6" s="2255" t="s">
        <v>889</v>
      </c>
      <c r="AA6" s="2256"/>
      <c r="AB6" s="1180">
        <f>AB8/$I$4</f>
        <v>8.3890909090909085E-3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10.889400921658984</v>
      </c>
      <c r="C7" s="1183">
        <f ca="1">C6/$F$5</f>
        <v>0.29172756844884024</v>
      </c>
      <c r="D7" s="1184"/>
      <c r="E7" s="1185"/>
      <c r="F7" s="1183">
        <f ca="1">F6/$F$5</f>
        <v>0.36426567610303096</v>
      </c>
      <c r="G7" s="1184"/>
      <c r="H7" s="1185"/>
      <c r="I7" s="1183">
        <f ca="1">I6/$F$5</f>
        <v>1.17592353637754E-2</v>
      </c>
      <c r="J7" s="1243">
        <f>COUNT(J9:J97)</f>
        <v>2</v>
      </c>
      <c r="K7" s="1183">
        <f ca="1">K6/$F$5</f>
        <v>9.1015753589592874E-4</v>
      </c>
      <c r="L7" s="1184"/>
      <c r="M7" s="1183">
        <f ca="1">M6/$F$5</f>
        <v>3.970228525916155E-2</v>
      </c>
      <c r="N7" s="1184"/>
      <c r="O7" s="1183">
        <f ca="1">O6/$F$5</f>
        <v>0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1.9147894240178549E-2</v>
      </c>
      <c r="W7" s="1184"/>
      <c r="X7" s="1185"/>
      <c r="Y7" s="1183">
        <f ca="1">Y6/$F$5</f>
        <v>9.7083470495565732E-3</v>
      </c>
      <c r="Z7" s="1184"/>
      <c r="AA7" s="1185"/>
      <c r="AB7" s="1183">
        <f ca="1">AB6/$F$5</f>
        <v>1.679786748249526E-2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3402.7199999999993</v>
      </c>
      <c r="C8" s="1156">
        <f>SUM(C9:C97)</f>
        <v>4552.6099999999997</v>
      </c>
      <c r="D8" s="2251" t="s">
        <v>880</v>
      </c>
      <c r="E8" s="2250"/>
      <c r="F8" s="1158">
        <f>SUM(F9:F97)</f>
        <v>6003.34</v>
      </c>
      <c r="G8" s="2251" t="s">
        <v>882</v>
      </c>
      <c r="H8" s="2250"/>
      <c r="I8" s="1158">
        <f>SUM(I9:I97)</f>
        <v>193.8</v>
      </c>
      <c r="J8" s="1157" t="s">
        <v>899</v>
      </c>
      <c r="K8" s="1158">
        <f>SUM(K9:K97)</f>
        <v>15</v>
      </c>
      <c r="L8" s="1157" t="s">
        <v>884</v>
      </c>
      <c r="M8" s="1158">
        <f>SUM(M9:M97)</f>
        <v>654.31999999999914</v>
      </c>
      <c r="N8" s="1157" t="s">
        <v>909</v>
      </c>
      <c r="O8" s="1158">
        <f>SUM(O9:O97)</f>
        <v>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315.57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276.83999999999997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-63.900000000000006</v>
      </c>
      <c r="AK8" s="833">
        <f>SUM(AK9:AK97)</f>
        <v>-89.38</v>
      </c>
      <c r="AL8" s="54">
        <f>SUM(C9:C97)/SUM(B9:B97)</f>
        <v>1.3379325951003904</v>
      </c>
    </row>
    <row r="9" spans="1:39" x14ac:dyDescent="0.25">
      <c r="A9" s="64">
        <v>42643</v>
      </c>
      <c r="B9" s="65">
        <v>107.71</v>
      </c>
      <c r="C9" s="66">
        <v>108.08</v>
      </c>
      <c r="D9" s="67">
        <v>42604</v>
      </c>
      <c r="E9" s="68" t="s">
        <v>142</v>
      </c>
      <c r="F9" s="66">
        <v>1476.01</v>
      </c>
      <c r="G9" s="1355">
        <v>42716</v>
      </c>
      <c r="H9" s="1356" t="s">
        <v>99</v>
      </c>
      <c r="I9" s="1357">
        <v>21.82</v>
      </c>
      <c r="J9" s="69">
        <v>43373</v>
      </c>
      <c r="K9" s="66">
        <v>9.9960000000000004</v>
      </c>
      <c r="L9" s="64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17.59</v>
      </c>
      <c r="W9" s="1152"/>
      <c r="X9" s="1198"/>
      <c r="Y9" s="66"/>
      <c r="Z9" s="1152">
        <v>42684</v>
      </c>
      <c r="AA9" s="1198" t="s">
        <v>95</v>
      </c>
      <c r="AB9" s="66">
        <v>46.14</v>
      </c>
      <c r="AC9" s="1152"/>
      <c r="AD9" s="1198"/>
      <c r="AE9" s="66"/>
      <c r="AF9" s="1118">
        <v>0.09</v>
      </c>
      <c r="AG9" s="1119">
        <v>7.2</v>
      </c>
      <c r="AH9" s="1117"/>
      <c r="AI9" s="237"/>
      <c r="AJ9" s="838"/>
      <c r="AK9" s="839"/>
      <c r="AL9" s="51">
        <f t="shared" ref="AL9:AL72" si="0">C9/B9</f>
        <v>1.0034351499396528</v>
      </c>
      <c r="AM9" s="51">
        <f t="shared" ref="AM9:AM72" si="1">AL9-$AL$8</f>
        <v>-0.33449744516073765</v>
      </c>
    </row>
    <row r="10" spans="1:39" x14ac:dyDescent="0.25">
      <c r="A10" s="71">
        <v>42674</v>
      </c>
      <c r="B10" s="72">
        <v>92.72</v>
      </c>
      <c r="C10" s="73">
        <v>115.29</v>
      </c>
      <c r="D10" s="345">
        <v>42634</v>
      </c>
      <c r="E10" s="346" t="s">
        <v>143</v>
      </c>
      <c r="F10" s="347">
        <v>295.27999999999997</v>
      </c>
      <c r="G10" s="147"/>
      <c r="H10" s="75"/>
      <c r="I10" s="73"/>
      <c r="J10" s="234">
        <v>43585</v>
      </c>
      <c r="K10" s="73">
        <v>5.0039999999999996</v>
      </c>
      <c r="L10" s="71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0.12</v>
      </c>
      <c r="AG10" s="1113">
        <v>8.69</v>
      </c>
      <c r="AH10" s="1110"/>
      <c r="AI10" s="238"/>
      <c r="AJ10" s="838"/>
      <c r="AK10" s="839"/>
      <c r="AL10" s="51">
        <f t="shared" si="0"/>
        <v>1.243421052631579</v>
      </c>
      <c r="AM10" s="51">
        <f t="shared" si="1"/>
        <v>-9.4511542468811438E-2</v>
      </c>
    </row>
    <row r="11" spans="1:39" x14ac:dyDescent="0.25">
      <c r="A11" s="71">
        <v>42704</v>
      </c>
      <c r="B11" s="72">
        <v>81.99</v>
      </c>
      <c r="C11" s="73">
        <v>101.06</v>
      </c>
      <c r="D11" s="345"/>
      <c r="E11" s="346"/>
      <c r="F11" s="347"/>
      <c r="G11" s="1162"/>
      <c r="H11" s="75"/>
      <c r="I11" s="73"/>
      <c r="J11" s="234"/>
      <c r="K11" s="73"/>
      <c r="L11" s="71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0.11</v>
      </c>
      <c r="AG11" s="1113">
        <v>8.64</v>
      </c>
      <c r="AH11" s="1110"/>
      <c r="AI11" s="238"/>
      <c r="AJ11" s="838"/>
      <c r="AK11" s="839"/>
      <c r="AL11" s="51">
        <f t="shared" si="0"/>
        <v>1.2325893401634347</v>
      </c>
      <c r="AM11" s="51">
        <f t="shared" si="1"/>
        <v>-0.10534325493695573</v>
      </c>
    </row>
    <row r="12" spans="1:39" x14ac:dyDescent="0.25">
      <c r="A12" s="71">
        <v>42735</v>
      </c>
      <c r="B12" s="72">
        <v>72.099999999999994</v>
      </c>
      <c r="C12" s="73">
        <v>92.12</v>
      </c>
      <c r="D12" s="147"/>
      <c r="E12" s="75"/>
      <c r="F12" s="73"/>
      <c r="G12" s="147"/>
      <c r="H12" s="75"/>
      <c r="I12" s="73"/>
      <c r="J12" s="234"/>
      <c r="K12" s="73"/>
      <c r="L12" s="71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0.12</v>
      </c>
      <c r="AG12" s="1113">
        <v>8.69</v>
      </c>
      <c r="AH12" s="1110"/>
      <c r="AI12" s="238"/>
      <c r="AJ12" s="838"/>
      <c r="AK12" s="839"/>
      <c r="AL12" s="51">
        <f t="shared" si="0"/>
        <v>1.2776699029126215</v>
      </c>
      <c r="AM12" s="51">
        <f t="shared" si="1"/>
        <v>-6.0262692187768918E-2</v>
      </c>
    </row>
    <row r="13" spans="1:39" x14ac:dyDescent="0.25">
      <c r="A13" s="71">
        <v>42766</v>
      </c>
      <c r="B13" s="72">
        <v>56.74</v>
      </c>
      <c r="C13" s="73">
        <v>74.040000000000006</v>
      </c>
      <c r="D13" s="147">
        <v>42983</v>
      </c>
      <c r="E13" s="75" t="s">
        <v>170</v>
      </c>
      <c r="F13" s="73">
        <v>188.81</v>
      </c>
      <c r="G13" s="1162">
        <v>42815</v>
      </c>
      <c r="H13" s="75" t="s">
        <v>132</v>
      </c>
      <c r="I13" s="73">
        <v>16.62</v>
      </c>
      <c r="J13" s="234"/>
      <c r="K13" s="73"/>
      <c r="L13" s="71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17.59</v>
      </c>
      <c r="W13" s="894"/>
      <c r="X13" s="1199"/>
      <c r="Y13" s="73"/>
      <c r="Z13" s="147">
        <v>42736</v>
      </c>
      <c r="AA13" s="75"/>
      <c r="AB13" s="73">
        <v>46.14</v>
      </c>
      <c r="AC13" s="894"/>
      <c r="AD13" s="1199"/>
      <c r="AE13" s="73"/>
      <c r="AF13" s="1112">
        <v>0.12</v>
      </c>
      <c r="AG13" s="1113">
        <v>8.76</v>
      </c>
      <c r="AH13" s="1110">
        <v>612</v>
      </c>
      <c r="AI13" s="238">
        <v>20.23</v>
      </c>
      <c r="AJ13" s="838"/>
      <c r="AK13" s="839"/>
      <c r="AL13" s="51">
        <f t="shared" si="0"/>
        <v>1.3048995417694749</v>
      </c>
      <c r="AM13" s="51">
        <f t="shared" si="1"/>
        <v>-3.3033053330915552E-2</v>
      </c>
    </row>
    <row r="14" spans="1:39" x14ac:dyDescent="0.25">
      <c r="A14" s="71">
        <v>42794</v>
      </c>
      <c r="B14" s="72">
        <v>41.7</v>
      </c>
      <c r="C14" s="73">
        <v>55.24</v>
      </c>
      <c r="D14" s="147"/>
      <c r="E14" s="75"/>
      <c r="F14" s="73"/>
      <c r="G14" s="147">
        <v>42964</v>
      </c>
      <c r="H14" s="75" t="s">
        <v>169</v>
      </c>
      <c r="I14" s="73">
        <v>51.5</v>
      </c>
      <c r="J14" s="234"/>
      <c r="K14" s="73"/>
      <c r="L14" s="71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17.59</v>
      </c>
      <c r="W14" s="894"/>
      <c r="X14" s="1199"/>
      <c r="Y14" s="73"/>
      <c r="Z14" s="894">
        <v>42809</v>
      </c>
      <c r="AA14" s="1199"/>
      <c r="AB14" s="73">
        <v>46.14</v>
      </c>
      <c r="AC14" s="894"/>
      <c r="AD14" s="1199"/>
      <c r="AE14" s="73"/>
      <c r="AF14" s="1112">
        <v>0.12</v>
      </c>
      <c r="AG14" s="1113">
        <v>8.82</v>
      </c>
      <c r="AH14" s="1110">
        <v>445</v>
      </c>
      <c r="AI14" s="238">
        <v>46.03</v>
      </c>
      <c r="AJ14" s="838"/>
      <c r="AK14" s="839"/>
      <c r="AL14" s="51">
        <f t="shared" si="0"/>
        <v>1.3247002398081533</v>
      </c>
      <c r="AM14" s="51">
        <f t="shared" si="1"/>
        <v>-1.3232355292237097E-2</v>
      </c>
    </row>
    <row r="15" spans="1:39" x14ac:dyDescent="0.25">
      <c r="A15" s="71">
        <v>42825</v>
      </c>
      <c r="B15" s="72">
        <v>75.55</v>
      </c>
      <c r="C15" s="73">
        <v>97.93</v>
      </c>
      <c r="D15" s="147"/>
      <c r="E15" s="75"/>
      <c r="F15" s="73"/>
      <c r="G15" s="147"/>
      <c r="H15" s="75"/>
      <c r="I15" s="73"/>
      <c r="J15" s="234"/>
      <c r="K15" s="73"/>
      <c r="L15" s="71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17.59</v>
      </c>
      <c r="W15" s="894"/>
      <c r="X15" s="1199"/>
      <c r="Y15" s="73"/>
      <c r="Z15" s="147">
        <v>42901</v>
      </c>
      <c r="AA15" s="75"/>
      <c r="AB15" s="73">
        <v>46.14</v>
      </c>
      <c r="AC15" s="894"/>
      <c r="AD15" s="1199"/>
      <c r="AE15" s="73"/>
      <c r="AF15" s="1112">
        <v>0.14000000000000001</v>
      </c>
      <c r="AG15" s="1113">
        <v>8.89</v>
      </c>
      <c r="AH15" s="1110">
        <v>808</v>
      </c>
      <c r="AI15" s="238">
        <v>21.48</v>
      </c>
      <c r="AJ15" s="838"/>
      <c r="AK15" s="839"/>
      <c r="AL15" s="51">
        <f t="shared" si="0"/>
        <v>1.2962276637988088</v>
      </c>
      <c r="AM15" s="51">
        <f t="shared" si="1"/>
        <v>-4.1704931301581594E-2</v>
      </c>
    </row>
    <row r="16" spans="1:39" x14ac:dyDescent="0.25">
      <c r="A16" s="71">
        <v>42855</v>
      </c>
      <c r="B16" s="72">
        <v>62</v>
      </c>
      <c r="C16" s="73">
        <v>81.87</v>
      </c>
      <c r="D16" s="147"/>
      <c r="E16" s="75"/>
      <c r="F16" s="73"/>
      <c r="G16" s="147"/>
      <c r="H16" s="75"/>
      <c r="I16" s="73"/>
      <c r="J16" s="836"/>
      <c r="K16" s="835"/>
      <c r="L16" s="83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17.59</v>
      </c>
      <c r="W16" s="1153"/>
      <c r="X16" s="1200"/>
      <c r="Y16" s="835"/>
      <c r="Z16" s="894">
        <v>43008</v>
      </c>
      <c r="AA16" s="1199"/>
      <c r="AB16" s="73">
        <v>46.14</v>
      </c>
      <c r="AC16" s="1153"/>
      <c r="AD16" s="1200"/>
      <c r="AE16" s="835"/>
      <c r="AF16" s="1112">
        <v>0.14000000000000001</v>
      </c>
      <c r="AG16" s="1113">
        <v>8.9499999999999993</v>
      </c>
      <c r="AH16" s="1110">
        <v>654</v>
      </c>
      <c r="AI16" s="238">
        <v>21.73</v>
      </c>
      <c r="AJ16" s="838"/>
      <c r="AK16" s="839"/>
      <c r="AL16" s="51">
        <f t="shared" si="0"/>
        <v>1.320483870967742</v>
      </c>
      <c r="AM16" s="51">
        <f t="shared" si="1"/>
        <v>-1.7448724132648419E-2</v>
      </c>
    </row>
    <row r="17" spans="1:39" x14ac:dyDescent="0.25">
      <c r="A17" s="71">
        <v>42886</v>
      </c>
      <c r="B17" s="72">
        <v>121.1</v>
      </c>
      <c r="C17" s="73">
        <v>156.33000000000001</v>
      </c>
      <c r="D17" s="147"/>
      <c r="E17" s="75"/>
      <c r="F17" s="73"/>
      <c r="G17" s="1162"/>
      <c r="H17" s="75"/>
      <c r="I17" s="73"/>
      <c r="J17" s="234"/>
      <c r="K17" s="73"/>
      <c r="L17" s="71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0.13</v>
      </c>
      <c r="AG17" s="1113">
        <v>9.02</v>
      </c>
      <c r="AH17" s="1110">
        <v>1290</v>
      </c>
      <c r="AI17" s="238">
        <v>16.88</v>
      </c>
      <c r="AJ17" s="838"/>
      <c r="AK17" s="839"/>
      <c r="AL17" s="51">
        <f t="shared" si="0"/>
        <v>1.2909165978530142</v>
      </c>
      <c r="AM17" s="51">
        <f t="shared" si="1"/>
        <v>-4.7015997247376262E-2</v>
      </c>
    </row>
    <row r="18" spans="1:39" x14ac:dyDescent="0.25">
      <c r="A18" s="71">
        <v>42916</v>
      </c>
      <c r="B18" s="72">
        <v>102.87</v>
      </c>
      <c r="C18" s="73">
        <v>128.97</v>
      </c>
      <c r="D18" s="147"/>
      <c r="E18" s="75"/>
      <c r="F18" s="73"/>
      <c r="G18" s="147"/>
      <c r="H18" s="75"/>
      <c r="I18" s="73"/>
      <c r="J18" s="431"/>
      <c r="K18" s="347"/>
      <c r="L18" s="1160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0.34</v>
      </c>
      <c r="AG18" s="1113">
        <v>9.07</v>
      </c>
      <c r="AH18" s="1110">
        <v>1087</v>
      </c>
      <c r="AI18" s="238">
        <v>23.51</v>
      </c>
      <c r="AJ18" s="838"/>
      <c r="AK18" s="839"/>
      <c r="AL18" s="51">
        <f t="shared" si="0"/>
        <v>1.2537182852143482</v>
      </c>
      <c r="AM18" s="51">
        <f t="shared" si="1"/>
        <v>-8.4214309886042171E-2</v>
      </c>
    </row>
    <row r="19" spans="1:39" x14ac:dyDescent="0.25">
      <c r="A19" s="71">
        <v>42947</v>
      </c>
      <c r="B19" s="72">
        <v>82.93</v>
      </c>
      <c r="C19" s="73">
        <v>104.43</v>
      </c>
      <c r="D19" s="147"/>
      <c r="E19" s="75"/>
      <c r="F19" s="73"/>
      <c r="G19" s="147"/>
      <c r="H19" s="75"/>
      <c r="I19" s="73"/>
      <c r="J19" s="234"/>
      <c r="K19" s="73"/>
      <c r="L19" s="71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0.32</v>
      </c>
      <c r="AG19" s="1113">
        <v>9.11</v>
      </c>
      <c r="AH19" s="1110">
        <v>878</v>
      </c>
      <c r="AI19" s="238">
        <v>50.58</v>
      </c>
      <c r="AJ19" s="838"/>
      <c r="AK19" s="839"/>
      <c r="AL19" s="51">
        <f t="shared" si="0"/>
        <v>1.2592547931990836</v>
      </c>
      <c r="AM19" s="51">
        <f t="shared" si="1"/>
        <v>-7.8677801901306799E-2</v>
      </c>
    </row>
    <row r="20" spans="1:39" x14ac:dyDescent="0.25">
      <c r="A20" s="71">
        <v>42978</v>
      </c>
      <c r="B20" s="72">
        <v>75.72</v>
      </c>
      <c r="C20" s="73">
        <v>95.76</v>
      </c>
      <c r="D20" s="147"/>
      <c r="E20" s="75"/>
      <c r="F20" s="73"/>
      <c r="G20" s="147"/>
      <c r="H20" s="75"/>
      <c r="I20" s="73"/>
      <c r="J20" s="234"/>
      <c r="K20" s="73"/>
      <c r="L20" s="71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0.32</v>
      </c>
      <c r="AG20" s="1113">
        <v>9.1199999999999992</v>
      </c>
      <c r="AH20" s="1110">
        <v>813</v>
      </c>
      <c r="AI20" s="238">
        <v>21.86</v>
      </c>
      <c r="AJ20" s="838"/>
      <c r="AK20" s="839"/>
      <c r="AL20" s="51">
        <f t="shared" si="0"/>
        <v>1.2646592709984152</v>
      </c>
      <c r="AM20" s="51">
        <f t="shared" si="1"/>
        <v>-7.3273324101975179E-2</v>
      </c>
    </row>
    <row r="21" spans="1:39" x14ac:dyDescent="0.25">
      <c r="A21" s="71">
        <v>43008</v>
      </c>
      <c r="B21" s="72">
        <v>105.03</v>
      </c>
      <c r="C21" s="73">
        <v>135.26</v>
      </c>
      <c r="D21" s="147"/>
      <c r="E21" s="75"/>
      <c r="F21" s="73"/>
      <c r="G21" s="147"/>
      <c r="H21" s="75"/>
      <c r="I21" s="73"/>
      <c r="J21" s="234"/>
      <c r="K21" s="73"/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0.3</v>
      </c>
      <c r="AG21" s="1113">
        <v>9.14</v>
      </c>
      <c r="AH21" s="1110">
        <v>1125</v>
      </c>
      <c r="AI21" s="238">
        <v>17.829999999999998</v>
      </c>
      <c r="AJ21" s="838"/>
      <c r="AK21" s="839"/>
      <c r="AL21" s="51">
        <f t="shared" si="0"/>
        <v>1.2878225268970769</v>
      </c>
      <c r="AM21" s="51">
        <f t="shared" si="1"/>
        <v>-5.011006820331354E-2</v>
      </c>
    </row>
    <row r="22" spans="1:39" x14ac:dyDescent="0.25">
      <c r="A22" s="71">
        <v>43039</v>
      </c>
      <c r="B22" s="72">
        <v>70.7</v>
      </c>
      <c r="C22" s="73">
        <v>90</v>
      </c>
      <c r="D22" s="147"/>
      <c r="E22" s="75"/>
      <c r="F22" s="73"/>
      <c r="G22" s="147"/>
      <c r="H22" s="75"/>
      <c r="I22" s="73"/>
      <c r="J22" s="234"/>
      <c r="K22" s="73"/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0.28999999999999998</v>
      </c>
      <c r="AG22" s="1113">
        <v>9.15</v>
      </c>
      <c r="AH22" s="1110">
        <v>757</v>
      </c>
      <c r="AI22" s="238">
        <v>49.64</v>
      </c>
      <c r="AJ22" s="838"/>
      <c r="AK22" s="839"/>
      <c r="AL22" s="51">
        <f t="shared" si="0"/>
        <v>1.272984441301273</v>
      </c>
      <c r="AM22" s="51">
        <f t="shared" si="1"/>
        <v>-6.4948153799117447E-2</v>
      </c>
    </row>
    <row r="23" spans="1:39" x14ac:dyDescent="0.25">
      <c r="A23" s="71">
        <v>43069</v>
      </c>
      <c r="B23" s="72">
        <v>97.81</v>
      </c>
      <c r="C23" s="73">
        <v>128.30000000000001</v>
      </c>
      <c r="D23" s="147"/>
      <c r="E23" s="75"/>
      <c r="F23" s="73"/>
      <c r="G23" s="147"/>
      <c r="H23" s="75"/>
      <c r="I23" s="73"/>
      <c r="J23" s="431"/>
      <c r="K23" s="347"/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0.42</v>
      </c>
      <c r="AG23" s="1113">
        <v>9.17</v>
      </c>
      <c r="AH23" s="1110">
        <v>1051</v>
      </c>
      <c r="AI23" s="238">
        <v>32.83</v>
      </c>
      <c r="AJ23" s="838"/>
      <c r="AK23" s="839"/>
      <c r="AL23" s="51">
        <f t="shared" si="0"/>
        <v>1.3117268172988448</v>
      </c>
      <c r="AM23" s="51">
        <f t="shared" si="1"/>
        <v>-2.6205777801545649E-2</v>
      </c>
    </row>
    <row r="24" spans="1:39" x14ac:dyDescent="0.25">
      <c r="A24" s="71">
        <v>43100</v>
      </c>
      <c r="B24" s="72">
        <v>77.48</v>
      </c>
      <c r="C24" s="73">
        <v>101.56</v>
      </c>
      <c r="D24" s="147"/>
      <c r="E24" s="75"/>
      <c r="F24" s="73"/>
      <c r="G24" s="147"/>
      <c r="H24" s="75"/>
      <c r="I24" s="73"/>
      <c r="J24" s="234"/>
      <c r="K24" s="73"/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0.41</v>
      </c>
      <c r="AG24" s="1113">
        <v>9.17</v>
      </c>
      <c r="AH24" s="1110">
        <v>834</v>
      </c>
      <c r="AI24" s="238">
        <v>40.35</v>
      </c>
      <c r="AJ24" s="838"/>
      <c r="AK24" s="839"/>
      <c r="AL24" s="51">
        <f t="shared" si="0"/>
        <v>1.3107898812596799</v>
      </c>
      <c r="AM24" s="51">
        <f t="shared" si="1"/>
        <v>-2.7142713840710542E-2</v>
      </c>
    </row>
    <row r="25" spans="1:39" x14ac:dyDescent="0.25">
      <c r="A25" s="71">
        <v>43131</v>
      </c>
      <c r="B25" s="72">
        <v>92.34</v>
      </c>
      <c r="C25" s="73">
        <v>123.44</v>
      </c>
      <c r="D25" s="528">
        <v>43315</v>
      </c>
      <c r="E25" s="516" t="s">
        <v>387</v>
      </c>
      <c r="F25" s="380">
        <v>223.69</v>
      </c>
      <c r="G25" s="147"/>
      <c r="H25" s="75"/>
      <c r="I25" s="73"/>
      <c r="J25" s="234"/>
      <c r="K25" s="73"/>
      <c r="L25" s="71"/>
      <c r="M25" s="73"/>
      <c r="N25" s="1153"/>
      <c r="O25" s="835"/>
      <c r="P25" s="71"/>
      <c r="Q25" s="73"/>
      <c r="R25" s="71"/>
      <c r="S25" s="73"/>
      <c r="T25" s="894">
        <v>43101</v>
      </c>
      <c r="U25" s="1199" t="s">
        <v>953</v>
      </c>
      <c r="V25" s="73">
        <v>17.59</v>
      </c>
      <c r="W25" s="894">
        <v>43251</v>
      </c>
      <c r="X25" s="1199" t="s">
        <v>945</v>
      </c>
      <c r="Y25" s="73">
        <v>40</v>
      </c>
      <c r="Z25" s="894">
        <v>43101</v>
      </c>
      <c r="AA25" s="1199" t="s">
        <v>953</v>
      </c>
      <c r="AB25" s="73">
        <v>46.14</v>
      </c>
      <c r="AC25" s="894"/>
      <c r="AD25" s="1199"/>
      <c r="AE25" s="73"/>
      <c r="AF25" s="1112">
        <v>0.4</v>
      </c>
      <c r="AG25" s="1113">
        <v>9.18</v>
      </c>
      <c r="AH25" s="1110">
        <v>1003</v>
      </c>
      <c r="AI25" s="238">
        <v>45.01</v>
      </c>
      <c r="AJ25" s="838"/>
      <c r="AK25" s="839"/>
      <c r="AL25" s="51">
        <f t="shared" si="0"/>
        <v>1.3367987870911846</v>
      </c>
      <c r="AM25" s="51">
        <f t="shared" si="1"/>
        <v>-1.1338080092058167E-3</v>
      </c>
    </row>
    <row r="26" spans="1:39" x14ac:dyDescent="0.25">
      <c r="A26" s="71">
        <v>43159</v>
      </c>
      <c r="B26" s="72">
        <v>57.57</v>
      </c>
      <c r="C26" s="73">
        <v>75.75</v>
      </c>
      <c r="D26" s="147">
        <v>43353</v>
      </c>
      <c r="E26" s="75" t="s">
        <v>415</v>
      </c>
      <c r="F26" s="73">
        <v>161.46</v>
      </c>
      <c r="G26" s="147"/>
      <c r="H26" s="75"/>
      <c r="I26" s="73"/>
      <c r="J26" s="234"/>
      <c r="K26" s="73"/>
      <c r="L26" s="71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17.59</v>
      </c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v>0.4</v>
      </c>
      <c r="AG26" s="1113">
        <v>9.19</v>
      </c>
      <c r="AH26" s="1110">
        <v>605</v>
      </c>
      <c r="AI26" s="238">
        <v>43.14</v>
      </c>
      <c r="AJ26" s="838"/>
      <c r="AK26" s="839"/>
      <c r="AL26" s="51">
        <f t="shared" si="0"/>
        <v>1.3157894736842106</v>
      </c>
      <c r="AM26" s="51">
        <f t="shared" si="1"/>
        <v>-2.2143121416179801E-2</v>
      </c>
    </row>
    <row r="27" spans="1:39" x14ac:dyDescent="0.25">
      <c r="A27" s="71">
        <v>43190</v>
      </c>
      <c r="B27" s="72">
        <v>20.9</v>
      </c>
      <c r="C27" s="73">
        <v>27.5</v>
      </c>
      <c r="D27" s="147"/>
      <c r="E27" s="75"/>
      <c r="F27" s="73"/>
      <c r="G27" s="147"/>
      <c r="H27" s="75"/>
      <c r="I27" s="73"/>
      <c r="J27" s="234"/>
      <c r="K27" s="73"/>
      <c r="L27" s="71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17.59</v>
      </c>
      <c r="W27" s="945"/>
      <c r="X27" s="1201"/>
      <c r="Y27" s="347"/>
      <c r="Z27" s="894"/>
      <c r="AA27" s="1199"/>
      <c r="AB27" s="73"/>
      <c r="AC27" s="894"/>
      <c r="AD27" s="1199"/>
      <c r="AE27" s="73"/>
      <c r="AF27" s="1112">
        <v>0.36</v>
      </c>
      <c r="AG27" s="1113">
        <v>9.1999999999999993</v>
      </c>
      <c r="AH27" s="1110">
        <v>201</v>
      </c>
      <c r="AI27" s="238">
        <v>22.24</v>
      </c>
      <c r="AJ27" s="838"/>
      <c r="AK27" s="839"/>
      <c r="AL27" s="51">
        <f t="shared" si="0"/>
        <v>1.3157894736842106</v>
      </c>
      <c r="AM27" s="51">
        <f t="shared" si="1"/>
        <v>-2.2143121416179801E-2</v>
      </c>
    </row>
    <row r="28" spans="1:39" x14ac:dyDescent="0.25">
      <c r="A28" s="71">
        <v>43220</v>
      </c>
      <c r="B28" s="72">
        <v>55.95</v>
      </c>
      <c r="C28" s="73">
        <v>75.180000000000007</v>
      </c>
      <c r="D28" s="147"/>
      <c r="E28" s="75"/>
      <c r="F28" s="73"/>
      <c r="G28" s="147"/>
      <c r="H28" s="75"/>
      <c r="I28" s="73"/>
      <c r="J28" s="234"/>
      <c r="K28" s="73"/>
      <c r="L28" s="71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17.59</v>
      </c>
      <c r="W28" s="894"/>
      <c r="X28" s="1199"/>
      <c r="Y28" s="73"/>
      <c r="Z28" s="894"/>
      <c r="AA28" s="1199"/>
      <c r="AB28" s="73"/>
      <c r="AC28" s="894"/>
      <c r="AD28" s="1199"/>
      <c r="AE28" s="73"/>
      <c r="AF28" s="1112">
        <v>0.36</v>
      </c>
      <c r="AG28" s="1113">
        <v>9.24</v>
      </c>
      <c r="AH28" s="1110">
        <v>538</v>
      </c>
      <c r="AI28" s="238">
        <v>30.81</v>
      </c>
      <c r="AJ28" s="838"/>
      <c r="AK28" s="839"/>
      <c r="AL28" s="51">
        <f t="shared" si="0"/>
        <v>1.3436997319034854</v>
      </c>
      <c r="AM28" s="51">
        <f t="shared" si="1"/>
        <v>5.7671368030949299E-3</v>
      </c>
    </row>
    <row r="29" spans="1:39" x14ac:dyDescent="0.25">
      <c r="A29" s="71">
        <v>43251</v>
      </c>
      <c r="B29" s="72">
        <v>61.98</v>
      </c>
      <c r="C29" s="73">
        <v>85.45</v>
      </c>
      <c r="D29" s="147"/>
      <c r="E29" s="75"/>
      <c r="F29" s="73"/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0.36</v>
      </c>
      <c r="AG29" s="1113">
        <v>9.2799999999999994</v>
      </c>
      <c r="AH29" s="1110">
        <v>596</v>
      </c>
      <c r="AI29" s="238">
        <v>38.93</v>
      </c>
      <c r="AJ29" s="838"/>
      <c r="AK29" s="839"/>
      <c r="AL29" s="51">
        <f t="shared" si="0"/>
        <v>1.378670538883511</v>
      </c>
      <c r="AM29" s="51">
        <f t="shared" si="1"/>
        <v>4.0737943783120567E-2</v>
      </c>
    </row>
    <row r="30" spans="1:39" x14ac:dyDescent="0.25">
      <c r="A30" s="71">
        <v>43281</v>
      </c>
      <c r="B30" s="72">
        <v>66.58</v>
      </c>
      <c r="C30" s="73">
        <v>134.58000000000001</v>
      </c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0.36</v>
      </c>
      <c r="AG30" s="1113">
        <v>9.31</v>
      </c>
      <c r="AH30" s="1110">
        <v>654</v>
      </c>
      <c r="AI30" s="238">
        <v>55</v>
      </c>
      <c r="AJ30" s="838">
        <v>-41.35</v>
      </c>
      <c r="AK30" s="839">
        <v>-57.76</v>
      </c>
      <c r="AL30" s="51">
        <f t="shared" si="0"/>
        <v>2.0213277260438574</v>
      </c>
      <c r="AM30" s="51">
        <f t="shared" si="1"/>
        <v>0.68339513094346693</v>
      </c>
    </row>
    <row r="31" spans="1:39" x14ac:dyDescent="0.25">
      <c r="A31" s="71">
        <v>43312</v>
      </c>
      <c r="B31" s="72">
        <v>16.12</v>
      </c>
      <c r="C31" s="73">
        <v>22.56</v>
      </c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0.37</v>
      </c>
      <c r="AG31" s="1113">
        <v>9.32</v>
      </c>
      <c r="AH31" s="1110">
        <v>155</v>
      </c>
      <c r="AI31" s="238">
        <v>55</v>
      </c>
      <c r="AJ31" s="838">
        <v>-17.28</v>
      </c>
      <c r="AK31" s="839">
        <v>-24.19</v>
      </c>
      <c r="AL31" s="51">
        <f t="shared" si="0"/>
        <v>1.3995037220843671</v>
      </c>
      <c r="AM31" s="51">
        <f t="shared" si="1"/>
        <v>6.1571126983976709E-2</v>
      </c>
    </row>
    <row r="32" spans="1:39" x14ac:dyDescent="0.25">
      <c r="A32" s="71">
        <v>43343</v>
      </c>
      <c r="B32" s="72">
        <v>26.52</v>
      </c>
      <c r="C32" s="73">
        <v>37.42</v>
      </c>
      <c r="D32" s="528"/>
      <c r="E32" s="516"/>
      <c r="F32" s="380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0.38</v>
      </c>
      <c r="AG32" s="1113">
        <v>9.34</v>
      </c>
      <c r="AH32" s="1110">
        <v>255</v>
      </c>
      <c r="AI32" s="238">
        <v>55</v>
      </c>
      <c r="AJ32" s="838">
        <v>-5.27</v>
      </c>
      <c r="AK32" s="839">
        <v>-7.43</v>
      </c>
      <c r="AL32" s="51">
        <f t="shared" si="0"/>
        <v>1.4110105580693817</v>
      </c>
      <c r="AM32" s="51">
        <f t="shared" si="1"/>
        <v>7.3077962968991272E-2</v>
      </c>
    </row>
    <row r="33" spans="1:39" x14ac:dyDescent="0.25">
      <c r="A33" s="71">
        <v>43373</v>
      </c>
      <c r="B33" s="72">
        <v>49.4</v>
      </c>
      <c r="C33" s="73">
        <v>69.459999999999994</v>
      </c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0.38</v>
      </c>
      <c r="AG33" s="1113">
        <v>9.36</v>
      </c>
      <c r="AH33" s="1110">
        <v>475</v>
      </c>
      <c r="AI33" s="238">
        <v>52.41</v>
      </c>
      <c r="AJ33" s="838"/>
      <c r="AK33" s="839"/>
      <c r="AL33" s="51">
        <f t="shared" si="0"/>
        <v>1.406072874493927</v>
      </c>
      <c r="AM33" s="51">
        <f t="shared" si="1"/>
        <v>6.8140279393536618E-2</v>
      </c>
    </row>
    <row r="34" spans="1:39" x14ac:dyDescent="0.25">
      <c r="A34" s="71">
        <v>43404</v>
      </c>
      <c r="B34" s="72">
        <v>48.05</v>
      </c>
      <c r="C34" s="73">
        <v>67.2</v>
      </c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0.37</v>
      </c>
      <c r="AG34" s="1113">
        <v>9.39</v>
      </c>
      <c r="AH34" s="1110">
        <v>468</v>
      </c>
      <c r="AI34" s="238">
        <v>51.86</v>
      </c>
      <c r="AJ34" s="838"/>
      <c r="AK34" s="839"/>
      <c r="AL34" s="51">
        <f t="shared" si="0"/>
        <v>1.3985431841831426</v>
      </c>
      <c r="AM34" s="51">
        <f t="shared" si="1"/>
        <v>6.0610589082752186E-2</v>
      </c>
    </row>
    <row r="35" spans="1:39" x14ac:dyDescent="0.25">
      <c r="A35" s="71">
        <v>43434</v>
      </c>
      <c r="B35" s="72">
        <v>47.84</v>
      </c>
      <c r="C35" s="73">
        <v>65.81</v>
      </c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0.37</v>
      </c>
      <c r="AG35" s="1113">
        <v>9.41</v>
      </c>
      <c r="AH35" s="1110">
        <v>460</v>
      </c>
      <c r="AI35" s="238">
        <v>49.02</v>
      </c>
      <c r="AJ35" s="838"/>
      <c r="AK35" s="839"/>
      <c r="AL35" s="51">
        <f t="shared" si="0"/>
        <v>1.3756270903010033</v>
      </c>
      <c r="AM35" s="51">
        <f t="shared" si="1"/>
        <v>3.7694495200612854E-2</v>
      </c>
    </row>
    <row r="36" spans="1:39" x14ac:dyDescent="0.25">
      <c r="A36" s="71">
        <v>43465</v>
      </c>
      <c r="B36" s="72">
        <v>55.12</v>
      </c>
      <c r="C36" s="73">
        <v>71.53</v>
      </c>
      <c r="D36" s="147"/>
      <c r="E36" s="75"/>
      <c r="F36" s="73"/>
      <c r="G36" s="147"/>
      <c r="H36" s="75"/>
      <c r="I36" s="73"/>
      <c r="J36" s="234"/>
      <c r="K36" s="73"/>
      <c r="L36" s="71">
        <v>43480</v>
      </c>
      <c r="M36" s="73">
        <v>335.12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0.37</v>
      </c>
      <c r="AG36" s="1113">
        <v>9.44</v>
      </c>
      <c r="AH36" s="1110">
        <v>530</v>
      </c>
      <c r="AI36" s="238">
        <v>82.52</v>
      </c>
      <c r="AJ36" s="838"/>
      <c r="AK36" s="839"/>
      <c r="AL36" s="51">
        <f t="shared" si="0"/>
        <v>1.2977140783744558</v>
      </c>
      <c r="AM36" s="51">
        <f t="shared" si="1"/>
        <v>-4.0218516725934572E-2</v>
      </c>
    </row>
    <row r="37" spans="1:39" x14ac:dyDescent="0.25">
      <c r="A37" s="71">
        <v>43496</v>
      </c>
      <c r="B37" s="72">
        <v>83.47</v>
      </c>
      <c r="C37" s="73">
        <v>106.67</v>
      </c>
      <c r="D37" s="147">
        <v>43621</v>
      </c>
      <c r="E37" s="75" t="s">
        <v>635</v>
      </c>
      <c r="F37" s="73">
        <v>35.42</v>
      </c>
      <c r="G37" s="147">
        <v>43496</v>
      </c>
      <c r="H37" s="75" t="s">
        <v>510</v>
      </c>
      <c r="I37" s="73">
        <v>24.700000000000003</v>
      </c>
      <c r="J37" s="234"/>
      <c r="K37" s="73"/>
      <c r="L37" s="71">
        <v>43480</v>
      </c>
      <c r="M37" s="73">
        <v>8.4</v>
      </c>
      <c r="N37" s="894"/>
      <c r="O37" s="73"/>
      <c r="P37" s="71"/>
      <c r="Q37" s="73"/>
      <c r="R37" s="71"/>
      <c r="S37" s="73"/>
      <c r="T37" s="894">
        <v>43466</v>
      </c>
      <c r="U37" s="1199" t="s">
        <v>957</v>
      </c>
      <c r="V37" s="73">
        <v>17.59</v>
      </c>
      <c r="W37" s="894">
        <v>43588</v>
      </c>
      <c r="X37" s="1199" t="s">
        <v>923</v>
      </c>
      <c r="Y37" s="73">
        <v>40</v>
      </c>
      <c r="Z37" s="894"/>
      <c r="AA37" s="1199"/>
      <c r="AB37" s="73"/>
      <c r="AC37" s="894"/>
      <c r="AD37" s="1199"/>
      <c r="AE37" s="73"/>
      <c r="AF37" s="1112">
        <v>0.38</v>
      </c>
      <c r="AG37" s="1113">
        <v>9.7100000000000009</v>
      </c>
      <c r="AH37" s="1110">
        <v>278</v>
      </c>
      <c r="AI37" s="238">
        <v>55</v>
      </c>
      <c r="AJ37" s="838"/>
      <c r="AK37" s="839"/>
      <c r="AL37" s="51">
        <f t="shared" si="0"/>
        <v>1.2779441715586439</v>
      </c>
      <c r="AM37" s="51">
        <f t="shared" si="1"/>
        <v>-5.9988423541746494E-2</v>
      </c>
    </row>
    <row r="38" spans="1:39" x14ac:dyDescent="0.25">
      <c r="A38" s="71">
        <v>43524</v>
      </c>
      <c r="B38" s="72">
        <v>35.47</v>
      </c>
      <c r="C38" s="73">
        <v>45.5</v>
      </c>
      <c r="D38" s="147">
        <v>43570</v>
      </c>
      <c r="E38" s="75" t="s">
        <v>644</v>
      </c>
      <c r="F38" s="73">
        <v>41.95</v>
      </c>
      <c r="G38" s="147"/>
      <c r="H38" s="75"/>
      <c r="I38" s="73"/>
      <c r="J38" s="234"/>
      <c r="K38" s="73"/>
      <c r="L38" s="71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17.59</v>
      </c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v>0.4</v>
      </c>
      <c r="AG38" s="1113">
        <v>9.76</v>
      </c>
      <c r="AH38" s="1110">
        <v>265</v>
      </c>
      <c r="AI38" s="238">
        <v>55</v>
      </c>
      <c r="AJ38" s="838"/>
      <c r="AK38" s="839"/>
      <c r="AL38" s="51">
        <f t="shared" si="0"/>
        <v>1.2827741753594588</v>
      </c>
      <c r="AM38" s="51">
        <f t="shared" si="1"/>
        <v>-5.5158419740931608E-2</v>
      </c>
    </row>
    <row r="39" spans="1:39" x14ac:dyDescent="0.25">
      <c r="A39" s="71">
        <v>43555</v>
      </c>
      <c r="B39" s="72">
        <v>38.909999999999997</v>
      </c>
      <c r="C39" s="73">
        <v>50.24</v>
      </c>
      <c r="D39" s="147">
        <v>43677</v>
      </c>
      <c r="E39" s="75" t="s">
        <v>672</v>
      </c>
      <c r="F39" s="73">
        <v>539.6</v>
      </c>
      <c r="G39" s="147"/>
      <c r="H39" s="75"/>
      <c r="I39" s="73"/>
      <c r="J39" s="234"/>
      <c r="K39" s="73"/>
      <c r="L39" s="71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17.440000000000001</v>
      </c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v>0.4</v>
      </c>
      <c r="AG39" s="1113">
        <v>9.81</v>
      </c>
      <c r="AH39" s="1110">
        <v>299</v>
      </c>
      <c r="AI39" s="238">
        <v>47</v>
      </c>
      <c r="AJ39" s="838"/>
      <c r="AK39" s="839"/>
      <c r="AL39" s="51">
        <f t="shared" si="0"/>
        <v>1.2911847854022105</v>
      </c>
      <c r="AM39" s="51">
        <f t="shared" si="1"/>
        <v>-4.6747809698179932E-2</v>
      </c>
    </row>
    <row r="40" spans="1:39" x14ac:dyDescent="0.25">
      <c r="A40" s="71">
        <v>43585</v>
      </c>
      <c r="B40" s="72">
        <v>85.1</v>
      </c>
      <c r="C40" s="73">
        <v>115.43</v>
      </c>
      <c r="D40" s="147">
        <v>43714</v>
      </c>
      <c r="E40" s="75" t="s">
        <v>691</v>
      </c>
      <c r="F40" s="73">
        <v>104.44</v>
      </c>
      <c r="G40" s="147"/>
      <c r="H40" s="75"/>
      <c r="I40" s="73"/>
      <c r="J40" s="234"/>
      <c r="K40" s="73"/>
      <c r="L40" s="71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17.440000000000001</v>
      </c>
      <c r="W40" s="894"/>
      <c r="X40" s="1199"/>
      <c r="Y40" s="73"/>
      <c r="Z40" s="894"/>
      <c r="AA40" s="1199"/>
      <c r="AB40" s="73"/>
      <c r="AC40" s="894"/>
      <c r="AD40" s="1199"/>
      <c r="AE40" s="73"/>
      <c r="AF40" s="1112">
        <v>0.4</v>
      </c>
      <c r="AG40" s="1113">
        <v>9.94</v>
      </c>
      <c r="AH40" s="1110">
        <v>559</v>
      </c>
      <c r="AI40" s="238">
        <v>52</v>
      </c>
      <c r="AJ40" s="838"/>
      <c r="AK40" s="839"/>
      <c r="AL40" s="51">
        <f t="shared" si="0"/>
        <v>1.3564042303172739</v>
      </c>
      <c r="AM40" s="51">
        <f t="shared" si="1"/>
        <v>1.8471635216883442E-2</v>
      </c>
    </row>
    <row r="41" spans="1:39" x14ac:dyDescent="0.25">
      <c r="A41" s="71">
        <v>43616</v>
      </c>
      <c r="B41" s="72">
        <v>88.42</v>
      </c>
      <c r="C41" s="73">
        <v>123.4</v>
      </c>
      <c r="D41" s="147">
        <v>43766</v>
      </c>
      <c r="E41" s="75" t="s">
        <v>755</v>
      </c>
      <c r="F41" s="73">
        <v>41.95</v>
      </c>
      <c r="G41" s="147"/>
      <c r="H41" s="75"/>
      <c r="I41" s="73"/>
      <c r="J41" s="234"/>
      <c r="K41" s="73"/>
      <c r="L41" s="71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0.4</v>
      </c>
      <c r="AG41" s="1113">
        <v>10.02</v>
      </c>
      <c r="AH41" s="1110">
        <v>715</v>
      </c>
      <c r="AI41" s="238">
        <v>55</v>
      </c>
      <c r="AJ41" s="838"/>
      <c r="AK41" s="839"/>
      <c r="AL41" s="51">
        <f t="shared" si="0"/>
        <v>1.3956118525220538</v>
      </c>
      <c r="AM41" s="51">
        <f t="shared" si="1"/>
        <v>5.7679257421663355E-2</v>
      </c>
    </row>
    <row r="42" spans="1:39" x14ac:dyDescent="0.25">
      <c r="A42" s="71">
        <v>43646</v>
      </c>
      <c r="B42" s="72">
        <v>87.24</v>
      </c>
      <c r="C42" s="73">
        <v>123.6</v>
      </c>
      <c r="D42" s="147">
        <v>43692</v>
      </c>
      <c r="E42" s="75" t="s">
        <v>763</v>
      </c>
      <c r="F42" s="73">
        <v>518.28</v>
      </c>
      <c r="G42" s="147"/>
      <c r="H42" s="75"/>
      <c r="I42" s="73"/>
      <c r="J42" s="234"/>
      <c r="K42" s="73"/>
      <c r="L42" s="71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0.4</v>
      </c>
      <c r="AG42" s="1113">
        <v>10.11</v>
      </c>
      <c r="AH42" s="1110">
        <v>663</v>
      </c>
      <c r="AI42" s="238">
        <v>49</v>
      </c>
      <c r="AJ42" s="838"/>
      <c r="AK42" s="839"/>
      <c r="AL42" s="51">
        <f t="shared" si="0"/>
        <v>1.4167812929848693</v>
      </c>
      <c r="AM42" s="51">
        <f t="shared" si="1"/>
        <v>7.8848697884478902E-2</v>
      </c>
    </row>
    <row r="43" spans="1:39" x14ac:dyDescent="0.25">
      <c r="A43" s="71">
        <v>43677</v>
      </c>
      <c r="B43" s="72">
        <v>64.010000000000005</v>
      </c>
      <c r="C43" s="73">
        <v>91.28</v>
      </c>
      <c r="D43" s="147">
        <v>43756</v>
      </c>
      <c r="E43" s="75" t="s">
        <v>782</v>
      </c>
      <c r="F43" s="73">
        <v>209.78</v>
      </c>
      <c r="G43" s="147"/>
      <c r="H43" s="75"/>
      <c r="I43" s="73"/>
      <c r="J43" s="234"/>
      <c r="K43" s="73"/>
      <c r="L43" s="71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0.4</v>
      </c>
      <c r="AG43" s="1113">
        <v>10.18</v>
      </c>
      <c r="AH43" s="1110">
        <v>462</v>
      </c>
      <c r="AI43" s="238">
        <v>53</v>
      </c>
      <c r="AJ43" s="838"/>
      <c r="AK43" s="839"/>
      <c r="AL43" s="51">
        <f t="shared" si="0"/>
        <v>1.4260271832526168</v>
      </c>
      <c r="AM43" s="51">
        <f t="shared" si="1"/>
        <v>8.8094588152226372E-2</v>
      </c>
    </row>
    <row r="44" spans="1:39" x14ac:dyDescent="0.25">
      <c r="A44" s="71">
        <v>43708</v>
      </c>
      <c r="B44" s="72">
        <v>39.5</v>
      </c>
      <c r="C44" s="73">
        <v>54.77</v>
      </c>
      <c r="D44" s="147">
        <v>43752</v>
      </c>
      <c r="E44" s="75" t="s">
        <v>785</v>
      </c>
      <c r="F44" s="73">
        <v>193.63</v>
      </c>
      <c r="G44" s="345"/>
      <c r="H44" s="346"/>
      <c r="I44" s="347"/>
      <c r="J44" s="234"/>
      <c r="K44" s="73"/>
      <c r="L44" s="71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0.43</v>
      </c>
      <c r="AG44" s="1113">
        <v>10.24</v>
      </c>
      <c r="AH44" s="1110">
        <v>263</v>
      </c>
      <c r="AI44" s="238">
        <v>45</v>
      </c>
      <c r="AJ44" s="838"/>
      <c r="AK44" s="839"/>
      <c r="AL44" s="51">
        <f t="shared" si="0"/>
        <v>1.3865822784810127</v>
      </c>
      <c r="AM44" s="51">
        <f t="shared" si="1"/>
        <v>4.8649683380622255E-2</v>
      </c>
    </row>
    <row r="45" spans="1:39" x14ac:dyDescent="0.25">
      <c r="A45" s="71">
        <v>43738</v>
      </c>
      <c r="B45" s="72">
        <v>133.75</v>
      </c>
      <c r="C45" s="73">
        <v>187.41</v>
      </c>
      <c r="D45" s="147"/>
      <c r="E45" s="75"/>
      <c r="F45" s="73"/>
      <c r="G45" s="147"/>
      <c r="H45" s="75"/>
      <c r="I45" s="73"/>
      <c r="J45" s="234"/>
      <c r="K45" s="73"/>
      <c r="L45" s="71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0.43</v>
      </c>
      <c r="AG45" s="1113">
        <v>10.49</v>
      </c>
      <c r="AH45" s="1110">
        <v>705</v>
      </c>
      <c r="AI45" s="238">
        <v>3</v>
      </c>
      <c r="AJ45" s="838"/>
      <c r="AK45" s="839"/>
      <c r="AL45" s="51">
        <f t="shared" si="0"/>
        <v>1.4011962616822429</v>
      </c>
      <c r="AM45" s="51">
        <f t="shared" si="1"/>
        <v>6.3263666581852451E-2</v>
      </c>
    </row>
    <row r="46" spans="1:39" x14ac:dyDescent="0.25">
      <c r="A46" s="71">
        <v>43769</v>
      </c>
      <c r="B46" s="72">
        <v>79.58</v>
      </c>
      <c r="C46" s="73">
        <v>117.2</v>
      </c>
      <c r="D46" s="147"/>
      <c r="E46" s="75"/>
      <c r="F46" s="73"/>
      <c r="G46" s="147"/>
      <c r="H46" s="75"/>
      <c r="I46" s="73"/>
      <c r="J46" s="234"/>
      <c r="K46" s="73"/>
      <c r="L46" s="71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0.42</v>
      </c>
      <c r="AG46" s="1113">
        <v>10.26</v>
      </c>
      <c r="AH46" s="1110">
        <v>1328</v>
      </c>
      <c r="AI46" s="238">
        <v>55</v>
      </c>
      <c r="AJ46" s="838"/>
      <c r="AK46" s="839"/>
      <c r="AL46" s="51">
        <f t="shared" si="0"/>
        <v>1.4727318421714</v>
      </c>
      <c r="AM46" s="51">
        <f t="shared" si="1"/>
        <v>0.13479924707100954</v>
      </c>
    </row>
    <row r="47" spans="1:39" x14ac:dyDescent="0.25">
      <c r="A47" s="71">
        <v>43799</v>
      </c>
      <c r="B47" s="72">
        <v>87.06</v>
      </c>
      <c r="C47" s="73">
        <v>128.84</v>
      </c>
      <c r="D47" s="147"/>
      <c r="E47" s="75"/>
      <c r="F47" s="73"/>
      <c r="G47" s="147"/>
      <c r="H47" s="75"/>
      <c r="I47" s="73"/>
      <c r="J47" s="234"/>
      <c r="K47" s="73"/>
      <c r="L47" s="71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0.41</v>
      </c>
      <c r="AG47" s="1113">
        <v>10.32</v>
      </c>
      <c r="AH47" s="1110">
        <v>691</v>
      </c>
      <c r="AI47" s="238">
        <v>55</v>
      </c>
      <c r="AJ47" s="838"/>
      <c r="AK47" s="839"/>
      <c r="AL47" s="51">
        <f t="shared" si="0"/>
        <v>1.4798989202848609</v>
      </c>
      <c r="AM47" s="51">
        <f t="shared" si="1"/>
        <v>0.1419663251844705</v>
      </c>
    </row>
    <row r="48" spans="1:39" x14ac:dyDescent="0.25">
      <c r="A48" s="71">
        <v>43830</v>
      </c>
      <c r="B48" s="72">
        <v>61.6</v>
      </c>
      <c r="C48" s="73">
        <v>91.42</v>
      </c>
      <c r="D48" s="147"/>
      <c r="E48" s="75"/>
      <c r="F48" s="73"/>
      <c r="G48" s="147"/>
      <c r="H48" s="75"/>
      <c r="I48" s="73"/>
      <c r="J48" s="234"/>
      <c r="K48" s="73"/>
      <c r="L48" s="71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0.44</v>
      </c>
      <c r="AG48" s="1113">
        <v>10.38</v>
      </c>
      <c r="AH48" s="1110">
        <v>437</v>
      </c>
      <c r="AI48" s="238">
        <v>55</v>
      </c>
      <c r="AJ48" s="838"/>
      <c r="AK48" s="839"/>
      <c r="AL48" s="51">
        <f t="shared" si="0"/>
        <v>1.4840909090909091</v>
      </c>
      <c r="AM48" s="51">
        <f t="shared" si="1"/>
        <v>0.14615831399051871</v>
      </c>
    </row>
    <row r="49" spans="1:39" x14ac:dyDescent="0.25">
      <c r="A49" s="71">
        <v>43861</v>
      </c>
      <c r="B49" s="72">
        <v>53.18</v>
      </c>
      <c r="C49" s="73">
        <v>78.739999999999995</v>
      </c>
      <c r="D49" s="147">
        <v>43861</v>
      </c>
      <c r="E49" s="75" t="s">
        <v>985</v>
      </c>
      <c r="F49" s="73">
        <v>8.16</v>
      </c>
      <c r="G49" s="147">
        <v>43950</v>
      </c>
      <c r="H49" s="75" t="s">
        <v>510</v>
      </c>
      <c r="I49" s="73">
        <f>17.5+6.9+9+4.4+4.4</f>
        <v>42.199999999999996</v>
      </c>
      <c r="J49" s="234"/>
      <c r="K49" s="73"/>
      <c r="L49" s="71">
        <v>43861</v>
      </c>
      <c r="M49" s="73">
        <v>8.4</v>
      </c>
      <c r="N49" s="894"/>
      <c r="O49" s="73"/>
      <c r="P49" s="71"/>
      <c r="Q49" s="73"/>
      <c r="R49" s="71"/>
      <c r="S49" s="73"/>
      <c r="T49" s="894">
        <v>43808</v>
      </c>
      <c r="U49" s="1199" t="s">
        <v>961</v>
      </c>
      <c r="V49" s="73">
        <v>17.440000000000001</v>
      </c>
      <c r="W49" s="894">
        <v>43942</v>
      </c>
      <c r="X49" s="1199" t="s">
        <v>1079</v>
      </c>
      <c r="Y49" s="73">
        <v>40</v>
      </c>
      <c r="Z49" s="894"/>
      <c r="AA49" s="1199"/>
      <c r="AB49" s="73"/>
      <c r="AC49" s="894"/>
      <c r="AD49" s="1199"/>
      <c r="AE49" s="73"/>
      <c r="AF49" s="1112">
        <v>0.45</v>
      </c>
      <c r="AG49" s="1113">
        <v>10.44</v>
      </c>
      <c r="AH49" s="1110">
        <v>360</v>
      </c>
      <c r="AI49" s="238">
        <v>55</v>
      </c>
      <c r="AJ49" s="838"/>
      <c r="AK49" s="839"/>
      <c r="AL49" s="51">
        <f t="shared" si="0"/>
        <v>1.480631816472358</v>
      </c>
      <c r="AM49" s="51">
        <f t="shared" si="1"/>
        <v>0.14269922137196756</v>
      </c>
    </row>
    <row r="50" spans="1:39" x14ac:dyDescent="0.25">
      <c r="A50" s="71">
        <v>43890</v>
      </c>
      <c r="B50" s="72">
        <v>43.27</v>
      </c>
      <c r="C50" s="73">
        <v>63.44</v>
      </c>
      <c r="D50" s="147">
        <v>43942</v>
      </c>
      <c r="E50" s="75" t="s">
        <v>1066</v>
      </c>
      <c r="F50" s="73">
        <v>41.95</v>
      </c>
      <c r="G50" s="147">
        <v>44043</v>
      </c>
      <c r="H50" s="75" t="s">
        <v>510</v>
      </c>
      <c r="I50" s="73">
        <f>1.8+1.8+19.86</f>
        <v>23.46</v>
      </c>
      <c r="J50" s="234"/>
      <c r="K50" s="73"/>
      <c r="L50" s="71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17.440000000000001</v>
      </c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v>0.45</v>
      </c>
      <c r="AG50" s="1113">
        <v>10.48</v>
      </c>
      <c r="AH50" s="1110">
        <v>306</v>
      </c>
      <c r="AI50" s="238">
        <v>54</v>
      </c>
      <c r="AJ50" s="838"/>
      <c r="AK50" s="839"/>
      <c r="AL50" s="51">
        <f t="shared" si="0"/>
        <v>1.4661428241275709</v>
      </c>
      <c r="AM50" s="51">
        <f t="shared" si="1"/>
        <v>0.12821022902718049</v>
      </c>
    </row>
    <row r="51" spans="1:39" x14ac:dyDescent="0.25">
      <c r="A51" s="71">
        <v>43921</v>
      </c>
      <c r="B51" s="72">
        <v>11.06</v>
      </c>
      <c r="C51" s="73">
        <v>15.95</v>
      </c>
      <c r="D51" s="345">
        <v>44040</v>
      </c>
      <c r="E51" s="346" t="s">
        <v>1187</v>
      </c>
      <c r="F51" s="347">
        <v>128.08000000000001</v>
      </c>
      <c r="G51" s="147">
        <v>44183</v>
      </c>
      <c r="H51" s="75" t="s">
        <v>510</v>
      </c>
      <c r="I51" s="73">
        <f>3*4.5</f>
        <v>13.5</v>
      </c>
      <c r="J51" s="234"/>
      <c r="K51" s="73"/>
      <c r="L51" s="71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17.440000000000001</v>
      </c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v>0.46</v>
      </c>
      <c r="AG51" s="1113">
        <v>10.49</v>
      </c>
      <c r="AH51" s="1110">
        <v>87</v>
      </c>
      <c r="AI51" s="238">
        <v>53</v>
      </c>
      <c r="AJ51" s="838"/>
      <c r="AK51" s="839"/>
      <c r="AL51" s="51">
        <f t="shared" si="0"/>
        <v>1.4421338155515369</v>
      </c>
      <c r="AM51" s="51">
        <f t="shared" si="1"/>
        <v>0.10420122045114644</v>
      </c>
    </row>
    <row r="52" spans="1:39" x14ac:dyDescent="0.25">
      <c r="A52" s="71">
        <v>43951</v>
      </c>
      <c r="B52" s="72">
        <v>18.12</v>
      </c>
      <c r="C52" s="73">
        <v>25.19</v>
      </c>
      <c r="D52" s="345">
        <v>44050</v>
      </c>
      <c r="E52" s="346" t="s">
        <v>1201</v>
      </c>
      <c r="F52" s="347">
        <v>109.14</v>
      </c>
      <c r="G52" s="147"/>
      <c r="H52" s="75"/>
      <c r="I52" s="73"/>
      <c r="J52" s="234"/>
      <c r="K52" s="73"/>
      <c r="L52" s="71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17.440000000000001</v>
      </c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v>0.46</v>
      </c>
      <c r="AG52" s="1113">
        <v>10.5</v>
      </c>
      <c r="AH52" s="1110">
        <v>123</v>
      </c>
      <c r="AI52" s="238">
        <v>54</v>
      </c>
      <c r="AJ52" s="838"/>
      <c r="AK52" s="839"/>
      <c r="AL52" s="51">
        <f t="shared" si="0"/>
        <v>1.390176600441501</v>
      </c>
      <c r="AM52" s="51">
        <f t="shared" si="1"/>
        <v>5.2244005341110622E-2</v>
      </c>
    </row>
    <row r="53" spans="1:39" x14ac:dyDescent="0.25">
      <c r="A53" s="71">
        <v>43982</v>
      </c>
      <c r="B53" s="72">
        <v>38.25</v>
      </c>
      <c r="C53" s="73">
        <v>51.77</v>
      </c>
      <c r="D53" s="345">
        <v>44083</v>
      </c>
      <c r="E53" s="346" t="s">
        <v>1221</v>
      </c>
      <c r="F53" s="347">
        <v>222.31</v>
      </c>
      <c r="G53" s="147"/>
      <c r="H53" s="75"/>
      <c r="I53" s="73"/>
      <c r="J53" s="234"/>
      <c r="K53" s="73"/>
      <c r="L53" s="71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0.46</v>
      </c>
      <c r="AG53" s="1113">
        <v>10.53</v>
      </c>
      <c r="AH53" s="1110">
        <v>293</v>
      </c>
      <c r="AI53" s="238">
        <v>36</v>
      </c>
      <c r="AJ53" s="838"/>
      <c r="AK53" s="839"/>
      <c r="AL53" s="51">
        <f t="shared" si="0"/>
        <v>1.3534640522875818</v>
      </c>
      <c r="AM53" s="51">
        <f t="shared" si="1"/>
        <v>1.55314571871914E-2</v>
      </c>
    </row>
    <row r="54" spans="1:39" x14ac:dyDescent="0.25">
      <c r="A54" s="71">
        <v>44012</v>
      </c>
      <c r="B54" s="72">
        <v>22.27</v>
      </c>
      <c r="C54" s="73">
        <v>29.63</v>
      </c>
      <c r="D54" s="345">
        <v>44097</v>
      </c>
      <c r="E54" s="346" t="s">
        <v>1230</v>
      </c>
      <c r="F54" s="347">
        <v>27.85</v>
      </c>
      <c r="G54" s="147"/>
      <c r="H54" s="75"/>
      <c r="I54" s="73"/>
      <c r="J54" s="234"/>
      <c r="K54" s="73"/>
      <c r="L54" s="71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0.46</v>
      </c>
      <c r="AG54" s="1113">
        <v>10.51</v>
      </c>
      <c r="AH54" s="1110">
        <v>277</v>
      </c>
      <c r="AI54" s="238">
        <v>55</v>
      </c>
      <c r="AJ54" s="838"/>
      <c r="AK54" s="839"/>
      <c r="AL54" s="51">
        <f t="shared" si="0"/>
        <v>1.330489447687472</v>
      </c>
      <c r="AM54" s="51">
        <f t="shared" si="1"/>
        <v>-7.443147412918405E-3</v>
      </c>
    </row>
    <row r="55" spans="1:39" x14ac:dyDescent="0.25">
      <c r="A55" s="71">
        <v>44043</v>
      </c>
      <c r="B55" s="72">
        <v>55.41</v>
      </c>
      <c r="C55" s="73">
        <v>69.709999999999994</v>
      </c>
      <c r="D55" s="147"/>
      <c r="E55" s="75"/>
      <c r="F55" s="73"/>
      <c r="G55" s="147"/>
      <c r="H55" s="75"/>
      <c r="I55" s="73"/>
      <c r="J55" s="234"/>
      <c r="K55" s="73"/>
      <c r="L55" s="71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0.46</v>
      </c>
      <c r="AG55" s="1113">
        <v>10.46</v>
      </c>
      <c r="AH55" s="1110">
        <v>318</v>
      </c>
      <c r="AI55" s="238">
        <v>51</v>
      </c>
      <c r="AJ55" s="838"/>
      <c r="AK55" s="839"/>
      <c r="AL55" s="51">
        <f t="shared" si="0"/>
        <v>1.2580761595379895</v>
      </c>
      <c r="AM55" s="51">
        <f t="shared" si="1"/>
        <v>-7.9856435562400963E-2</v>
      </c>
    </row>
    <row r="56" spans="1:39" x14ac:dyDescent="0.25">
      <c r="A56" s="71">
        <v>44074</v>
      </c>
      <c r="B56" s="72">
        <v>44.05</v>
      </c>
      <c r="C56" s="73">
        <v>53.37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0.47</v>
      </c>
      <c r="AG56" s="1113">
        <v>10.5</v>
      </c>
      <c r="AH56" s="1110">
        <v>343</v>
      </c>
      <c r="AI56" s="238">
        <v>49</v>
      </c>
      <c r="AJ56" s="838"/>
      <c r="AK56" s="839"/>
      <c r="AL56" s="51">
        <f t="shared" si="0"/>
        <v>1.211577752553916</v>
      </c>
      <c r="AM56" s="51">
        <f t="shared" si="1"/>
        <v>-0.12635484254647444</v>
      </c>
    </row>
    <row r="57" spans="1:39" x14ac:dyDescent="0.25">
      <c r="A57" s="71">
        <v>44104</v>
      </c>
      <c r="B57" s="72">
        <v>72.77</v>
      </c>
      <c r="C57" s="73">
        <v>91.6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0.47</v>
      </c>
      <c r="AG57" s="1113">
        <v>10.64</v>
      </c>
      <c r="AH57" s="1110">
        <v>480</v>
      </c>
      <c r="AI57" s="238">
        <v>17</v>
      </c>
      <c r="AJ57" s="838"/>
      <c r="AK57" s="839"/>
      <c r="AL57" s="51">
        <f t="shared" si="0"/>
        <v>1.2587604782190462</v>
      </c>
      <c r="AM57" s="51">
        <f t="shared" si="1"/>
        <v>-7.9172116881344179E-2</v>
      </c>
    </row>
    <row r="58" spans="1:39" x14ac:dyDescent="0.25">
      <c r="A58" s="71">
        <v>44135</v>
      </c>
      <c r="B58" s="72">
        <v>43.21</v>
      </c>
      <c r="C58" s="73">
        <v>56.63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0.47</v>
      </c>
      <c r="AG58" s="1113">
        <v>10.64</v>
      </c>
      <c r="AH58" s="1110">
        <v>316</v>
      </c>
      <c r="AI58" s="238">
        <v>53</v>
      </c>
      <c r="AJ58" s="838"/>
      <c r="AK58" s="839"/>
      <c r="AL58" s="51">
        <f t="shared" si="0"/>
        <v>1.3105762554964129</v>
      </c>
      <c r="AM58" s="51">
        <f t="shared" si="1"/>
        <v>-2.7356339603977542E-2</v>
      </c>
    </row>
    <row r="59" spans="1:39" x14ac:dyDescent="0.25">
      <c r="A59" s="71">
        <v>44165</v>
      </c>
      <c r="B59" s="72">
        <v>31.93</v>
      </c>
      <c r="C59" s="73">
        <v>41.15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0.47</v>
      </c>
      <c r="AG59" s="1113">
        <v>10.63</v>
      </c>
      <c r="AH59" s="1110">
        <v>203</v>
      </c>
      <c r="AI59" s="238">
        <v>55</v>
      </c>
      <c r="AJ59" s="838"/>
      <c r="AK59" s="839"/>
      <c r="AL59" s="51">
        <f t="shared" si="0"/>
        <v>1.2887566551832133</v>
      </c>
      <c r="AM59" s="51">
        <f t="shared" si="1"/>
        <v>-4.9175939917177169E-2</v>
      </c>
    </row>
    <row r="60" spans="1:39" x14ac:dyDescent="0.25">
      <c r="A60" s="71">
        <v>44561</v>
      </c>
      <c r="B60" s="72">
        <v>18.63</v>
      </c>
      <c r="C60" s="73">
        <v>24.31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0.47</v>
      </c>
      <c r="AG60" s="1113">
        <v>10.57</v>
      </c>
      <c r="AH60" s="1110">
        <v>131</v>
      </c>
      <c r="AI60" s="238">
        <v>54</v>
      </c>
      <c r="AJ60" s="838"/>
      <c r="AK60" s="839"/>
      <c r="AL60" s="51">
        <f t="shared" si="0"/>
        <v>1.3048845947396672</v>
      </c>
      <c r="AM60" s="51">
        <f t="shared" si="1"/>
        <v>-3.3048000360723195E-2</v>
      </c>
    </row>
    <row r="61" spans="1:39" x14ac:dyDescent="0.25">
      <c r="A61" s="71">
        <v>44227</v>
      </c>
      <c r="B61" s="72">
        <v>17.87</v>
      </c>
      <c r="C61" s="73">
        <v>23.1</v>
      </c>
      <c r="D61" s="528">
        <v>44292</v>
      </c>
      <c r="E61" s="516" t="s">
        <v>1312</v>
      </c>
      <c r="F61" s="380">
        <v>216.65</v>
      </c>
      <c r="G61" s="147"/>
      <c r="H61" s="75"/>
      <c r="I61" s="73"/>
      <c r="J61" s="234"/>
      <c r="K61" s="73"/>
      <c r="L61" s="1609">
        <v>44225</v>
      </c>
      <c r="M61" s="73">
        <v>8.4</v>
      </c>
      <c r="N61" s="894"/>
      <c r="O61" s="73"/>
      <c r="P61" s="71"/>
      <c r="Q61" s="73"/>
      <c r="R61" s="71"/>
      <c r="S61" s="73"/>
      <c r="T61" s="894"/>
      <c r="U61" s="1199"/>
      <c r="V61" s="73"/>
      <c r="W61" s="894">
        <v>44312</v>
      </c>
      <c r="X61" s="1199" t="s">
        <v>1329</v>
      </c>
      <c r="Y61" s="73">
        <v>40</v>
      </c>
      <c r="Z61" s="894"/>
      <c r="AA61" s="1199"/>
      <c r="AB61" s="73"/>
      <c r="AC61" s="894"/>
      <c r="AD61" s="1199"/>
      <c r="AE61" s="73"/>
      <c r="AF61" s="1112">
        <v>0.47</v>
      </c>
      <c r="AG61" s="1113">
        <v>10.62</v>
      </c>
      <c r="AH61" s="1110">
        <v>125</v>
      </c>
      <c r="AI61" s="238">
        <v>54</v>
      </c>
      <c r="AJ61" s="838"/>
      <c r="AK61" s="839"/>
      <c r="AL61" s="51">
        <f t="shared" si="0"/>
        <v>1.2926692781197537</v>
      </c>
      <c r="AM61" s="51">
        <f t="shared" si="1"/>
        <v>-4.5263316980636681E-2</v>
      </c>
    </row>
    <row r="62" spans="1:39" x14ac:dyDescent="0.25">
      <c r="A62" s="71">
        <v>44255</v>
      </c>
      <c r="B62" s="72">
        <v>15.21</v>
      </c>
      <c r="C62" s="73">
        <v>19.690000000000001</v>
      </c>
      <c r="D62" s="528">
        <v>44328</v>
      </c>
      <c r="E62" s="516" t="s">
        <v>1338</v>
      </c>
      <c r="F62" s="380">
        <v>323.63</v>
      </c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>
        <v>44378</v>
      </c>
      <c r="U62" s="1199" t="s">
        <v>1402</v>
      </c>
      <c r="V62" s="73">
        <v>17.440000000000001</v>
      </c>
      <c r="W62" s="894"/>
      <c r="X62" s="1199"/>
      <c r="Y62" s="73"/>
      <c r="Z62" s="894"/>
      <c r="AA62" s="1199"/>
      <c r="AB62" s="73"/>
      <c r="AC62" s="894"/>
      <c r="AD62" s="1199"/>
      <c r="AE62" s="73"/>
      <c r="AF62" s="1112">
        <v>0.47</v>
      </c>
      <c r="AG62" s="1113">
        <v>10.67</v>
      </c>
      <c r="AH62" s="1110">
        <v>97</v>
      </c>
      <c r="AI62" s="238">
        <v>55</v>
      </c>
      <c r="AJ62" s="838"/>
      <c r="AK62" s="839"/>
      <c r="AL62" s="51">
        <f t="shared" si="0"/>
        <v>1.2945430637738331</v>
      </c>
      <c r="AM62" s="51">
        <f t="shared" si="1"/>
        <v>-4.3389531326557318E-2</v>
      </c>
    </row>
    <row r="63" spans="1:39" x14ac:dyDescent="0.25">
      <c r="A63" s="71">
        <v>44286</v>
      </c>
      <c r="B63" s="72">
        <v>26.58</v>
      </c>
      <c r="C63" s="73">
        <v>35.31</v>
      </c>
      <c r="D63" s="528">
        <v>44340</v>
      </c>
      <c r="E63" s="516" t="s">
        <v>1347</v>
      </c>
      <c r="F63" s="380">
        <v>851.28</v>
      </c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v>0.48</v>
      </c>
      <c r="AG63" s="1113">
        <v>10.74</v>
      </c>
      <c r="AH63" s="1110">
        <v>132</v>
      </c>
      <c r="AI63" s="238">
        <v>54</v>
      </c>
      <c r="AJ63" s="838"/>
      <c r="AK63" s="839"/>
      <c r="AL63" s="51">
        <f t="shared" si="0"/>
        <v>1.3284424379232507</v>
      </c>
      <c r="AM63" s="51">
        <f t="shared" si="1"/>
        <v>-9.4901571771397464E-3</v>
      </c>
    </row>
    <row r="64" spans="1:39" x14ac:dyDescent="0.25">
      <c r="A64" s="71">
        <v>44316</v>
      </c>
      <c r="B64" s="72">
        <v>23.19</v>
      </c>
      <c r="C64" s="73">
        <v>30.95</v>
      </c>
      <c r="D64" s="528">
        <v>44445</v>
      </c>
      <c r="E64" s="516" t="s">
        <v>1450</v>
      </c>
      <c r="F64" s="380">
        <v>43.99</v>
      </c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v>0.48</v>
      </c>
      <c r="AG64" s="1113">
        <v>10.82</v>
      </c>
      <c r="AH64" s="1110">
        <v>188</v>
      </c>
      <c r="AI64" s="238">
        <v>47</v>
      </c>
      <c r="AJ64" s="838"/>
      <c r="AK64" s="839"/>
      <c r="AL64" s="51">
        <f t="shared" si="0"/>
        <v>1.3346269943941353</v>
      </c>
      <c r="AM64" s="51">
        <f t="shared" si="1"/>
        <v>-3.3056007062550741E-3</v>
      </c>
    </row>
    <row r="65" spans="1:39" x14ac:dyDescent="0.25">
      <c r="A65" s="71">
        <v>44347</v>
      </c>
      <c r="B65" s="72">
        <v>25</v>
      </c>
      <c r="C65" s="73">
        <v>33.369999999999997</v>
      </c>
      <c r="D65" s="147"/>
      <c r="E65" s="75"/>
      <c r="F65" s="73"/>
      <c r="G65" s="147"/>
      <c r="H65" s="75"/>
      <c r="I65" s="73"/>
      <c r="J65" s="234"/>
      <c r="K65" s="73"/>
      <c r="L65" s="1609">
        <v>44320</v>
      </c>
      <c r="M65" s="73">
        <v>8.4</v>
      </c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0.51</v>
      </c>
      <c r="AG65" s="1113">
        <v>10.82</v>
      </c>
      <c r="AH65" s="1110">
        <v>134</v>
      </c>
      <c r="AI65" s="238">
        <v>22</v>
      </c>
      <c r="AJ65" s="838"/>
      <c r="AK65" s="839"/>
      <c r="AL65" s="51">
        <f t="shared" si="0"/>
        <v>1.3348</v>
      </c>
      <c r="AM65" s="51">
        <f t="shared" si="1"/>
        <v>-3.132595100390434E-3</v>
      </c>
    </row>
    <row r="66" spans="1:39" x14ac:dyDescent="0.25">
      <c r="A66" s="71">
        <v>44377</v>
      </c>
      <c r="B66" s="72">
        <v>36.090000000000003</v>
      </c>
      <c r="C66" s="73">
        <v>50.82</v>
      </c>
      <c r="D66" s="147"/>
      <c r="E66" s="75"/>
      <c r="F66" s="73"/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0.51</v>
      </c>
      <c r="AG66" s="1113">
        <v>10.89</v>
      </c>
      <c r="AH66" s="1110">
        <v>295</v>
      </c>
      <c r="AI66" s="238">
        <v>55</v>
      </c>
      <c r="AJ66" s="838"/>
      <c r="AK66" s="839"/>
      <c r="AL66" s="51">
        <f t="shared" si="0"/>
        <v>1.4081463009143806</v>
      </c>
      <c r="AM66" s="51">
        <f t="shared" si="1"/>
        <v>7.0213705813990224E-2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ref="AF67:AF96" ca="1" si="2">$F$5</f>
        <v>0.49941404275471407</v>
      </c>
      <c r="AG67" s="1113">
        <f>SUM($B$9:B67)/($J$1-$B$4)*100</f>
        <v>10.889400921658984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0.49941404275471407</v>
      </c>
      <c r="AG68" s="1113">
        <f>SUM($B$9:B68)/($J$1-$B$4)*100</f>
        <v>10.889400921658984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0.49941404275471407</v>
      </c>
      <c r="AG69" s="1113">
        <f>SUM($B$9:B69)/($J$1-$B$4)*100</f>
        <v>10.889400921658984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0.49941404275471407</v>
      </c>
      <c r="AG70" s="1113">
        <f>SUM($B$9:B70)/($J$1-$B$4)*100</f>
        <v>10.889400921658984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0.49941404275471407</v>
      </c>
      <c r="AG71" s="1113">
        <f>SUM($B$9:B71)/($J$1-$B$4)*100</f>
        <v>10.889400921658984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0.49941404275471407</v>
      </c>
      <c r="AG72" s="1113">
        <f>SUM($B$9:B72)/($J$1-$B$4)*100</f>
        <v>10.889400921658984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2"/>
        <v>0.49941404275471407</v>
      </c>
      <c r="AG73" s="1113">
        <f>SUM($B$9:B73)/($J$1-$B$4)*100</f>
        <v>10.889400921658984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0.49941404275471407</v>
      </c>
      <c r="AG74" s="1113">
        <f>SUM($B$9:B74)/($J$1-$B$4)*100</f>
        <v>10.889400921658984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0.49941404275471407</v>
      </c>
      <c r="AG75" s="1113">
        <f>SUM($B$9:B75)/($J$1-$B$4)*100</f>
        <v>10.889400921658984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0.49941404275471407</v>
      </c>
      <c r="AG76" s="1113">
        <f>SUM($B$9:B76)/($J$1-$B$4)*100</f>
        <v>10.889400921658984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0.49941404275471407</v>
      </c>
      <c r="AG77" s="1113">
        <f>SUM($B$9:B77)/($J$1-$B$4)*100</f>
        <v>10.889400921658984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0.49941404275471407</v>
      </c>
      <c r="AG78" s="1113">
        <f>SUM($B$9:B78)/($J$1-$B$4)*100</f>
        <v>10.889400921658984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0.49941404275471407</v>
      </c>
      <c r="AG79" s="1113">
        <f>SUM($B$9:B79)/($J$1-$B$4)*100</f>
        <v>10.889400921658984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161"/>
      <c r="H80" s="831"/>
      <c r="I80" s="835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0.49941404275471407</v>
      </c>
      <c r="AG80" s="1113">
        <f>SUM($B$9:B80)/($J$1-$B$4)*100</f>
        <v>10.889400921658984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0.49941404275471407</v>
      </c>
      <c r="AG81" s="1113">
        <f>SUM($B$9:B81)/($J$1-$B$4)*100</f>
        <v>10.889400921658984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0.49941404275471407</v>
      </c>
      <c r="AG82" s="1113">
        <f>SUM($B$9:B82)/($J$1-$B$4)*100</f>
        <v>10.889400921658984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0.49941404275471407</v>
      </c>
      <c r="AG83" s="1113">
        <f>SUM($B$9:B83)/($J$1-$B$4)*100</f>
        <v>10.889400921658984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0.49941404275471407</v>
      </c>
      <c r="AG84" s="1113">
        <f>SUM($B$9:B84)/($J$1-$B$4)*100</f>
        <v>10.889400921658984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0.49941404275471407</v>
      </c>
      <c r="AG85" s="1113">
        <f>SUM($B$9:B85)/($J$1-$B$4)*100</f>
        <v>10.889400921658984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0.49941404275471407</v>
      </c>
      <c r="AG86" s="1113">
        <f>SUM($B$9:B86)/($J$1-$B$4)*100</f>
        <v>10.889400921658984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0.49941404275471407</v>
      </c>
      <c r="AG87" s="1113">
        <f>SUM($B$9:B87)/($J$1-$B$4)*100</f>
        <v>10.889400921658984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0.49941404275471407</v>
      </c>
      <c r="AG88" s="1113">
        <f>SUM($B$9:B88)/($J$1-$B$4)*100</f>
        <v>10.889400921658984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0.49941404275471407</v>
      </c>
      <c r="AG89" s="1113">
        <f>SUM($B$9:B89)/($J$1-$B$4)*100</f>
        <v>10.889400921658984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0.49941404275471407</v>
      </c>
      <c r="AG90" s="1113">
        <f>SUM($B$9:B90)/($J$1-$B$4)*100</f>
        <v>10.889400921658984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0.49941404275471407</v>
      </c>
      <c r="AG91" s="1113">
        <f>SUM($B$9:B91)/($J$1-$B$4)*100</f>
        <v>10.889400921658984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0.49941404275471407</v>
      </c>
      <c r="AG92" s="1113">
        <f>SUM($B$9:B92)/($J$1-$B$4)*100</f>
        <v>10.889400921658984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0.49941404275471407</v>
      </c>
      <c r="AG93" s="1113">
        <f>SUM($B$9:B93)/($J$1-$B$4)*100</f>
        <v>10.889400921658984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0.49941404275471407</v>
      </c>
      <c r="AG94" s="1113">
        <f>SUM($B$9:B94)/($J$1-$B$4)*100</f>
        <v>10.889400921658984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0.49941404275471407</v>
      </c>
      <c r="AG95" s="1113">
        <f>SUM($B$9:B95)/($J$1-$B$4)*100</f>
        <v>10.889400921658984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0.49941404275471407</v>
      </c>
      <c r="AG96" s="1113">
        <f>SUM($B$9:B96)/($J$1-$B$4)*100</f>
        <v>10.889400921658984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0.41286842366638016</v>
      </c>
      <c r="AG98" s="1109">
        <f>AVERAGE(AG9:AG97)</f>
        <v>10.137523041474655</v>
      </c>
      <c r="AH98" s="1228">
        <f ca="1">SUMIFS($AH$9:$AH$97,$A$9:$A$97,"&gt;="&amp;$C99,$A$9:$A$97,"&lt;="&amp;$D99)</f>
        <v>4208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0.88688865030805597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0.3874746075533419</v>
      </c>
      <c r="J99" s="1303">
        <f ca="1">(F99/F5)-1</f>
        <v>0.77585845487258176</v>
      </c>
      <c r="K99" s="2253">
        <f ca="1">((D99-C99)/(365.25/12)*F3)+C102+F102+I102+K102+M102+O102+Q102+S102+AE106</f>
        <v>6144.4973235183079</v>
      </c>
      <c r="L99" s="2253"/>
      <c r="M99" s="1472" t="s">
        <v>1135</v>
      </c>
      <c r="N99" s="1470"/>
      <c r="O99" s="1471"/>
      <c r="P99" s="1189">
        <f ca="1">K99/AH98</f>
        <v>1.4601942308741227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10.89</v>
      </c>
      <c r="AH99" s="1226">
        <f>AVERAGE(AH9:AH97)</f>
        <v>503.09259259259261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0.18886169201520914</v>
      </c>
      <c r="D100" s="2252" t="s">
        <v>879</v>
      </c>
      <c r="E100" s="2246"/>
      <c r="F100" s="1180">
        <f ca="1">F102/$AH$98</f>
        <v>0.46887832699619769</v>
      </c>
      <c r="G100" s="2252" t="s">
        <v>881</v>
      </c>
      <c r="H100" s="2246"/>
      <c r="I100" s="1180">
        <f ca="1">I102/$AH$98</f>
        <v>1.8811787072243347E-2</v>
      </c>
      <c r="J100" s="1181" t="s">
        <v>898</v>
      </c>
      <c r="K100" s="1180">
        <f ca="1">K102/$AH$98</f>
        <v>0</v>
      </c>
      <c r="L100" s="1181" t="s">
        <v>883</v>
      </c>
      <c r="M100" s="1180">
        <f ca="1">M102/$AH$98</f>
        <v>5.1901140684410665E-2</v>
      </c>
      <c r="N100" s="1181" t="s">
        <v>908</v>
      </c>
      <c r="O100" s="1180">
        <f ca="1">O102/$AH$98</f>
        <v>0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1.6577946768060837E-2</v>
      </c>
      <c r="W100" s="2252" t="s">
        <v>912</v>
      </c>
      <c r="X100" s="2246"/>
      <c r="Y100" s="1180">
        <f ca="1">Y102/$AH$98</f>
        <v>1.9011406844106463E-2</v>
      </c>
      <c r="Z100" s="2252" t="s">
        <v>889</v>
      </c>
      <c r="AA100" s="2246"/>
      <c r="AB100" s="1180">
        <f ca="1">AB102/$AH$98</f>
        <v>0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14.165636882129279</v>
      </c>
      <c r="C101" s="1183">
        <f ca="1">C100/$F$99</f>
        <v>0.21294859501202215</v>
      </c>
      <c r="D101" s="1184"/>
      <c r="E101" s="1185"/>
      <c r="F101" s="1183">
        <f ca="1">F100/$F$99</f>
        <v>0.52867778478542415</v>
      </c>
      <c r="G101" s="1184"/>
      <c r="H101" s="1185"/>
      <c r="I101" s="1183">
        <f ca="1">I100/$F$99</f>
        <v>2.1210990878854041E-2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5.8520470034635223E-2</v>
      </c>
      <c r="N101" s="1184"/>
      <c r="O101" s="1183">
        <f ca="1">O100/$F$99</f>
        <v>0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1.8692252699707652E-2</v>
      </c>
      <c r="W101" s="1184"/>
      <c r="X101" s="1185"/>
      <c r="Y101" s="1183">
        <f ca="1">Y100/$F$99</f>
        <v>2.1436069609756483E-2</v>
      </c>
      <c r="Z101" s="1184"/>
      <c r="AA101" s="1185"/>
      <c r="AB101" s="1183">
        <f ca="1">AB100/$F$99</f>
        <v>0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596.09</v>
      </c>
      <c r="C102" s="1197">
        <f ca="1">SUMIFS($C$9:$C$97,$A$9:$A$97,"&gt;="&amp;$C99,$A$9:$A$97,"&lt;="&amp;$D99)</f>
        <v>794.73</v>
      </c>
      <c r="D102" s="2251" t="s">
        <v>880</v>
      </c>
      <c r="E102" s="2250"/>
      <c r="F102" s="1197">
        <f ca="1">SUMIFS($F$9:$F$97,$D$9:$D$97,"&gt;="&amp;$C99,$D$9:$D$97,"&lt;="&amp;$D99)</f>
        <v>1973.04</v>
      </c>
      <c r="G102" s="2251" t="s">
        <v>882</v>
      </c>
      <c r="H102" s="2250"/>
      <c r="I102" s="1197">
        <f ca="1">SUMIFS($I$9:$I$97,$G$9:$G$97,"&gt;="&amp;$C99,$G$9:$G$97,"&lt;="&amp;$D99)</f>
        <v>79.16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69.760000000000005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0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4.3168847673171251E-2</v>
      </c>
      <c r="D103" s="1205" t="s">
        <v>897</v>
      </c>
      <c r="E103" s="1195"/>
      <c r="F103" s="1206">
        <f ca="1">F100-F6</f>
        <v>0.28695893305680376</v>
      </c>
      <c r="G103" s="1204" t="s">
        <v>897</v>
      </c>
      <c r="H103" s="1195"/>
      <c r="I103" s="1203">
        <f ca="1">I100-I6</f>
        <v>1.2939059799516074E-2</v>
      </c>
      <c r="J103" s="1205" t="s">
        <v>897</v>
      </c>
      <c r="K103" s="1206">
        <f ca="1">K100-K6</f>
        <v>-4.5454545454545455E-4</v>
      </c>
      <c r="L103" s="1204" t="s">
        <v>897</v>
      </c>
      <c r="M103" s="1203">
        <f ca="1">M100-M6</f>
        <v>3.2073261896531903E-2</v>
      </c>
      <c r="N103" s="1205" t="s">
        <v>897</v>
      </c>
      <c r="O103" s="1206">
        <f ca="1">O100-O6</f>
        <v>0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7.0152194953335637E-3</v>
      </c>
      <c r="W103" s="1205" t="s">
        <v>897</v>
      </c>
      <c r="X103" s="1195"/>
      <c r="Y103" s="1206">
        <f ca="1">Y100-Y6</f>
        <v>1.4162921995621615E-2</v>
      </c>
      <c r="Z103" s="1205" t="s">
        <v>897</v>
      </c>
      <c r="AA103" s="1195"/>
      <c r="AB103" s="1206">
        <f ca="1">AB100-AB6</f>
        <v>-8.3890909090909085E-3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3.55893536121673E-2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4.0128322309464136E-2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149.76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s="52" customFormat="1" x14ac:dyDescent="0.25">
      <c r="A108" s="478">
        <v>43315</v>
      </c>
      <c r="B108" s="6" t="s">
        <v>376</v>
      </c>
      <c r="C108" s="6"/>
      <c r="D108" s="6" t="s">
        <v>390</v>
      </c>
      <c r="E108" s="5">
        <v>147978</v>
      </c>
      <c r="F108" s="229">
        <v>624.89</v>
      </c>
      <c r="G108" s="6" t="s">
        <v>377</v>
      </c>
      <c r="J108" s="229"/>
      <c r="L108" s="433"/>
      <c r="M108" s="479"/>
      <c r="N108" s="479"/>
    </row>
    <row r="109" spans="1:38" s="52" customFormat="1" x14ac:dyDescent="0.25">
      <c r="A109" s="799">
        <v>43348</v>
      </c>
      <c r="B109" s="6" t="s">
        <v>376</v>
      </c>
      <c r="C109" s="6"/>
      <c r="D109" s="750" t="s">
        <v>416</v>
      </c>
      <c r="E109" s="5">
        <v>148296</v>
      </c>
      <c r="F109" s="764">
        <v>161.46</v>
      </c>
      <c r="G109" s="6" t="s">
        <v>378</v>
      </c>
      <c r="J109" s="229"/>
      <c r="L109" s="433"/>
      <c r="M109" s="479"/>
      <c r="N109" s="479"/>
    </row>
    <row r="110" spans="1:38" s="52" customFormat="1" x14ac:dyDescent="0.25">
      <c r="A110" s="799">
        <v>43621</v>
      </c>
      <c r="B110" s="6" t="s">
        <v>376</v>
      </c>
      <c r="C110" s="6"/>
      <c r="D110" s="750" t="s">
        <v>636</v>
      </c>
      <c r="E110" s="5">
        <v>152456</v>
      </c>
      <c r="F110" s="764">
        <v>35.42</v>
      </c>
      <c r="G110" s="6" t="s">
        <v>637</v>
      </c>
      <c r="J110" s="229"/>
      <c r="L110" s="433"/>
      <c r="M110" s="479"/>
      <c r="N110" s="479"/>
    </row>
    <row r="111" spans="1:38" s="7" customFormat="1" x14ac:dyDescent="0.25">
      <c r="A111" s="799">
        <v>43570</v>
      </c>
      <c r="B111" s="750" t="s">
        <v>385</v>
      </c>
      <c r="C111" s="750"/>
      <c r="D111" s="750" t="s">
        <v>645</v>
      </c>
      <c r="E111" s="776">
        <v>151184</v>
      </c>
      <c r="F111" s="764">
        <v>41.95</v>
      </c>
      <c r="G111" s="750" t="s">
        <v>614</v>
      </c>
      <c r="J111" s="918"/>
      <c r="L111" s="776"/>
      <c r="M111" s="909"/>
      <c r="N111" s="909"/>
    </row>
    <row r="112" spans="1:38" s="7" customFormat="1" x14ac:dyDescent="0.25">
      <c r="A112" s="799">
        <v>43677</v>
      </c>
      <c r="B112" s="750" t="s">
        <v>376</v>
      </c>
      <c r="C112" s="750"/>
      <c r="D112" s="750" t="s">
        <v>673</v>
      </c>
      <c r="E112" s="776">
        <v>153413</v>
      </c>
      <c r="F112" s="764">
        <v>539.6</v>
      </c>
      <c r="G112" s="750" t="s">
        <v>674</v>
      </c>
      <c r="J112" s="918"/>
      <c r="L112" s="776"/>
      <c r="M112" s="909"/>
      <c r="N112" s="909"/>
    </row>
    <row r="113" spans="1:14" s="7" customFormat="1" x14ac:dyDescent="0.25">
      <c r="A113" s="799">
        <v>43719</v>
      </c>
      <c r="B113" s="750" t="s">
        <v>376</v>
      </c>
      <c r="C113" s="750"/>
      <c r="D113" s="750" t="s">
        <v>692</v>
      </c>
      <c r="E113" s="776">
        <v>153863</v>
      </c>
      <c r="F113" s="764">
        <v>104.44</v>
      </c>
      <c r="G113" s="750" t="s">
        <v>693</v>
      </c>
      <c r="J113" s="918"/>
      <c r="L113" s="776"/>
      <c r="M113" s="909"/>
      <c r="N113" s="909"/>
    </row>
    <row r="114" spans="1:14" s="7" customFormat="1" x14ac:dyDescent="0.25">
      <c r="A114" s="799">
        <v>43766</v>
      </c>
      <c r="B114" s="750" t="s">
        <v>385</v>
      </c>
      <c r="C114" s="750"/>
      <c r="D114" s="750" t="s">
        <v>756</v>
      </c>
      <c r="E114" s="776">
        <v>155632</v>
      </c>
      <c r="F114" s="764">
        <v>41.95</v>
      </c>
      <c r="G114" s="750" t="s">
        <v>614</v>
      </c>
      <c r="J114" s="918"/>
      <c r="L114" s="776"/>
      <c r="M114" s="909"/>
      <c r="N114" s="909"/>
    </row>
    <row r="115" spans="1:14" s="52" customFormat="1" x14ac:dyDescent="0.25">
      <c r="A115" s="799">
        <v>43698</v>
      </c>
      <c r="B115" s="6" t="s">
        <v>376</v>
      </c>
      <c r="C115" s="6"/>
      <c r="D115" s="750" t="s">
        <v>765</v>
      </c>
      <c r="E115" s="5">
        <v>153516</v>
      </c>
      <c r="F115" s="764">
        <v>518.28</v>
      </c>
      <c r="G115" s="6" t="s">
        <v>378</v>
      </c>
      <c r="J115" s="229"/>
      <c r="L115" s="433"/>
      <c r="M115" s="479"/>
      <c r="N115" s="479"/>
    </row>
    <row r="116" spans="1:14" s="52" customFormat="1" x14ac:dyDescent="0.25">
      <c r="A116" s="799">
        <v>43759</v>
      </c>
      <c r="B116" s="6" t="s">
        <v>376</v>
      </c>
      <c r="C116" s="6"/>
      <c r="D116" s="750" t="s">
        <v>783</v>
      </c>
      <c r="E116" s="5">
        <v>155529</v>
      </c>
      <c r="F116" s="764">
        <v>209.78</v>
      </c>
      <c r="G116" s="6" t="s">
        <v>784</v>
      </c>
      <c r="J116" s="229"/>
      <c r="L116" s="433"/>
      <c r="M116" s="479"/>
      <c r="N116" s="479"/>
    </row>
    <row r="117" spans="1:14" s="52" customFormat="1" x14ac:dyDescent="0.25">
      <c r="A117" s="799">
        <v>43754</v>
      </c>
      <c r="B117" s="6" t="s">
        <v>376</v>
      </c>
      <c r="C117" s="6"/>
      <c r="D117" s="750" t="s">
        <v>786</v>
      </c>
      <c r="E117" s="5">
        <v>154612</v>
      </c>
      <c r="F117" s="764">
        <v>193.63</v>
      </c>
      <c r="G117" s="6" t="s">
        <v>787</v>
      </c>
      <c r="J117" s="229"/>
      <c r="L117" s="433"/>
      <c r="M117" s="479"/>
      <c r="N117" s="479"/>
    </row>
    <row r="118" spans="1:14" s="52" customFormat="1" x14ac:dyDescent="0.25">
      <c r="A118" s="799">
        <v>43861</v>
      </c>
      <c r="B118" s="6" t="s">
        <v>385</v>
      </c>
      <c r="C118" s="6"/>
      <c r="D118" s="750" t="s">
        <v>984</v>
      </c>
      <c r="E118" s="5">
        <v>157511</v>
      </c>
      <c r="F118" s="764">
        <v>8.16</v>
      </c>
      <c r="G118" s="6" t="s">
        <v>493</v>
      </c>
      <c r="J118" s="229"/>
      <c r="K118" s="52" t="s">
        <v>986</v>
      </c>
      <c r="L118" s="433"/>
      <c r="M118" s="479"/>
      <c r="N118" s="479"/>
    </row>
    <row r="119" spans="1:14" s="7" customFormat="1" x14ac:dyDescent="0.25">
      <c r="A119" s="799">
        <v>43942</v>
      </c>
      <c r="B119" s="750" t="s">
        <v>385</v>
      </c>
      <c r="C119" s="750"/>
      <c r="D119" s="750" t="s">
        <v>1065</v>
      </c>
      <c r="E119" s="776">
        <v>148600</v>
      </c>
      <c r="F119" s="764">
        <v>41.95</v>
      </c>
      <c r="G119" s="750" t="s">
        <v>614</v>
      </c>
      <c r="J119" s="918"/>
      <c r="K119" s="7" t="s">
        <v>1064</v>
      </c>
      <c r="L119" s="776"/>
      <c r="M119" s="909"/>
      <c r="N119" s="909"/>
    </row>
    <row r="120" spans="1:14" s="800" customFormat="1" x14ac:dyDescent="0.25">
      <c r="A120" s="799">
        <v>44036</v>
      </c>
      <c r="B120" s="750" t="s">
        <v>376</v>
      </c>
      <c r="C120" s="750"/>
      <c r="D120" s="750" t="s">
        <v>1186</v>
      </c>
      <c r="E120" s="776">
        <v>158516</v>
      </c>
      <c r="F120" s="764">
        <v>128.08000000000001</v>
      </c>
      <c r="G120" s="750" t="s">
        <v>1168</v>
      </c>
      <c r="J120" s="764"/>
      <c r="K120" s="800" t="s">
        <v>1215</v>
      </c>
      <c r="L120" s="801"/>
      <c r="M120" s="802"/>
      <c r="N120" s="802"/>
    </row>
    <row r="121" spans="1:14" s="800" customFormat="1" x14ac:dyDescent="0.25">
      <c r="A121" s="799">
        <v>44040</v>
      </c>
      <c r="B121" s="750" t="s">
        <v>376</v>
      </c>
      <c r="C121" s="750"/>
      <c r="D121" s="750" t="s">
        <v>1200</v>
      </c>
      <c r="E121" s="776">
        <v>158516</v>
      </c>
      <c r="F121" s="764">
        <v>109.14</v>
      </c>
      <c r="G121" s="750" t="s">
        <v>1177</v>
      </c>
      <c r="J121" s="764"/>
      <c r="K121" s="800" t="s">
        <v>1216</v>
      </c>
      <c r="L121" s="801"/>
      <c r="M121" s="802"/>
      <c r="N121" s="802"/>
    </row>
    <row r="122" spans="1:14" s="800" customFormat="1" x14ac:dyDescent="0.25">
      <c r="A122" s="799">
        <v>44082</v>
      </c>
      <c r="B122" s="750" t="s">
        <v>376</v>
      </c>
      <c r="C122" s="750"/>
      <c r="D122" s="750" t="s">
        <v>1213</v>
      </c>
      <c r="E122" s="776">
        <v>158994</v>
      </c>
      <c r="F122" s="764">
        <v>222.31</v>
      </c>
      <c r="G122" s="750" t="s">
        <v>378</v>
      </c>
      <c r="J122" s="764"/>
      <c r="K122" s="800" t="s">
        <v>1214</v>
      </c>
      <c r="L122" s="801"/>
      <c r="M122" s="802"/>
      <c r="N122" s="802"/>
    </row>
    <row r="123" spans="1:14" s="800" customFormat="1" x14ac:dyDescent="0.25">
      <c r="A123" s="799">
        <v>44097</v>
      </c>
      <c r="B123" s="750" t="s">
        <v>376</v>
      </c>
      <c r="C123" s="750"/>
      <c r="D123" s="750" t="s">
        <v>1229</v>
      </c>
      <c r="E123" s="776">
        <v>159299</v>
      </c>
      <c r="F123" s="764">
        <v>27.85</v>
      </c>
      <c r="G123" s="750" t="s">
        <v>421</v>
      </c>
      <c r="J123" s="764"/>
      <c r="K123" s="800" t="s">
        <v>1231</v>
      </c>
      <c r="L123" s="801"/>
      <c r="M123" s="802"/>
      <c r="N123" s="802"/>
    </row>
    <row r="124" spans="1:14" s="828" customFormat="1" x14ac:dyDescent="0.25">
      <c r="A124" s="827">
        <v>44292</v>
      </c>
      <c r="B124" s="537" t="s">
        <v>376</v>
      </c>
      <c r="C124" s="537"/>
      <c r="D124" s="537" t="s">
        <v>1311</v>
      </c>
      <c r="E124" s="596">
        <v>160444</v>
      </c>
      <c r="F124" s="618">
        <v>216.65</v>
      </c>
      <c r="G124" s="537" t="s">
        <v>1313</v>
      </c>
      <c r="J124" s="618"/>
      <c r="K124" s="828" t="s">
        <v>1314</v>
      </c>
      <c r="L124" s="829"/>
      <c r="M124" s="830"/>
      <c r="N124" s="830"/>
    </row>
    <row r="125" spans="1:14" s="828" customFormat="1" x14ac:dyDescent="0.25">
      <c r="A125" s="827">
        <v>44328</v>
      </c>
      <c r="B125" s="537" t="s">
        <v>376</v>
      </c>
      <c r="C125" s="537"/>
      <c r="D125" s="537" t="s">
        <v>1337</v>
      </c>
      <c r="E125" s="596">
        <v>160693</v>
      </c>
      <c r="F125" s="618">
        <v>323.63</v>
      </c>
      <c r="G125" s="537" t="s">
        <v>1339</v>
      </c>
      <c r="J125" s="618"/>
      <c r="K125" s="828" t="s">
        <v>1340</v>
      </c>
      <c r="L125" s="829"/>
      <c r="M125" s="830"/>
      <c r="N125" s="830"/>
    </row>
    <row r="126" spans="1:14" s="828" customFormat="1" x14ac:dyDescent="0.25">
      <c r="A126" s="827">
        <v>44340</v>
      </c>
      <c r="B126" s="537" t="s">
        <v>376</v>
      </c>
      <c r="C126" s="537"/>
      <c r="D126" s="537" t="s">
        <v>1346</v>
      </c>
      <c r="E126" s="596">
        <v>160757</v>
      </c>
      <c r="F126" s="618">
        <v>851.28</v>
      </c>
      <c r="G126" s="537" t="s">
        <v>1348</v>
      </c>
      <c r="J126" s="618"/>
      <c r="K126" s="828" t="s">
        <v>1349</v>
      </c>
      <c r="L126" s="829"/>
      <c r="M126" s="830"/>
      <c r="N126" s="830"/>
    </row>
    <row r="127" spans="1:14" s="828" customFormat="1" x14ac:dyDescent="0.25">
      <c r="A127" s="827">
        <v>44445</v>
      </c>
      <c r="B127" s="537" t="s">
        <v>376</v>
      </c>
      <c r="C127" s="537"/>
      <c r="D127" s="537" t="s">
        <v>1449</v>
      </c>
      <c r="E127" s="596">
        <v>161671</v>
      </c>
      <c r="F127" s="618">
        <v>43.99</v>
      </c>
      <c r="G127" s="537" t="s">
        <v>1451</v>
      </c>
      <c r="J127" s="618"/>
      <c r="K127" s="828" t="s">
        <v>1452</v>
      </c>
      <c r="L127" s="829"/>
      <c r="M127" s="830"/>
      <c r="N127" s="830"/>
    </row>
    <row r="129" spans="1:7" x14ac:dyDescent="0.25">
      <c r="A129" s="1748" t="s">
        <v>1331</v>
      </c>
      <c r="F129" s="1749" t="s">
        <v>1334</v>
      </c>
      <c r="G129" s="5"/>
    </row>
    <row r="130" spans="1:7" x14ac:dyDescent="0.25">
      <c r="A130" s="535">
        <v>43947</v>
      </c>
      <c r="B130" s="6" t="s">
        <v>1332</v>
      </c>
      <c r="F130" s="3"/>
      <c r="G130" s="6" t="s">
        <v>1335</v>
      </c>
    </row>
    <row r="131" spans="1:7" x14ac:dyDescent="0.25">
      <c r="A131" s="535">
        <v>43947</v>
      </c>
      <c r="B131" s="6" t="s">
        <v>1333</v>
      </c>
      <c r="F131" s="3"/>
      <c r="G131" s="6" t="s">
        <v>1335</v>
      </c>
    </row>
    <row r="132" spans="1:7" x14ac:dyDescent="0.25">
      <c r="A132" s="535"/>
      <c r="B132" s="6"/>
      <c r="F132" s="3"/>
      <c r="G132" s="6"/>
    </row>
    <row r="133" spans="1:7" x14ac:dyDescent="0.25">
      <c r="A133" s="535"/>
      <c r="B133" s="6"/>
      <c r="F133" s="3"/>
      <c r="G133" s="6"/>
    </row>
    <row r="134" spans="1:7" x14ac:dyDescent="0.25">
      <c r="A134" s="535"/>
      <c r="B134" s="6"/>
      <c r="F134" s="3"/>
      <c r="G134" s="6"/>
    </row>
    <row r="135" spans="1:7" x14ac:dyDescent="0.25">
      <c r="A135" s="535"/>
      <c r="B135" s="6"/>
      <c r="F135" s="3"/>
      <c r="G135" s="6"/>
    </row>
    <row r="136" spans="1:7" x14ac:dyDescent="0.25">
      <c r="A136" s="535"/>
      <c r="B136" s="6"/>
      <c r="F136" s="3"/>
      <c r="G136" s="6"/>
    </row>
    <row r="137" spans="1:7" x14ac:dyDescent="0.25">
      <c r="A137" s="535"/>
      <c r="B137" s="6"/>
      <c r="F137" s="3"/>
      <c r="G137" s="6"/>
    </row>
    <row r="138" spans="1:7" x14ac:dyDescent="0.25">
      <c r="A138" s="535"/>
      <c r="B138" s="6"/>
      <c r="F138" s="3"/>
      <c r="G138" s="6"/>
    </row>
    <row r="139" spans="1:7" x14ac:dyDescent="0.25">
      <c r="A139" s="535"/>
      <c r="B139" s="6"/>
      <c r="F139" s="3"/>
      <c r="G139" s="6"/>
    </row>
    <row r="140" spans="1:7" x14ac:dyDescent="0.25">
      <c r="A140" s="535"/>
      <c r="B140" s="6"/>
      <c r="F140" s="3"/>
      <c r="G140" s="6"/>
    </row>
    <row r="141" spans="1:7" x14ac:dyDescent="0.25">
      <c r="A141" s="535"/>
      <c r="B141" s="6"/>
      <c r="F141" s="3"/>
      <c r="G141" s="6"/>
    </row>
    <row r="142" spans="1:7" x14ac:dyDescent="0.25">
      <c r="A142" s="535"/>
      <c r="B142" s="6"/>
      <c r="F142" s="3"/>
      <c r="G142" s="6"/>
    </row>
    <row r="143" spans="1:7" x14ac:dyDescent="0.25">
      <c r="A143" s="535"/>
      <c r="B143" s="6"/>
      <c r="F143" s="3"/>
      <c r="G143" s="6"/>
    </row>
    <row r="144" spans="1:7" x14ac:dyDescent="0.25">
      <c r="A144" s="535"/>
      <c r="B144" s="6"/>
      <c r="F144" s="3"/>
      <c r="G144" s="6"/>
    </row>
    <row r="145" spans="2:7" x14ac:dyDescent="0.25">
      <c r="B145" s="6"/>
      <c r="F145" s="3"/>
      <c r="G145" s="6"/>
    </row>
    <row r="146" spans="2:7" x14ac:dyDescent="0.25">
      <c r="B146" s="6"/>
      <c r="F146" s="3"/>
      <c r="G146" s="6"/>
    </row>
    <row r="147" spans="2:7" x14ac:dyDescent="0.25">
      <c r="B147" s="6"/>
      <c r="F147" s="3"/>
      <c r="G147" s="6"/>
    </row>
    <row r="148" spans="2:7" x14ac:dyDescent="0.25">
      <c r="B148" s="6"/>
      <c r="E148" s="3"/>
      <c r="F148" s="478"/>
    </row>
    <row r="149" spans="2:7" x14ac:dyDescent="0.25">
      <c r="B149" s="479"/>
      <c r="E149" s="3"/>
      <c r="F149" s="478"/>
    </row>
    <row r="150" spans="2:7" x14ac:dyDescent="0.25">
      <c r="B150" s="479"/>
      <c r="E150" s="3"/>
      <c r="F150" s="3"/>
    </row>
    <row r="151" spans="2:7" x14ac:dyDescent="0.25">
      <c r="B151" s="479"/>
      <c r="E151" s="3"/>
      <c r="F151" s="3"/>
    </row>
    <row r="152" spans="2:7" x14ac:dyDescent="0.25">
      <c r="E152" s="3"/>
      <c r="F152" s="3"/>
    </row>
  </sheetData>
  <sortState ref="G9:I46">
    <sortCondition ref="G9:G46"/>
  </sortState>
  <mergeCells count="44"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8:AD8"/>
    <mergeCell ref="D100:E100"/>
    <mergeCell ref="G100:H100"/>
    <mergeCell ref="T100:U100"/>
    <mergeCell ref="W100:X100"/>
    <mergeCell ref="Z100:AA100"/>
    <mergeCell ref="K99:L99"/>
    <mergeCell ref="H1:I1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</mergeCells>
  <conditionalFormatting sqref="AM9:AM44 AM97:AM98">
    <cfRule type="cellIs" dxfId="239" priority="3" operator="greaterThan">
      <formula>0</formula>
    </cfRule>
    <cfRule type="cellIs" dxfId="238" priority="4" operator="lessThan">
      <formula>0</formula>
    </cfRule>
  </conditionalFormatting>
  <conditionalFormatting sqref="AF9:AF96">
    <cfRule type="cellIs" dxfId="237" priority="5" operator="lessThan">
      <formula>$AF$98</formula>
    </cfRule>
    <cfRule type="cellIs" dxfId="236" priority="6" operator="greaterThan">
      <formula>$AF$98</formula>
    </cfRule>
  </conditionalFormatting>
  <conditionalFormatting sqref="AG9:AG96">
    <cfRule type="cellIs" dxfId="235" priority="7" operator="equal">
      <formula>$AG$99</formula>
    </cfRule>
    <cfRule type="cellIs" dxfId="234" priority="8" operator="lessThan">
      <formula>$AG$98</formula>
    </cfRule>
    <cfRule type="cellIs" dxfId="233" priority="9" operator="greaterThan">
      <formula>$AG$98</formula>
    </cfRule>
  </conditionalFormatting>
  <conditionalFormatting sqref="AM45:AM96">
    <cfRule type="cellIs" dxfId="232" priority="1" operator="greaterThan">
      <formula>0</formula>
    </cfRule>
    <cfRule type="cellIs" dxfId="231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E24"/>
  <sheetViews>
    <sheetView workbookViewId="0">
      <selection sqref="A1:L14"/>
    </sheetView>
  </sheetViews>
  <sheetFormatPr defaultRowHeight="15.75" x14ac:dyDescent="0.25"/>
  <cols>
    <col min="1" max="1" width="4.25" style="752" customWidth="1"/>
    <col min="2" max="2" width="9" style="1"/>
    <col min="3" max="3" width="28.625" style="1" customWidth="1"/>
    <col min="4" max="5" width="15.625" style="468" customWidth="1"/>
    <col min="6" max="6" width="9" style="1" customWidth="1"/>
    <col min="7" max="16384" width="9" style="1"/>
  </cols>
  <sheetData>
    <row r="1" spans="1:5" ht="18" customHeight="1" x14ac:dyDescent="0.25">
      <c r="A1" s="1984" t="s">
        <v>600</v>
      </c>
      <c r="B1" s="1984"/>
      <c r="C1" s="1984"/>
      <c r="D1" s="1984"/>
      <c r="E1" s="1984"/>
    </row>
    <row r="2" spans="1:5" s="445" customFormat="1" ht="40.5" customHeight="1" x14ac:dyDescent="0.25">
      <c r="A2" s="1563" t="s">
        <v>42</v>
      </c>
      <c r="B2" s="485" t="s">
        <v>2</v>
      </c>
      <c r="C2" s="1564" t="s">
        <v>3</v>
      </c>
      <c r="D2" s="1565" t="s">
        <v>357</v>
      </c>
      <c r="E2" s="1542"/>
    </row>
    <row r="3" spans="1:5" ht="24" customHeight="1" x14ac:dyDescent="0.25">
      <c r="A3" s="1556">
        <v>1</v>
      </c>
      <c r="B3" s="1557" t="s">
        <v>594</v>
      </c>
      <c r="C3" s="1558" t="s">
        <v>597</v>
      </c>
      <c r="D3" s="1559">
        <v>3</v>
      </c>
      <c r="E3" s="1991" t="s">
        <v>852</v>
      </c>
    </row>
    <row r="4" spans="1:5" ht="24" customHeight="1" x14ac:dyDescent="0.25">
      <c r="A4" s="471">
        <f t="shared" ref="A4:A10" si="0">A3+1</f>
        <v>2</v>
      </c>
      <c r="B4" s="470" t="s">
        <v>36</v>
      </c>
      <c r="C4" s="473" t="s">
        <v>37</v>
      </c>
      <c r="D4" s="474" t="s">
        <v>355</v>
      </c>
      <c r="E4" s="1992"/>
    </row>
    <row r="5" spans="1:5" ht="24" customHeight="1" x14ac:dyDescent="0.25">
      <c r="A5" s="471">
        <f t="shared" si="0"/>
        <v>3</v>
      </c>
      <c r="B5" s="470" t="s">
        <v>1139</v>
      </c>
      <c r="C5" s="473" t="s">
        <v>1137</v>
      </c>
      <c r="D5" s="474" t="s">
        <v>355</v>
      </c>
      <c r="E5" s="1992"/>
    </row>
    <row r="6" spans="1:5" ht="24" customHeight="1" x14ac:dyDescent="0.25">
      <c r="A6" s="471">
        <f t="shared" si="0"/>
        <v>4</v>
      </c>
      <c r="B6" s="470" t="s">
        <v>33</v>
      </c>
      <c r="C6" s="473" t="s">
        <v>34</v>
      </c>
      <c r="D6" s="1055" t="s">
        <v>598</v>
      </c>
      <c r="E6" s="1992"/>
    </row>
    <row r="7" spans="1:5" ht="24" customHeight="1" x14ac:dyDescent="0.25">
      <c r="A7" s="471">
        <f t="shared" si="0"/>
        <v>5</v>
      </c>
      <c r="B7" s="470" t="s">
        <v>393</v>
      </c>
      <c r="C7" s="473" t="s">
        <v>34</v>
      </c>
      <c r="D7" s="1055" t="s">
        <v>598</v>
      </c>
      <c r="E7" s="1992"/>
    </row>
    <row r="8" spans="1:5" ht="24" customHeight="1" x14ac:dyDescent="0.25">
      <c r="A8" s="471">
        <f t="shared" si="0"/>
        <v>6</v>
      </c>
      <c r="B8" s="470" t="s">
        <v>28</v>
      </c>
      <c r="C8" s="473" t="s">
        <v>27</v>
      </c>
      <c r="D8" s="474">
        <v>2</v>
      </c>
      <c r="E8" s="1992"/>
    </row>
    <row r="9" spans="1:5" ht="24" customHeight="1" x14ac:dyDescent="0.25">
      <c r="A9" s="471">
        <f t="shared" si="0"/>
        <v>7</v>
      </c>
      <c r="B9" s="470" t="s">
        <v>20</v>
      </c>
      <c r="C9" s="473" t="s">
        <v>21</v>
      </c>
      <c r="D9" s="474">
        <v>3</v>
      </c>
      <c r="E9" s="1992"/>
    </row>
    <row r="10" spans="1:5" ht="24" customHeight="1" x14ac:dyDescent="0.25">
      <c r="A10" s="1732">
        <f t="shared" si="0"/>
        <v>8</v>
      </c>
      <c r="B10" s="1733" t="s">
        <v>215</v>
      </c>
      <c r="C10" s="1734" t="s">
        <v>218</v>
      </c>
      <c r="D10" s="1735" t="s">
        <v>356</v>
      </c>
      <c r="E10" s="1992"/>
    </row>
    <row r="11" spans="1:5" ht="24" customHeight="1" x14ac:dyDescent="0.25">
      <c r="A11" s="1988" t="s">
        <v>599</v>
      </c>
      <c r="B11" s="1989"/>
      <c r="C11" s="1990"/>
      <c r="D11" s="1736" t="s">
        <v>598</v>
      </c>
      <c r="E11" s="1992"/>
    </row>
    <row r="12" spans="1:5" s="1555" customFormat="1" ht="24" customHeight="1" x14ac:dyDescent="0.25">
      <c r="A12" s="469">
        <f>A10+1</f>
        <v>9</v>
      </c>
      <c r="B12" s="470" t="s">
        <v>11</v>
      </c>
      <c r="C12" s="1976" t="s">
        <v>1</v>
      </c>
      <c r="D12" s="452" t="s">
        <v>355</v>
      </c>
      <c r="E12" s="1992"/>
    </row>
    <row r="13" spans="1:5" ht="24" customHeight="1" x14ac:dyDescent="0.25">
      <c r="A13" s="1977">
        <f>A12+1</f>
        <v>10</v>
      </c>
      <c r="B13" s="470" t="s">
        <v>1480</v>
      </c>
      <c r="C13" s="473" t="s">
        <v>32</v>
      </c>
      <c r="D13" s="474" t="s">
        <v>355</v>
      </c>
      <c r="E13" s="1992"/>
    </row>
    <row r="14" spans="1:5" ht="24" customHeight="1" x14ac:dyDescent="0.25">
      <c r="A14" s="469">
        <f>A13+1</f>
        <v>11</v>
      </c>
      <c r="B14" s="470" t="s">
        <v>18</v>
      </c>
      <c r="C14" s="473" t="s">
        <v>17</v>
      </c>
      <c r="D14" s="474">
        <v>5</v>
      </c>
      <c r="E14" s="1992"/>
    </row>
    <row r="15" spans="1:5" ht="24" customHeight="1" x14ac:dyDescent="0.25">
      <c r="A15" s="469">
        <f>A14+1</f>
        <v>12</v>
      </c>
      <c r="B15" s="470" t="s">
        <v>30</v>
      </c>
      <c r="C15" s="473" t="s">
        <v>21</v>
      </c>
      <c r="D15" s="474">
        <v>3</v>
      </c>
      <c r="E15" s="1992"/>
    </row>
    <row r="16" spans="1:5" ht="24" customHeight="1" x14ac:dyDescent="0.25">
      <c r="A16" s="469">
        <f>A15+1</f>
        <v>13</v>
      </c>
      <c r="B16" s="470" t="s">
        <v>1482</v>
      </c>
      <c r="C16" s="473" t="s">
        <v>1483</v>
      </c>
      <c r="D16" s="474">
        <v>2</v>
      </c>
      <c r="E16" s="1992"/>
    </row>
    <row r="17" spans="1:5" ht="24" customHeight="1" x14ac:dyDescent="0.25">
      <c r="A17" s="498">
        <f>A16+1</f>
        <v>14</v>
      </c>
      <c r="B17" s="1560" t="s">
        <v>164</v>
      </c>
      <c r="C17" s="1561" t="s">
        <v>17</v>
      </c>
      <c r="D17" s="1562">
        <v>5</v>
      </c>
      <c r="E17" s="1993"/>
    </row>
    <row r="21" spans="1:5" x14ac:dyDescent="0.25">
      <c r="C21" s="1132" t="s">
        <v>327</v>
      </c>
      <c r="D21" s="1985" t="s">
        <v>326</v>
      </c>
      <c r="E21" s="1985"/>
    </row>
    <row r="22" spans="1:5" x14ac:dyDescent="0.25">
      <c r="D22" s="1985" t="s">
        <v>1533</v>
      </c>
      <c r="E22" s="1985"/>
    </row>
    <row r="23" spans="1:5" ht="47.25" customHeight="1" x14ac:dyDescent="0.25">
      <c r="D23" s="1987" t="s">
        <v>1534</v>
      </c>
      <c r="E23" s="1986"/>
    </row>
    <row r="24" spans="1:5" x14ac:dyDescent="0.25">
      <c r="D24" s="1986">
        <f ca="1">TODAY()</f>
        <v>44607</v>
      </c>
      <c r="E24" s="1986"/>
    </row>
  </sheetData>
  <sortState ref="A3:D17">
    <sortCondition ref="B3:B17"/>
  </sortState>
  <mergeCells count="7">
    <mergeCell ref="A1:E1"/>
    <mergeCell ref="D21:E21"/>
    <mergeCell ref="D24:E24"/>
    <mergeCell ref="D22:E22"/>
    <mergeCell ref="D23:E23"/>
    <mergeCell ref="A11:C11"/>
    <mergeCell ref="E3:E17"/>
  </mergeCell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>
    <tabColor rgb="FF92D050"/>
  </sheetPr>
  <dimension ref="A1:AM121"/>
  <sheetViews>
    <sheetView workbookViewId="0">
      <pane xSplit="1" ySplit="8" topLeftCell="N63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23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38</v>
      </c>
      <c r="B1" s="1569" t="s">
        <v>714</v>
      </c>
      <c r="C1" s="1569"/>
      <c r="D1" s="1569"/>
      <c r="E1" s="1569"/>
      <c r="F1" s="1569"/>
      <c r="G1" s="1569"/>
      <c r="H1" s="2243" t="s">
        <v>1163</v>
      </c>
      <c r="I1" s="2244"/>
      <c r="J1" s="1572">
        <v>182389</v>
      </c>
      <c r="K1" s="1573">
        <f>J1-B4</f>
        <v>157298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42366</v>
      </c>
      <c r="C2" s="1251">
        <v>42366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30000</v>
      </c>
      <c r="C3" s="2264"/>
      <c r="D3" s="1390" t="s">
        <v>874</v>
      </c>
      <c r="E3" s="1169"/>
      <c r="F3" s="1175">
        <f ca="1">B3/G2/12</f>
        <v>180.60225474683546</v>
      </c>
      <c r="G3" s="2267" t="s">
        <v>875</v>
      </c>
      <c r="H3" s="2267"/>
      <c r="I3" s="1391">
        <f ca="1">F3/(F4/((TODAY()-C2)/365.25*12))</f>
        <v>6.9717465630689396E-2</v>
      </c>
      <c r="J3" s="1171">
        <f ca="1">I3/$F$5</f>
        <v>0.36745817892815286</v>
      </c>
      <c r="K3" s="1375">
        <f ca="1">(B3/G2/365.25)/(F4/(TODAY()-C2))</f>
        <v>6.9717465630689382E-2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1.5096747707335921E-2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25091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190728</v>
      </c>
      <c r="G4" s="1172" t="s">
        <v>876</v>
      </c>
      <c r="H4" s="1173"/>
      <c r="I4" s="1224">
        <f>F4-B4</f>
        <v>165637</v>
      </c>
      <c r="J4" s="1227">
        <f ca="1">I3/F99</f>
        <v>0.30571223470095488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7.9570067128680408E-2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0.18972898040819192</v>
      </c>
      <c r="G5" s="1211">
        <f ca="1">J3+C7+F7+I7+K7+M7+O7+Q7+S7+V7+Y7+AB7+AE7</f>
        <v>1</v>
      </c>
      <c r="H5" s="1380">
        <f>B3+C8+F8+I8+K8+M8+O8+Q8+S8+AE5</f>
        <v>49217.15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2500.58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7.9289755750232033E-2</v>
      </c>
      <c r="D6" s="2252" t="s">
        <v>879</v>
      </c>
      <c r="E6" s="2246"/>
      <c r="F6" s="1180">
        <f>F8/$I$4</f>
        <v>1.8932122653754897E-2</v>
      </c>
      <c r="G6" s="2252" t="s">
        <v>881</v>
      </c>
      <c r="H6" s="2246"/>
      <c r="I6" s="1180">
        <f>I8/$I$4</f>
        <v>1.5151807869014772E-3</v>
      </c>
      <c r="J6" s="1181" t="s">
        <v>898</v>
      </c>
      <c r="K6" s="1180">
        <f>K8/$I$4</f>
        <v>3.9242439793041409E-5</v>
      </c>
      <c r="L6" s="1181" t="s">
        <v>883</v>
      </c>
      <c r="M6" s="1180">
        <f>M8/$I$4</f>
        <v>3.9310057535453984E-3</v>
      </c>
      <c r="N6" s="1181" t="s">
        <v>908</v>
      </c>
      <c r="O6" s="1180">
        <f>O8/$I$4</f>
        <v>1.2074596859397357E-3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2.1875547130170182E-3</v>
      </c>
      <c r="W6" s="2252" t="s">
        <v>912</v>
      </c>
      <c r="X6" s="2246"/>
      <c r="Y6" s="1180">
        <f>Y8/$I$4</f>
        <v>9.6596774875178852E-4</v>
      </c>
      <c r="Z6" s="2255" t="s">
        <v>1152</v>
      </c>
      <c r="AA6" s="2256"/>
      <c r="AB6" s="1180">
        <f>AB8/$I$4</f>
        <v>1.1943225245567115E-2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6.4512454068074572</v>
      </c>
      <c r="C7" s="1183">
        <f ca="1">C6/$F$5</f>
        <v>0.41791061955661329</v>
      </c>
      <c r="D7" s="1184"/>
      <c r="E7" s="1185"/>
      <c r="F7" s="1183">
        <f ca="1">F6/$F$5</f>
        <v>9.9785086142472446E-2</v>
      </c>
      <c r="G7" s="1184"/>
      <c r="H7" s="1185"/>
      <c r="I7" s="1183">
        <f ca="1">I6/$F$5</f>
        <v>7.9860271406173456E-3</v>
      </c>
      <c r="J7" s="1243">
        <f>COUNT(J9:J97)</f>
        <v>1</v>
      </c>
      <c r="K7" s="1183">
        <f ca="1">K6/$F$5</f>
        <v>2.0683418900272044E-4</v>
      </c>
      <c r="L7" s="1184"/>
      <c r="M7" s="1183">
        <f ca="1">M6/$F$5</f>
        <v>2.0719058022069407E-2</v>
      </c>
      <c r="N7" s="1184"/>
      <c r="O7" s="1183">
        <f ca="1">O6/$F$5</f>
        <v>6.3641288923913979E-3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1.1529892314345491E-2</v>
      </c>
      <c r="W7" s="1184"/>
      <c r="X7" s="1185"/>
      <c r="Y7" s="1183">
        <f ca="1">Y6/$F$5</f>
        <v>5.0913031139131187E-3</v>
      </c>
      <c r="Z7" s="1184"/>
      <c r="AA7" s="1185"/>
      <c r="AB7" s="1183">
        <f ca="1">AB6/$F$5</f>
        <v>6.2948871700421807E-2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10147.679999999995</v>
      </c>
      <c r="C8" s="1156">
        <f>SUM(C9:C97)</f>
        <v>12472.119999999999</v>
      </c>
      <c r="D8" s="2251" t="s">
        <v>880</v>
      </c>
      <c r="E8" s="2250"/>
      <c r="F8" s="1158">
        <f>SUM(F9:F97)</f>
        <v>3135.8599999999997</v>
      </c>
      <c r="G8" s="2251" t="s">
        <v>882</v>
      </c>
      <c r="H8" s="2250"/>
      <c r="I8" s="1158">
        <f>SUM(I9:I97)</f>
        <v>250.97</v>
      </c>
      <c r="J8" s="1157" t="s">
        <v>899</v>
      </c>
      <c r="K8" s="1158">
        <f>SUM(K9:K97)</f>
        <v>6.5</v>
      </c>
      <c r="L8" s="1157" t="s">
        <v>884</v>
      </c>
      <c r="M8" s="1158">
        <f>SUM(M9:M97)</f>
        <v>651.11999999999921</v>
      </c>
      <c r="N8" s="1157" t="s">
        <v>909</v>
      </c>
      <c r="O8" s="1158">
        <f>SUM(O9:O97)</f>
        <v>200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362.33999999999986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1978.2400000000002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108.78</v>
      </c>
      <c r="AK8" s="833">
        <f>SUM(AK9:AK97)</f>
        <v>0</v>
      </c>
      <c r="AL8" s="54">
        <f>SUM(C9:C97)/SUM(B9:B97)</f>
        <v>1.2290612238462393</v>
      </c>
    </row>
    <row r="9" spans="1:39" x14ac:dyDescent="0.25">
      <c r="A9" s="64">
        <v>42643</v>
      </c>
      <c r="B9" s="65">
        <v>170.91</v>
      </c>
      <c r="C9" s="66">
        <v>180.24</v>
      </c>
      <c r="D9" s="67">
        <v>42667</v>
      </c>
      <c r="E9" s="68" t="s">
        <v>75</v>
      </c>
      <c r="F9" s="66">
        <v>24.56</v>
      </c>
      <c r="G9" s="67">
        <v>42716</v>
      </c>
      <c r="H9" s="68" t="s">
        <v>99</v>
      </c>
      <c r="I9" s="66">
        <v>21.82</v>
      </c>
      <c r="J9" s="69">
        <v>43465</v>
      </c>
      <c r="K9" s="66">
        <v>6.5</v>
      </c>
      <c r="L9" s="1643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20.2</v>
      </c>
      <c r="W9" s="1152"/>
      <c r="X9" s="1198"/>
      <c r="Y9" s="66"/>
      <c r="Z9" s="1152">
        <v>42684</v>
      </c>
      <c r="AA9" s="1198" t="s">
        <v>95</v>
      </c>
      <c r="AB9" s="66">
        <v>94.13</v>
      </c>
      <c r="AC9" s="1152"/>
      <c r="AD9" s="1198"/>
      <c r="AE9" s="66"/>
      <c r="AF9" s="1118">
        <v>0.09</v>
      </c>
      <c r="AG9" s="1119">
        <v>7.2</v>
      </c>
      <c r="AH9" s="1117"/>
      <c r="AI9" s="237"/>
      <c r="AJ9" s="838"/>
      <c r="AK9" s="839"/>
      <c r="AL9" s="51">
        <f t="shared" ref="AL9:AL72" si="0">C9/B9</f>
        <v>1.0545901351588556</v>
      </c>
      <c r="AM9" s="51">
        <f t="shared" ref="AM9:AM72" si="1">AL9-$AL$8</f>
        <v>-0.1744710886873837</v>
      </c>
    </row>
    <row r="10" spans="1:39" x14ac:dyDescent="0.25">
      <c r="A10" s="71">
        <v>42674</v>
      </c>
      <c r="B10" s="72">
        <v>244.19</v>
      </c>
      <c r="C10" s="73">
        <v>265.57000000000005</v>
      </c>
      <c r="D10" s="345"/>
      <c r="E10" s="346"/>
      <c r="F10" s="347"/>
      <c r="G10" s="147"/>
      <c r="H10" s="75"/>
      <c r="I10" s="73"/>
      <c r="J10" s="234"/>
      <c r="K10" s="73"/>
      <c r="L10" s="1609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0.08</v>
      </c>
      <c r="AG10" s="1113">
        <v>6.4</v>
      </c>
      <c r="AH10" s="1110">
        <v>4844</v>
      </c>
      <c r="AI10" s="238">
        <v>1</v>
      </c>
      <c r="AJ10" s="838">
        <v>66.52</v>
      </c>
      <c r="AK10" s="839"/>
      <c r="AL10" s="51">
        <f t="shared" si="0"/>
        <v>1.0875547729227244</v>
      </c>
      <c r="AM10" s="51">
        <f t="shared" si="1"/>
        <v>-0.14150645092351488</v>
      </c>
    </row>
    <row r="11" spans="1:39" x14ac:dyDescent="0.25">
      <c r="A11" s="71">
        <v>42704</v>
      </c>
      <c r="B11" s="72">
        <v>367.69</v>
      </c>
      <c r="C11" s="73">
        <v>402.59</v>
      </c>
      <c r="D11" s="345"/>
      <c r="E11" s="346"/>
      <c r="F11" s="347"/>
      <c r="G11" s="345"/>
      <c r="H11" s="346"/>
      <c r="I11" s="347"/>
      <c r="J11" s="234"/>
      <c r="K11" s="73"/>
      <c r="L11" s="1609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0.08</v>
      </c>
      <c r="AG11" s="1113">
        <v>6.41</v>
      </c>
      <c r="AH11" s="1110">
        <v>5725</v>
      </c>
      <c r="AI11" s="238">
        <v>62.44</v>
      </c>
      <c r="AJ11" s="838"/>
      <c r="AK11" s="839"/>
      <c r="AL11" s="51">
        <f t="shared" si="0"/>
        <v>1.0949169137044792</v>
      </c>
      <c r="AM11" s="51">
        <f t="shared" si="1"/>
        <v>-0.13414431014176009</v>
      </c>
    </row>
    <row r="12" spans="1:39" x14ac:dyDescent="0.25">
      <c r="A12" s="71">
        <v>42735</v>
      </c>
      <c r="B12" s="72">
        <v>175.98</v>
      </c>
      <c r="C12" s="73">
        <v>198.95</v>
      </c>
      <c r="D12" s="147"/>
      <c r="E12" s="75"/>
      <c r="F12" s="73"/>
      <c r="G12" s="147"/>
      <c r="H12" s="75"/>
      <c r="I12" s="73"/>
      <c r="J12" s="234"/>
      <c r="K12" s="73"/>
      <c r="L12" s="1609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0.08</v>
      </c>
      <c r="AG12" s="1113">
        <v>6.42</v>
      </c>
      <c r="AH12" s="1110">
        <v>2718</v>
      </c>
      <c r="AI12" s="238">
        <v>54.29</v>
      </c>
      <c r="AJ12" s="838"/>
      <c r="AK12" s="839"/>
      <c r="AL12" s="51">
        <f t="shared" si="0"/>
        <v>1.1305261961586544</v>
      </c>
      <c r="AM12" s="51">
        <f t="shared" si="1"/>
        <v>-9.8535027687584931E-2</v>
      </c>
    </row>
    <row r="13" spans="1:39" x14ac:dyDescent="0.25">
      <c r="A13" s="71">
        <v>42766</v>
      </c>
      <c r="B13" s="72">
        <v>318.81</v>
      </c>
      <c r="C13" s="73">
        <v>371.24</v>
      </c>
      <c r="D13" s="147"/>
      <c r="E13" s="75"/>
      <c r="F13" s="73"/>
      <c r="G13" s="147">
        <v>42809</v>
      </c>
      <c r="H13" s="75" t="s">
        <v>130</v>
      </c>
      <c r="I13" s="73">
        <v>94.13</v>
      </c>
      <c r="J13" s="234"/>
      <c r="K13" s="73"/>
      <c r="L13" s="1609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20.2</v>
      </c>
      <c r="W13" s="894"/>
      <c r="X13" s="1199"/>
      <c r="Y13" s="73"/>
      <c r="Z13" s="147">
        <v>42736</v>
      </c>
      <c r="AA13" s="75"/>
      <c r="AB13" s="73">
        <v>94.13</v>
      </c>
      <c r="AC13" s="894"/>
      <c r="AD13" s="1199"/>
      <c r="AE13" s="73"/>
      <c r="AF13" s="1112">
        <v>0.08</v>
      </c>
      <c r="AG13" s="1113">
        <v>6.43</v>
      </c>
      <c r="AH13" s="1110">
        <v>4955</v>
      </c>
      <c r="AI13" s="238">
        <v>42.42</v>
      </c>
      <c r="AJ13" s="838"/>
      <c r="AK13" s="839"/>
      <c r="AL13" s="51">
        <f t="shared" si="0"/>
        <v>1.1644553182146107</v>
      </c>
      <c r="AM13" s="51">
        <f t="shared" si="1"/>
        <v>-6.4605905631628602E-2</v>
      </c>
    </row>
    <row r="14" spans="1:39" x14ac:dyDescent="0.25">
      <c r="A14" s="71">
        <v>42794</v>
      </c>
      <c r="B14" s="72">
        <v>205.91</v>
      </c>
      <c r="C14" s="73">
        <v>247.5</v>
      </c>
      <c r="D14" s="147"/>
      <c r="E14" s="75"/>
      <c r="F14" s="73"/>
      <c r="G14" s="1162">
        <v>42815</v>
      </c>
      <c r="H14" s="75" t="s">
        <v>132</v>
      </c>
      <c r="I14" s="73">
        <v>16.62</v>
      </c>
      <c r="J14" s="234"/>
      <c r="K14" s="73"/>
      <c r="L14" s="1609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20.2</v>
      </c>
      <c r="W14" s="894"/>
      <c r="X14" s="1199"/>
      <c r="Y14" s="73"/>
      <c r="Z14" s="894">
        <v>42809</v>
      </c>
      <c r="AA14" s="1199"/>
      <c r="AB14" s="73">
        <v>94.13</v>
      </c>
      <c r="AC14" s="894"/>
      <c r="AD14" s="1199"/>
      <c r="AE14" s="73"/>
      <c r="AF14" s="1112">
        <v>0.08</v>
      </c>
      <c r="AG14" s="1113">
        <v>6.15</v>
      </c>
      <c r="AH14" s="1110">
        <v>3194</v>
      </c>
      <c r="AI14" s="238">
        <v>20.12</v>
      </c>
      <c r="AJ14" s="838"/>
      <c r="AK14" s="839"/>
      <c r="AL14" s="51">
        <f t="shared" si="0"/>
        <v>1.2019814482055267</v>
      </c>
      <c r="AM14" s="51">
        <f t="shared" si="1"/>
        <v>-2.7079775640712622E-2</v>
      </c>
    </row>
    <row r="15" spans="1:39" x14ac:dyDescent="0.25">
      <c r="A15" s="71">
        <v>42825</v>
      </c>
      <c r="B15" s="72">
        <v>277.16000000000003</v>
      </c>
      <c r="C15" s="73">
        <v>320.86</v>
      </c>
      <c r="D15" s="147"/>
      <c r="E15" s="75"/>
      <c r="F15" s="73"/>
      <c r="G15" s="147"/>
      <c r="H15" s="75"/>
      <c r="I15" s="73"/>
      <c r="J15" s="234"/>
      <c r="K15" s="73"/>
      <c r="L15" s="1609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20.2</v>
      </c>
      <c r="W15" s="894"/>
      <c r="X15" s="1199"/>
      <c r="Y15" s="73"/>
      <c r="Z15" s="147">
        <v>42901</v>
      </c>
      <c r="AA15" s="75"/>
      <c r="AB15" s="73">
        <v>94.13</v>
      </c>
      <c r="AC15" s="894"/>
      <c r="AD15" s="1199"/>
      <c r="AE15" s="73"/>
      <c r="AF15" s="1112">
        <v>0.08</v>
      </c>
      <c r="AG15" s="1113">
        <v>6.2</v>
      </c>
      <c r="AH15" s="1110">
        <v>4302</v>
      </c>
      <c r="AI15" s="238">
        <v>38.159999999999997</v>
      </c>
      <c r="AJ15" s="838"/>
      <c r="AK15" s="839"/>
      <c r="AL15" s="51">
        <f t="shared" si="0"/>
        <v>1.157670659546832</v>
      </c>
      <c r="AM15" s="51">
        <f t="shared" si="1"/>
        <v>-7.1390564299407266E-2</v>
      </c>
    </row>
    <row r="16" spans="1:39" x14ac:dyDescent="0.25">
      <c r="A16" s="71">
        <v>42855</v>
      </c>
      <c r="B16" s="72">
        <v>245.54</v>
      </c>
      <c r="C16" s="73">
        <v>285.83999999999997</v>
      </c>
      <c r="D16" s="147"/>
      <c r="E16" s="75"/>
      <c r="F16" s="73"/>
      <c r="G16" s="147"/>
      <c r="H16" s="75"/>
      <c r="I16" s="73"/>
      <c r="J16" s="836"/>
      <c r="K16" s="835"/>
      <c r="L16" s="164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20.2</v>
      </c>
      <c r="W16" s="1153"/>
      <c r="X16" s="1200"/>
      <c r="Y16" s="835"/>
      <c r="Z16" s="894">
        <v>43008</v>
      </c>
      <c r="AA16" s="1199"/>
      <c r="AB16" s="73">
        <v>94.13</v>
      </c>
      <c r="AC16" s="1153"/>
      <c r="AD16" s="1200"/>
      <c r="AE16" s="835"/>
      <c r="AF16" s="1112">
        <v>0.08</v>
      </c>
      <c r="AG16" s="1113">
        <v>6.22</v>
      </c>
      <c r="AH16" s="1110">
        <v>3829</v>
      </c>
      <c r="AI16" s="238">
        <v>32.21</v>
      </c>
      <c r="AJ16" s="838"/>
      <c r="AK16" s="839"/>
      <c r="AL16" s="51">
        <f t="shared" si="0"/>
        <v>1.1641280443104993</v>
      </c>
      <c r="AM16" s="51">
        <f t="shared" si="1"/>
        <v>-6.493317953573996E-2</v>
      </c>
    </row>
    <row r="17" spans="1:39" x14ac:dyDescent="0.25">
      <c r="A17" s="71">
        <v>42886</v>
      </c>
      <c r="B17" s="72">
        <v>262.81</v>
      </c>
      <c r="C17" s="73">
        <v>296.69</v>
      </c>
      <c r="D17" s="147"/>
      <c r="E17" s="75"/>
      <c r="F17" s="73"/>
      <c r="G17" s="147"/>
      <c r="H17" s="75"/>
      <c r="I17" s="73"/>
      <c r="J17" s="234"/>
      <c r="K17" s="73"/>
      <c r="L17" s="1609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0.08</v>
      </c>
      <c r="AG17" s="1113">
        <v>6.25</v>
      </c>
      <c r="AH17" s="1110">
        <v>4097</v>
      </c>
      <c r="AI17" s="238">
        <v>21.6</v>
      </c>
      <c r="AJ17" s="838"/>
      <c r="AK17" s="839"/>
      <c r="AL17" s="51">
        <f t="shared" si="0"/>
        <v>1.1289144248696776</v>
      </c>
      <c r="AM17" s="51">
        <f t="shared" si="1"/>
        <v>-0.10014679897656165</v>
      </c>
    </row>
    <row r="18" spans="1:39" x14ac:dyDescent="0.25">
      <c r="A18" s="71">
        <v>42916</v>
      </c>
      <c r="B18" s="72">
        <v>262.92</v>
      </c>
      <c r="C18" s="73">
        <v>293.5</v>
      </c>
      <c r="D18" s="147"/>
      <c r="E18" s="75"/>
      <c r="F18" s="73"/>
      <c r="G18" s="147"/>
      <c r="H18" s="75"/>
      <c r="I18" s="73"/>
      <c r="J18" s="431"/>
      <c r="K18" s="347"/>
      <c r="L18" s="1642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0.08</v>
      </c>
      <c r="AG18" s="1113">
        <v>6.26</v>
      </c>
      <c r="AH18" s="1110">
        <v>4128</v>
      </c>
      <c r="AI18" s="238">
        <v>24</v>
      </c>
      <c r="AJ18" s="838"/>
      <c r="AK18" s="839"/>
      <c r="AL18" s="51">
        <f t="shared" si="0"/>
        <v>1.1163091434656929</v>
      </c>
      <c r="AM18" s="51">
        <f t="shared" si="1"/>
        <v>-0.1127520803805464</v>
      </c>
    </row>
    <row r="19" spans="1:39" x14ac:dyDescent="0.25">
      <c r="A19" s="71">
        <v>42947</v>
      </c>
      <c r="B19" s="72">
        <v>112.24</v>
      </c>
      <c r="C19" s="73">
        <v>122.24</v>
      </c>
      <c r="D19" s="147"/>
      <c r="E19" s="75"/>
      <c r="F19" s="73"/>
      <c r="G19" s="147"/>
      <c r="H19" s="75"/>
      <c r="I19" s="73"/>
      <c r="J19" s="234"/>
      <c r="K19" s="73"/>
      <c r="L19" s="1609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0.08</v>
      </c>
      <c r="AG19" s="1113">
        <v>6.26</v>
      </c>
      <c r="AH19" s="1110">
        <v>1759</v>
      </c>
      <c r="AI19" s="238">
        <v>20.95</v>
      </c>
      <c r="AJ19" s="838"/>
      <c r="AK19" s="839"/>
      <c r="AL19" s="51">
        <f t="shared" si="0"/>
        <v>1.0890947968638631</v>
      </c>
      <c r="AM19" s="51">
        <f t="shared" si="1"/>
        <v>-0.13996642698237616</v>
      </c>
    </row>
    <row r="20" spans="1:39" x14ac:dyDescent="0.25">
      <c r="A20" s="71">
        <v>42978</v>
      </c>
      <c r="B20" s="72">
        <v>113.14</v>
      </c>
      <c r="C20" s="73">
        <v>122.64</v>
      </c>
      <c r="D20" s="147"/>
      <c r="E20" s="75"/>
      <c r="F20" s="73"/>
      <c r="G20" s="147"/>
      <c r="H20" s="75"/>
      <c r="I20" s="73"/>
      <c r="J20" s="234"/>
      <c r="K20" s="73"/>
      <c r="L20" s="1609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0.08</v>
      </c>
      <c r="AG20" s="1113">
        <v>6.27</v>
      </c>
      <c r="AH20" s="1110">
        <v>1770</v>
      </c>
      <c r="AI20" s="238">
        <v>22.41</v>
      </c>
      <c r="AJ20" s="838"/>
      <c r="AK20" s="839"/>
      <c r="AL20" s="51">
        <f t="shared" si="0"/>
        <v>1.0839667668375463</v>
      </c>
      <c r="AM20" s="51">
        <f t="shared" si="1"/>
        <v>-0.14509445700869295</v>
      </c>
    </row>
    <row r="21" spans="1:39" x14ac:dyDescent="0.25">
      <c r="A21" s="71">
        <v>43008</v>
      </c>
      <c r="B21" s="72">
        <v>207.51000000000002</v>
      </c>
      <c r="C21" s="73">
        <v>249.97</v>
      </c>
      <c r="D21" s="147"/>
      <c r="E21" s="75"/>
      <c r="F21" s="73"/>
      <c r="G21" s="147"/>
      <c r="H21" s="75"/>
      <c r="I21" s="73"/>
      <c r="J21" s="234"/>
      <c r="K21" s="73"/>
      <c r="L21" s="1609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0.08</v>
      </c>
      <c r="AG21" s="1113">
        <v>6.25</v>
      </c>
      <c r="AH21" s="1110">
        <v>3445</v>
      </c>
      <c r="AI21" s="238">
        <v>1</v>
      </c>
      <c r="AJ21" s="838">
        <v>9.98</v>
      </c>
      <c r="AK21" s="839"/>
      <c r="AL21" s="51">
        <f t="shared" si="0"/>
        <v>1.2046166449809645</v>
      </c>
      <c r="AM21" s="51">
        <f t="shared" si="1"/>
        <v>-2.4444578865274735E-2</v>
      </c>
    </row>
    <row r="22" spans="1:39" x14ac:dyDescent="0.25">
      <c r="A22" s="71">
        <v>43039</v>
      </c>
      <c r="B22" s="72">
        <v>251.32000000000002</v>
      </c>
      <c r="C22" s="73">
        <v>298.69</v>
      </c>
      <c r="D22" s="147"/>
      <c r="E22" s="75"/>
      <c r="F22" s="73"/>
      <c r="G22" s="147"/>
      <c r="H22" s="75"/>
      <c r="I22" s="73"/>
      <c r="J22" s="234"/>
      <c r="K22" s="73"/>
      <c r="L22" s="1609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0.08</v>
      </c>
      <c r="AG22" s="1113">
        <v>6.26</v>
      </c>
      <c r="AH22" s="1110">
        <v>4422</v>
      </c>
      <c r="AI22" s="238">
        <v>1</v>
      </c>
      <c r="AJ22" s="838">
        <v>32.28</v>
      </c>
      <c r="AK22" s="839"/>
      <c r="AL22" s="51">
        <f t="shared" si="0"/>
        <v>1.1884848002546553</v>
      </c>
      <c r="AM22" s="51">
        <f t="shared" si="1"/>
        <v>-4.0576423591583977E-2</v>
      </c>
    </row>
    <row r="23" spans="1:39" x14ac:dyDescent="0.25">
      <c r="A23" s="71">
        <v>43069</v>
      </c>
      <c r="B23" s="72">
        <v>246.52</v>
      </c>
      <c r="C23" s="73">
        <v>306.20999999999998</v>
      </c>
      <c r="D23" s="147"/>
      <c r="E23" s="75"/>
      <c r="F23" s="73"/>
      <c r="G23" s="147"/>
      <c r="H23" s="75"/>
      <c r="I23" s="73"/>
      <c r="J23" s="431"/>
      <c r="K23" s="347"/>
      <c r="L23" s="1642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0.26</v>
      </c>
      <c r="AG23" s="1113">
        <v>6.27</v>
      </c>
      <c r="AH23" s="1110">
        <v>3829</v>
      </c>
      <c r="AI23" s="238">
        <v>55.61</v>
      </c>
      <c r="AJ23" s="838"/>
      <c r="AK23" s="839"/>
      <c r="AL23" s="51">
        <f t="shared" si="0"/>
        <v>1.242130455946779</v>
      </c>
      <c r="AM23" s="51">
        <f t="shared" si="1"/>
        <v>1.3069232100539674E-2</v>
      </c>
    </row>
    <row r="24" spans="1:39" x14ac:dyDescent="0.25">
      <c r="A24" s="71">
        <v>43100</v>
      </c>
      <c r="B24" s="72">
        <v>118.63</v>
      </c>
      <c r="C24" s="73">
        <v>147.06</v>
      </c>
      <c r="D24" s="147"/>
      <c r="E24" s="75"/>
      <c r="F24" s="73"/>
      <c r="G24" s="147"/>
      <c r="H24" s="75"/>
      <c r="I24" s="73"/>
      <c r="J24" s="234"/>
      <c r="K24" s="73"/>
      <c r="L24" s="1609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0.27</v>
      </c>
      <c r="AG24" s="1113">
        <v>6.22</v>
      </c>
      <c r="AH24" s="1110">
        <v>1851</v>
      </c>
      <c r="AI24" s="238">
        <v>63.33</v>
      </c>
      <c r="AJ24" s="838"/>
      <c r="AK24" s="839"/>
      <c r="AL24" s="51">
        <f t="shared" si="0"/>
        <v>1.2396527016774848</v>
      </c>
      <c r="AM24" s="51">
        <f t="shared" si="1"/>
        <v>1.0591477831245477E-2</v>
      </c>
    </row>
    <row r="25" spans="1:39" x14ac:dyDescent="0.25">
      <c r="A25" s="71">
        <v>43131</v>
      </c>
      <c r="B25" s="72">
        <v>175.85</v>
      </c>
      <c r="C25" s="73">
        <v>218.83</v>
      </c>
      <c r="D25" s="528">
        <v>43217</v>
      </c>
      <c r="E25" s="516" t="s">
        <v>333</v>
      </c>
      <c r="F25" s="380">
        <v>39.119999999999997</v>
      </c>
      <c r="G25" s="147"/>
      <c r="H25" s="75"/>
      <c r="I25" s="73"/>
      <c r="J25" s="234"/>
      <c r="K25" s="73"/>
      <c r="L25" s="1609"/>
      <c r="M25" s="73"/>
      <c r="N25" s="1153">
        <v>43125</v>
      </c>
      <c r="O25" s="835">
        <v>50</v>
      </c>
      <c r="P25" s="71"/>
      <c r="Q25" s="73"/>
      <c r="R25" s="71"/>
      <c r="S25" s="73"/>
      <c r="T25" s="894">
        <v>43101</v>
      </c>
      <c r="U25" s="1199" t="s">
        <v>953</v>
      </c>
      <c r="V25" s="73">
        <v>20.2</v>
      </c>
      <c r="W25" s="894">
        <v>43251</v>
      </c>
      <c r="X25" s="1199" t="s">
        <v>945</v>
      </c>
      <c r="Y25" s="73">
        <v>40</v>
      </c>
      <c r="Z25" s="894">
        <v>43101</v>
      </c>
      <c r="AA25" s="1199" t="s">
        <v>953</v>
      </c>
      <c r="AB25" s="73">
        <v>94.13</v>
      </c>
      <c r="AC25" s="894"/>
      <c r="AD25" s="1199"/>
      <c r="AE25" s="73"/>
      <c r="AF25" s="1112">
        <v>0.27</v>
      </c>
      <c r="AG25" s="1113">
        <v>6.23</v>
      </c>
      <c r="AH25" s="1110">
        <v>2747</v>
      </c>
      <c r="AI25" s="238">
        <v>66.790000000000006</v>
      </c>
      <c r="AJ25" s="838"/>
      <c r="AK25" s="839"/>
      <c r="AL25" s="51">
        <f t="shared" si="0"/>
        <v>1.2444128518623829</v>
      </c>
      <c r="AM25" s="51">
        <f t="shared" si="1"/>
        <v>1.5351628016143648E-2</v>
      </c>
    </row>
    <row r="26" spans="1:39" x14ac:dyDescent="0.25">
      <c r="A26" s="71">
        <v>43159</v>
      </c>
      <c r="B26" s="72">
        <v>207.25</v>
      </c>
      <c r="C26" s="73">
        <v>254.4</v>
      </c>
      <c r="D26" s="147">
        <v>43382</v>
      </c>
      <c r="E26" s="75" t="s">
        <v>429</v>
      </c>
      <c r="F26" s="73">
        <v>95.39</v>
      </c>
      <c r="G26" s="147"/>
      <c r="H26" s="75"/>
      <c r="I26" s="73"/>
      <c r="J26" s="234"/>
      <c r="K26" s="73"/>
      <c r="L26" s="1609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20.2</v>
      </c>
      <c r="W26" s="894"/>
      <c r="X26" s="1199"/>
      <c r="Y26" s="73"/>
      <c r="Z26" s="894">
        <v>43191</v>
      </c>
      <c r="AA26" s="1199" t="s">
        <v>954</v>
      </c>
      <c r="AB26" s="73">
        <v>94.13</v>
      </c>
      <c r="AC26" s="894"/>
      <c r="AD26" s="1199"/>
      <c r="AE26" s="73"/>
      <c r="AF26" s="1112">
        <v>0.27</v>
      </c>
      <c r="AG26" s="1113">
        <v>6.24</v>
      </c>
      <c r="AH26" s="1110">
        <v>3207</v>
      </c>
      <c r="AI26" s="238">
        <v>61.25</v>
      </c>
      <c r="AJ26" s="838"/>
      <c r="AK26" s="839"/>
      <c r="AL26" s="51">
        <f t="shared" si="0"/>
        <v>1.2275030156815441</v>
      </c>
      <c r="AM26" s="51">
        <f t="shared" si="1"/>
        <v>-1.5582081646952073E-3</v>
      </c>
    </row>
    <row r="27" spans="1:39" x14ac:dyDescent="0.25">
      <c r="A27" s="71">
        <v>43190</v>
      </c>
      <c r="B27" s="72">
        <v>238.07</v>
      </c>
      <c r="C27" s="73">
        <v>283.04000000000002</v>
      </c>
      <c r="D27" s="147"/>
      <c r="E27" s="75"/>
      <c r="F27" s="73"/>
      <c r="G27" s="147"/>
      <c r="H27" s="75"/>
      <c r="I27" s="73"/>
      <c r="J27" s="234"/>
      <c r="K27" s="73"/>
      <c r="L27" s="1609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20.2</v>
      </c>
      <c r="W27" s="945"/>
      <c r="X27" s="1201"/>
      <c r="Y27" s="347"/>
      <c r="Z27" s="894">
        <v>43282</v>
      </c>
      <c r="AA27" s="1199" t="s">
        <v>955</v>
      </c>
      <c r="AB27" s="73">
        <v>94.13</v>
      </c>
      <c r="AC27" s="894"/>
      <c r="AD27" s="1199"/>
      <c r="AE27" s="73"/>
      <c r="AF27" s="1112">
        <v>0.14000000000000001</v>
      </c>
      <c r="AG27" s="1113">
        <v>6.25</v>
      </c>
      <c r="AH27" s="1110">
        <v>3738</v>
      </c>
      <c r="AI27" s="238">
        <v>10.14</v>
      </c>
      <c r="AJ27" s="838"/>
      <c r="AK27" s="839"/>
      <c r="AL27" s="51">
        <f t="shared" si="0"/>
        <v>1.1888940227664133</v>
      </c>
      <c r="AM27" s="51">
        <f t="shared" si="1"/>
        <v>-4.0167201079825965E-2</v>
      </c>
    </row>
    <row r="28" spans="1:39" x14ac:dyDescent="0.25">
      <c r="A28" s="71">
        <v>43220</v>
      </c>
      <c r="B28" s="72">
        <v>194.82</v>
      </c>
      <c r="C28" s="73">
        <v>244.74</v>
      </c>
      <c r="D28" s="147"/>
      <c r="E28" s="75"/>
      <c r="F28" s="73"/>
      <c r="G28" s="147"/>
      <c r="H28" s="75"/>
      <c r="I28" s="73"/>
      <c r="J28" s="234"/>
      <c r="K28" s="73"/>
      <c r="L28" s="1609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20.2</v>
      </c>
      <c r="W28" s="894"/>
      <c r="X28" s="1199"/>
      <c r="Y28" s="73"/>
      <c r="Z28" s="894">
        <v>43374</v>
      </c>
      <c r="AA28" s="1199" t="s">
        <v>956</v>
      </c>
      <c r="AB28" s="73">
        <v>94.13</v>
      </c>
      <c r="AC28" s="894"/>
      <c r="AD28" s="1199"/>
      <c r="AE28" s="73"/>
      <c r="AF28" s="1112">
        <v>0.14000000000000001</v>
      </c>
      <c r="AG28" s="1113">
        <v>6.26</v>
      </c>
      <c r="AH28" s="1110">
        <v>3007</v>
      </c>
      <c r="AI28" s="238">
        <v>55.06</v>
      </c>
      <c r="AJ28" s="838"/>
      <c r="AK28" s="839"/>
      <c r="AL28" s="51">
        <f t="shared" si="0"/>
        <v>1.2562365260240222</v>
      </c>
      <c r="AM28" s="51">
        <f t="shared" si="1"/>
        <v>2.7175302177782967E-2</v>
      </c>
    </row>
    <row r="29" spans="1:39" x14ac:dyDescent="0.25">
      <c r="A29" s="71">
        <v>43251</v>
      </c>
      <c r="B29" s="72">
        <v>242.73</v>
      </c>
      <c r="C29" s="73">
        <v>338.33</v>
      </c>
      <c r="D29" s="147"/>
      <c r="E29" s="75"/>
      <c r="F29" s="73"/>
      <c r="G29" s="147"/>
      <c r="H29" s="75"/>
      <c r="I29" s="73"/>
      <c r="J29" s="234"/>
      <c r="K29" s="73"/>
      <c r="L29" s="1609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0.14000000000000001</v>
      </c>
      <c r="AG29" s="1113">
        <v>6.27</v>
      </c>
      <c r="AH29" s="1110">
        <v>3762</v>
      </c>
      <c r="AI29" s="238">
        <v>2.41</v>
      </c>
      <c r="AJ29" s="838"/>
      <c r="AK29" s="839"/>
      <c r="AL29" s="51">
        <f t="shared" si="0"/>
        <v>1.393853252585177</v>
      </c>
      <c r="AM29" s="51">
        <f t="shared" si="1"/>
        <v>0.16479202873893772</v>
      </c>
    </row>
    <row r="30" spans="1:39" x14ac:dyDescent="0.25">
      <c r="A30" s="71">
        <v>43281</v>
      </c>
      <c r="B30" s="72">
        <v>281.7</v>
      </c>
      <c r="C30" s="73">
        <v>403.28</v>
      </c>
      <c r="D30" s="147"/>
      <c r="E30" s="75"/>
      <c r="F30" s="73"/>
      <c r="G30" s="147"/>
      <c r="H30" s="75"/>
      <c r="I30" s="73"/>
      <c r="J30" s="234"/>
      <c r="K30" s="73"/>
      <c r="L30" s="1609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0.14000000000000001</v>
      </c>
      <c r="AG30" s="1113">
        <v>6.28</v>
      </c>
      <c r="AH30" s="1110">
        <v>4436</v>
      </c>
      <c r="AI30" s="238">
        <v>19.41</v>
      </c>
      <c r="AJ30" s="838"/>
      <c r="AK30" s="839"/>
      <c r="AL30" s="51">
        <f t="shared" si="0"/>
        <v>1.4315938942137025</v>
      </c>
      <c r="AM30" s="51">
        <f t="shared" si="1"/>
        <v>0.20253267036746325</v>
      </c>
    </row>
    <row r="31" spans="1:39" x14ac:dyDescent="0.25">
      <c r="A31" s="71">
        <v>43312</v>
      </c>
      <c r="B31" s="72">
        <v>115.56</v>
      </c>
      <c r="C31" s="73">
        <v>153.72</v>
      </c>
      <c r="D31" s="147"/>
      <c r="E31" s="75"/>
      <c r="F31" s="73"/>
      <c r="G31" s="147"/>
      <c r="H31" s="75"/>
      <c r="I31" s="73"/>
      <c r="J31" s="234"/>
      <c r="K31" s="73"/>
      <c r="L31" s="1609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0.14000000000000001</v>
      </c>
      <c r="AG31" s="1113">
        <v>6.28</v>
      </c>
      <c r="AH31" s="1110">
        <v>1830</v>
      </c>
      <c r="AI31" s="238">
        <v>61.55</v>
      </c>
      <c r="AJ31" s="838"/>
      <c r="AK31" s="839"/>
      <c r="AL31" s="51">
        <f t="shared" si="0"/>
        <v>1.3302180685358256</v>
      </c>
      <c r="AM31" s="51">
        <f t="shared" si="1"/>
        <v>0.1011568446895863</v>
      </c>
    </row>
    <row r="32" spans="1:39" x14ac:dyDescent="0.25">
      <c r="A32" s="71">
        <v>43343</v>
      </c>
      <c r="B32" s="72">
        <v>179.5</v>
      </c>
      <c r="C32" s="73">
        <v>249.04</v>
      </c>
      <c r="D32" s="528"/>
      <c r="E32" s="516"/>
      <c r="F32" s="380"/>
      <c r="G32" s="147"/>
      <c r="H32" s="75"/>
      <c r="I32" s="73"/>
      <c r="J32" s="234"/>
      <c r="K32" s="73"/>
      <c r="L32" s="1609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0.14000000000000001</v>
      </c>
      <c r="AG32" s="1113">
        <v>6.28</v>
      </c>
      <c r="AH32" s="1110">
        <v>2792</v>
      </c>
      <c r="AI32" s="238">
        <v>7.23</v>
      </c>
      <c r="AJ32" s="838"/>
      <c r="AK32" s="839"/>
      <c r="AL32" s="51">
        <f t="shared" si="0"/>
        <v>1.3874094707520892</v>
      </c>
      <c r="AM32" s="51">
        <f t="shared" si="1"/>
        <v>0.15834824690584992</v>
      </c>
    </row>
    <row r="33" spans="1:39" x14ac:dyDescent="0.25">
      <c r="A33" s="71">
        <v>43373</v>
      </c>
      <c r="B33" s="72">
        <v>147.58000000000001</v>
      </c>
      <c r="C33" s="73">
        <v>211.79</v>
      </c>
      <c r="D33" s="147"/>
      <c r="E33" s="75"/>
      <c r="F33" s="73"/>
      <c r="G33" s="147"/>
      <c r="H33" s="75"/>
      <c r="I33" s="73"/>
      <c r="J33" s="234"/>
      <c r="K33" s="73"/>
      <c r="L33" s="1609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0.14000000000000001</v>
      </c>
      <c r="AG33" s="1113">
        <v>6.28</v>
      </c>
      <c r="AH33" s="1110">
        <v>2319</v>
      </c>
      <c r="AI33" s="238">
        <v>55.16</v>
      </c>
      <c r="AJ33" s="838"/>
      <c r="AK33" s="839"/>
      <c r="AL33" s="51">
        <f t="shared" si="0"/>
        <v>1.4350860550210054</v>
      </c>
      <c r="AM33" s="51">
        <f t="shared" si="1"/>
        <v>0.20602483117476611</v>
      </c>
    </row>
    <row r="34" spans="1:39" x14ac:dyDescent="0.25">
      <c r="A34" s="71">
        <v>43404</v>
      </c>
      <c r="B34" s="72">
        <v>204.48</v>
      </c>
      <c r="C34" s="73">
        <v>283.55</v>
      </c>
      <c r="D34" s="147"/>
      <c r="E34" s="75"/>
      <c r="F34" s="73"/>
      <c r="G34" s="147"/>
      <c r="H34" s="75"/>
      <c r="I34" s="73"/>
      <c r="J34" s="234"/>
      <c r="K34" s="73"/>
      <c r="L34" s="1609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0.14000000000000001</v>
      </c>
      <c r="AG34" s="1113">
        <v>6.29</v>
      </c>
      <c r="AH34" s="1110">
        <v>3182</v>
      </c>
      <c r="AI34" s="238">
        <v>36.340000000000003</v>
      </c>
      <c r="AJ34" s="838"/>
      <c r="AK34" s="839"/>
      <c r="AL34" s="51">
        <f t="shared" si="0"/>
        <v>1.3866881846635368</v>
      </c>
      <c r="AM34" s="51">
        <f t="shared" si="1"/>
        <v>0.15762696081729755</v>
      </c>
    </row>
    <row r="35" spans="1:39" x14ac:dyDescent="0.25">
      <c r="A35" s="71">
        <v>43434</v>
      </c>
      <c r="B35" s="72">
        <v>133.86000000000001</v>
      </c>
      <c r="C35" s="73">
        <v>176.4</v>
      </c>
      <c r="D35" s="147"/>
      <c r="E35" s="75"/>
      <c r="F35" s="73"/>
      <c r="G35" s="147"/>
      <c r="H35" s="75"/>
      <c r="I35" s="73"/>
      <c r="J35" s="234"/>
      <c r="K35" s="73"/>
      <c r="L35" s="1609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0.14000000000000001</v>
      </c>
      <c r="AG35" s="1113">
        <v>6.29</v>
      </c>
      <c r="AH35" s="1110">
        <v>2091</v>
      </c>
      <c r="AI35" s="238">
        <v>15.56</v>
      </c>
      <c r="AJ35" s="838"/>
      <c r="AK35" s="839"/>
      <c r="AL35" s="51">
        <f t="shared" si="0"/>
        <v>1.3177947108919765</v>
      </c>
      <c r="AM35" s="51">
        <f t="shared" si="1"/>
        <v>8.8733487045737247E-2</v>
      </c>
    </row>
    <row r="36" spans="1:39" x14ac:dyDescent="0.25">
      <c r="A36" s="71">
        <v>43465</v>
      </c>
      <c r="B36" s="72">
        <v>176.42</v>
      </c>
      <c r="C36" s="73">
        <v>221.12</v>
      </c>
      <c r="D36" s="147"/>
      <c r="E36" s="75"/>
      <c r="F36" s="73"/>
      <c r="G36" s="147"/>
      <c r="H36" s="75"/>
      <c r="I36" s="73"/>
      <c r="J36" s="234"/>
      <c r="K36" s="73"/>
      <c r="L36" s="1609">
        <v>43480</v>
      </c>
      <c r="M36" s="73">
        <v>331.92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0.15</v>
      </c>
      <c r="AG36" s="1113">
        <v>6.29</v>
      </c>
      <c r="AH36" s="1110">
        <v>2749</v>
      </c>
      <c r="AI36" s="238">
        <v>68.180000000000007</v>
      </c>
      <c r="AJ36" s="838"/>
      <c r="AK36" s="839"/>
      <c r="AL36" s="51">
        <f t="shared" si="0"/>
        <v>1.2533726334882667</v>
      </c>
      <c r="AM36" s="51">
        <f t="shared" si="1"/>
        <v>2.4311409642027382E-2</v>
      </c>
    </row>
    <row r="37" spans="1:39" x14ac:dyDescent="0.25">
      <c r="A37" s="71">
        <v>43496</v>
      </c>
      <c r="B37" s="72">
        <v>112.02</v>
      </c>
      <c r="C37" s="73">
        <v>147.11000000000001</v>
      </c>
      <c r="D37" s="147">
        <v>43503</v>
      </c>
      <c r="E37" s="75" t="s">
        <v>553</v>
      </c>
      <c r="F37" s="73">
        <v>350.03</v>
      </c>
      <c r="G37" s="147"/>
      <c r="H37" s="75"/>
      <c r="I37" s="73"/>
      <c r="J37" s="234"/>
      <c r="K37" s="73"/>
      <c r="L37" s="1609">
        <v>43480</v>
      </c>
      <c r="M37" s="73">
        <v>8.4</v>
      </c>
      <c r="N37" s="894">
        <v>43475</v>
      </c>
      <c r="O37" s="73">
        <v>50</v>
      </c>
      <c r="P37" s="71"/>
      <c r="Q37" s="73"/>
      <c r="R37" s="71"/>
      <c r="S37" s="73"/>
      <c r="T37" s="894">
        <v>43466</v>
      </c>
      <c r="U37" s="1199" t="s">
        <v>957</v>
      </c>
      <c r="V37" s="73">
        <v>20.2</v>
      </c>
      <c r="W37" s="894">
        <v>43588</v>
      </c>
      <c r="X37" s="1199" t="s">
        <v>923</v>
      </c>
      <c r="Y37" s="73">
        <v>40</v>
      </c>
      <c r="Z37" s="894">
        <v>43466</v>
      </c>
      <c r="AA37" s="1199" t="s">
        <v>957</v>
      </c>
      <c r="AB37" s="73">
        <v>94.13</v>
      </c>
      <c r="AC37" s="894"/>
      <c r="AD37" s="1199"/>
      <c r="AE37" s="73"/>
      <c r="AF37" s="1112">
        <v>0.15</v>
      </c>
      <c r="AG37" s="1113">
        <v>6.3</v>
      </c>
      <c r="AH37" s="1110">
        <v>1722</v>
      </c>
      <c r="AI37" s="238">
        <v>66</v>
      </c>
      <c r="AJ37" s="838"/>
      <c r="AK37" s="839"/>
      <c r="AL37" s="51">
        <f t="shared" si="0"/>
        <v>1.3132476343510089</v>
      </c>
      <c r="AM37" s="51">
        <f t="shared" si="1"/>
        <v>8.4186410504769604E-2</v>
      </c>
    </row>
    <row r="38" spans="1:39" x14ac:dyDescent="0.25">
      <c r="A38" s="71">
        <v>43524</v>
      </c>
      <c r="B38" s="72">
        <v>161.53</v>
      </c>
      <c r="C38" s="73">
        <v>203.57</v>
      </c>
      <c r="D38" s="147">
        <v>43551</v>
      </c>
      <c r="E38" s="75" t="s">
        <v>612</v>
      </c>
      <c r="F38" s="73">
        <v>528.97</v>
      </c>
      <c r="G38" s="147"/>
      <c r="H38" s="75"/>
      <c r="I38" s="73"/>
      <c r="J38" s="234"/>
      <c r="K38" s="73"/>
      <c r="L38" s="1609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20.2</v>
      </c>
      <c r="W38" s="894"/>
      <c r="X38" s="1199"/>
      <c r="Y38" s="73"/>
      <c r="Z38" s="894">
        <v>43556</v>
      </c>
      <c r="AA38" s="1199" t="s">
        <v>958</v>
      </c>
      <c r="AB38" s="73">
        <v>94.13</v>
      </c>
      <c r="AC38" s="894"/>
      <c r="AD38" s="1199"/>
      <c r="AE38" s="73"/>
      <c r="AF38" s="1112">
        <v>0.16</v>
      </c>
      <c r="AG38" s="1113">
        <v>6.31</v>
      </c>
      <c r="AH38" s="1110">
        <v>2421</v>
      </c>
      <c r="AI38" s="238">
        <v>31</v>
      </c>
      <c r="AJ38" s="838"/>
      <c r="AK38" s="839"/>
      <c r="AL38" s="51">
        <f t="shared" si="0"/>
        <v>1.260261251779855</v>
      </c>
      <c r="AM38" s="51">
        <f t="shared" si="1"/>
        <v>3.1200027933615759E-2</v>
      </c>
    </row>
    <row r="39" spans="1:39" x14ac:dyDescent="0.25">
      <c r="A39" s="71">
        <v>43555</v>
      </c>
      <c r="B39" s="72">
        <v>180.43</v>
      </c>
      <c r="C39" s="73">
        <v>241.84</v>
      </c>
      <c r="D39" s="147">
        <v>43551</v>
      </c>
      <c r="E39" s="75" t="s">
        <v>611</v>
      </c>
      <c r="F39" s="73">
        <v>41.95</v>
      </c>
      <c r="G39" s="147"/>
      <c r="H39" s="75"/>
      <c r="I39" s="73"/>
      <c r="J39" s="234"/>
      <c r="K39" s="73"/>
      <c r="L39" s="1609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20.02</v>
      </c>
      <c r="W39" s="894"/>
      <c r="X39" s="1199"/>
      <c r="Y39" s="73"/>
      <c r="Z39" s="894">
        <v>43647</v>
      </c>
      <c r="AA39" s="1199" t="s">
        <v>959</v>
      </c>
      <c r="AB39" s="73">
        <v>85.71</v>
      </c>
      <c r="AC39" s="894"/>
      <c r="AD39" s="1199"/>
      <c r="AE39" s="73"/>
      <c r="AF39" s="1112">
        <v>0.16</v>
      </c>
      <c r="AG39" s="1113">
        <v>6.31</v>
      </c>
      <c r="AH39" s="1110">
        <v>2796</v>
      </c>
      <c r="AI39" s="238">
        <v>24</v>
      </c>
      <c r="AJ39" s="838"/>
      <c r="AK39" s="839"/>
      <c r="AL39" s="51">
        <f t="shared" si="0"/>
        <v>1.3403535997339688</v>
      </c>
      <c r="AM39" s="51">
        <f t="shared" si="1"/>
        <v>0.11129237588772956</v>
      </c>
    </row>
    <row r="40" spans="1:39" x14ac:dyDescent="0.25">
      <c r="A40" s="71">
        <v>43585</v>
      </c>
      <c r="B40" s="72">
        <v>292.27999999999997</v>
      </c>
      <c r="C40" s="73">
        <v>379.15</v>
      </c>
      <c r="D40" s="147">
        <v>43699</v>
      </c>
      <c r="E40" s="75" t="s">
        <v>683</v>
      </c>
      <c r="F40" s="73">
        <v>60.36</v>
      </c>
      <c r="G40" s="147"/>
      <c r="H40" s="75"/>
      <c r="I40" s="73"/>
      <c r="J40" s="234"/>
      <c r="K40" s="73"/>
      <c r="L40" s="1609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20.02</v>
      </c>
      <c r="W40" s="894"/>
      <c r="X40" s="1199"/>
      <c r="Y40" s="73"/>
      <c r="Z40" s="894">
        <v>43739</v>
      </c>
      <c r="AA40" s="1199" t="s">
        <v>960</v>
      </c>
      <c r="AB40" s="73">
        <v>85.71</v>
      </c>
      <c r="AC40" s="894"/>
      <c r="AD40" s="1199"/>
      <c r="AE40" s="73"/>
      <c r="AF40" s="1112">
        <v>0.16</v>
      </c>
      <c r="AG40" s="1113">
        <v>6.33</v>
      </c>
      <c r="AH40" s="1110">
        <v>4355</v>
      </c>
      <c r="AI40" s="238">
        <v>30</v>
      </c>
      <c r="AJ40" s="838"/>
      <c r="AK40" s="839"/>
      <c r="AL40" s="51">
        <f t="shared" si="0"/>
        <v>1.2972149993157247</v>
      </c>
      <c r="AM40" s="51">
        <f t="shared" si="1"/>
        <v>6.8153775469485423E-2</v>
      </c>
    </row>
    <row r="41" spans="1:39" x14ac:dyDescent="0.25">
      <c r="A41" s="71">
        <v>43616</v>
      </c>
      <c r="B41" s="72">
        <v>131.07</v>
      </c>
      <c r="C41" s="73">
        <v>169.2</v>
      </c>
      <c r="D41" s="147">
        <v>43811</v>
      </c>
      <c r="E41" s="75" t="s">
        <v>746</v>
      </c>
      <c r="F41" s="73">
        <v>49.5</v>
      </c>
      <c r="G41" s="147"/>
      <c r="H41" s="75"/>
      <c r="I41" s="73"/>
      <c r="J41" s="234"/>
      <c r="K41" s="73"/>
      <c r="L41" s="1609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0.16</v>
      </c>
      <c r="AG41" s="1113">
        <v>6.34</v>
      </c>
      <c r="AH41" s="1110">
        <v>1955</v>
      </c>
      <c r="AI41" s="238">
        <v>21</v>
      </c>
      <c r="AJ41" s="838"/>
      <c r="AK41" s="839"/>
      <c r="AL41" s="51">
        <f t="shared" si="0"/>
        <v>1.2909132524605174</v>
      </c>
      <c r="AM41" s="51">
        <f t="shared" si="1"/>
        <v>6.1852028614278076E-2</v>
      </c>
    </row>
    <row r="42" spans="1:39" x14ac:dyDescent="0.25">
      <c r="A42" s="71">
        <v>43646</v>
      </c>
      <c r="B42" s="72">
        <v>380.86</v>
      </c>
      <c r="C42" s="73">
        <v>428.92</v>
      </c>
      <c r="D42" s="147">
        <v>43814</v>
      </c>
      <c r="E42" s="75" t="s">
        <v>736</v>
      </c>
      <c r="F42" s="73">
        <v>366</v>
      </c>
      <c r="G42" s="147"/>
      <c r="H42" s="75"/>
      <c r="I42" s="73"/>
      <c r="J42" s="234"/>
      <c r="K42" s="73"/>
      <c r="L42" s="1609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0.16</v>
      </c>
      <c r="AG42" s="1113">
        <v>6.39</v>
      </c>
      <c r="AH42" s="1110">
        <v>5115</v>
      </c>
      <c r="AI42" s="238">
        <v>7</v>
      </c>
      <c r="AJ42" s="838"/>
      <c r="AK42" s="839"/>
      <c r="AL42" s="51">
        <f t="shared" si="0"/>
        <v>1.126188100614399</v>
      </c>
      <c r="AM42" s="51">
        <f t="shared" si="1"/>
        <v>-0.10287312323184028</v>
      </c>
    </row>
    <row r="43" spans="1:39" x14ac:dyDescent="0.25">
      <c r="A43" s="71">
        <v>43677</v>
      </c>
      <c r="B43" s="72">
        <v>96.22</v>
      </c>
      <c r="C43" s="73">
        <v>130.53</v>
      </c>
      <c r="D43" s="147">
        <v>43791</v>
      </c>
      <c r="E43" s="75" t="s">
        <v>817</v>
      </c>
      <c r="F43" s="73">
        <v>617.44000000000005</v>
      </c>
      <c r="G43" s="147"/>
      <c r="H43" s="75"/>
      <c r="I43" s="73"/>
      <c r="J43" s="234"/>
      <c r="K43" s="73"/>
      <c r="L43" s="1609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0.16</v>
      </c>
      <c r="AG43" s="1113">
        <v>6.39</v>
      </c>
      <c r="AH43" s="1110">
        <v>1469</v>
      </c>
      <c r="AI43" s="238">
        <v>28</v>
      </c>
      <c r="AJ43" s="838"/>
      <c r="AK43" s="839"/>
      <c r="AL43" s="51">
        <f t="shared" si="0"/>
        <v>1.3565786738723757</v>
      </c>
      <c r="AM43" s="51">
        <f t="shared" si="1"/>
        <v>0.12751745002613646</v>
      </c>
    </row>
    <row r="44" spans="1:39" x14ac:dyDescent="0.25">
      <c r="A44" s="71">
        <v>43708</v>
      </c>
      <c r="B44" s="72">
        <v>166.27</v>
      </c>
      <c r="C44" s="73">
        <v>205.95</v>
      </c>
      <c r="D44" s="147"/>
      <c r="E44" s="75"/>
      <c r="F44" s="73"/>
      <c r="G44" s="147"/>
      <c r="H44" s="75"/>
      <c r="I44" s="73"/>
      <c r="J44" s="234"/>
      <c r="K44" s="73"/>
      <c r="L44" s="1609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0.17</v>
      </c>
      <c r="AG44" s="1113">
        <v>6.39</v>
      </c>
      <c r="AH44" s="1110">
        <v>2645</v>
      </c>
      <c r="AI44" s="238">
        <v>34</v>
      </c>
      <c r="AJ44" s="838"/>
      <c r="AK44" s="839"/>
      <c r="AL44" s="51">
        <f t="shared" si="0"/>
        <v>1.2386479821976302</v>
      </c>
      <c r="AM44" s="51">
        <f t="shared" si="1"/>
        <v>9.5867583513908894E-3</v>
      </c>
    </row>
    <row r="45" spans="1:39" x14ac:dyDescent="0.25">
      <c r="A45" s="71">
        <v>43738</v>
      </c>
      <c r="B45" s="72">
        <v>265.7</v>
      </c>
      <c r="C45" s="73">
        <v>344.68</v>
      </c>
      <c r="D45" s="147"/>
      <c r="E45" s="75"/>
      <c r="F45" s="73"/>
      <c r="G45" s="147"/>
      <c r="H45" s="75"/>
      <c r="I45" s="73"/>
      <c r="J45" s="234"/>
      <c r="K45" s="73"/>
      <c r="L45" s="1609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0.17</v>
      </c>
      <c r="AG45" s="1113">
        <v>6.39</v>
      </c>
      <c r="AH45" s="1110">
        <v>4145</v>
      </c>
      <c r="AI45" s="238">
        <v>15</v>
      </c>
      <c r="AJ45" s="838"/>
      <c r="AK45" s="839"/>
      <c r="AL45" s="51">
        <f t="shared" si="0"/>
        <v>1.2972525404591646</v>
      </c>
      <c r="AM45" s="51">
        <f t="shared" si="1"/>
        <v>6.8191316612925323E-2</v>
      </c>
    </row>
    <row r="46" spans="1:39" x14ac:dyDescent="0.25">
      <c r="A46" s="71">
        <v>43769</v>
      </c>
      <c r="B46" s="72">
        <v>192.8</v>
      </c>
      <c r="C46" s="73">
        <v>258.48</v>
      </c>
      <c r="D46" s="147"/>
      <c r="E46" s="75"/>
      <c r="F46" s="73"/>
      <c r="G46" s="147"/>
      <c r="H46" s="75"/>
      <c r="I46" s="73"/>
      <c r="J46" s="234"/>
      <c r="K46" s="73"/>
      <c r="L46" s="1609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0.17</v>
      </c>
      <c r="AG46" s="1113">
        <v>6.39</v>
      </c>
      <c r="AH46" s="1110">
        <v>2883</v>
      </c>
      <c r="AI46" s="238">
        <v>17</v>
      </c>
      <c r="AJ46" s="838"/>
      <c r="AK46" s="839"/>
      <c r="AL46" s="51">
        <f t="shared" si="0"/>
        <v>1.3406639004149379</v>
      </c>
      <c r="AM46" s="51">
        <f t="shared" si="1"/>
        <v>0.1116026765686986</v>
      </c>
    </row>
    <row r="47" spans="1:39" x14ac:dyDescent="0.25">
      <c r="A47" s="71">
        <v>43799</v>
      </c>
      <c r="B47" s="72">
        <v>279.19</v>
      </c>
      <c r="C47" s="73">
        <v>413.04</v>
      </c>
      <c r="D47" s="147"/>
      <c r="E47" s="75"/>
      <c r="F47" s="73"/>
      <c r="G47" s="147"/>
      <c r="H47" s="75"/>
      <c r="I47" s="73"/>
      <c r="J47" s="234"/>
      <c r="K47" s="73"/>
      <c r="L47" s="1609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0.16</v>
      </c>
      <c r="AG47" s="1113">
        <v>6.41</v>
      </c>
      <c r="AH47" s="1110">
        <v>4105</v>
      </c>
      <c r="AI47" s="238">
        <v>50</v>
      </c>
      <c r="AJ47" s="838"/>
      <c r="AK47" s="839"/>
      <c r="AL47" s="51">
        <f t="shared" si="0"/>
        <v>1.4794226154231886</v>
      </c>
      <c r="AM47" s="51">
        <f t="shared" si="1"/>
        <v>0.25036139157694937</v>
      </c>
    </row>
    <row r="48" spans="1:39" x14ac:dyDescent="0.25">
      <c r="A48" s="71">
        <v>43830</v>
      </c>
      <c r="B48" s="72">
        <v>145.93</v>
      </c>
      <c r="C48" s="73">
        <v>189.2</v>
      </c>
      <c r="D48" s="147"/>
      <c r="E48" s="75"/>
      <c r="F48" s="73"/>
      <c r="G48" s="147">
        <v>43830</v>
      </c>
      <c r="H48" s="75" t="s">
        <v>811</v>
      </c>
      <c r="I48" s="73">
        <v>118.4</v>
      </c>
      <c r="J48" s="234"/>
      <c r="K48" s="73"/>
      <c r="L48" s="1609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0.17</v>
      </c>
      <c r="AG48" s="1113">
        <v>6.41</v>
      </c>
      <c r="AH48" s="1110">
        <v>2218</v>
      </c>
      <c r="AI48" s="238">
        <v>65</v>
      </c>
      <c r="AJ48" s="838"/>
      <c r="AK48" s="839"/>
      <c r="AL48" s="51">
        <f t="shared" si="0"/>
        <v>1.296512026313986</v>
      </c>
      <c r="AM48" s="51">
        <f t="shared" si="1"/>
        <v>6.7450802467746707E-2</v>
      </c>
    </row>
    <row r="49" spans="1:39" x14ac:dyDescent="0.25">
      <c r="A49" s="71">
        <v>43861</v>
      </c>
      <c r="B49" s="72">
        <v>217.47</v>
      </c>
      <c r="C49" s="73">
        <v>296.81</v>
      </c>
      <c r="D49" s="147">
        <v>43844</v>
      </c>
      <c r="E49" s="75" t="s">
        <v>760</v>
      </c>
      <c r="F49" s="73">
        <v>15.44</v>
      </c>
      <c r="G49" s="147"/>
      <c r="H49" s="75"/>
      <c r="I49" s="73"/>
      <c r="J49" s="234"/>
      <c r="K49" s="73"/>
      <c r="L49" s="1609">
        <v>43861</v>
      </c>
      <c r="M49" s="73">
        <v>8.4</v>
      </c>
      <c r="N49" s="894">
        <v>43845</v>
      </c>
      <c r="O49" s="73">
        <v>50</v>
      </c>
      <c r="P49" s="71"/>
      <c r="Q49" s="73"/>
      <c r="R49" s="71"/>
      <c r="S49" s="73"/>
      <c r="T49" s="894">
        <v>43831</v>
      </c>
      <c r="U49" s="1199" t="s">
        <v>961</v>
      </c>
      <c r="V49" s="73">
        <v>20.02</v>
      </c>
      <c r="W49" s="894">
        <v>43942</v>
      </c>
      <c r="X49" s="1199" t="s">
        <v>1079</v>
      </c>
      <c r="Y49" s="73">
        <v>40</v>
      </c>
      <c r="Z49" s="894">
        <v>43831</v>
      </c>
      <c r="AA49" s="1199" t="s">
        <v>961</v>
      </c>
      <c r="AB49" s="73">
        <v>85.71</v>
      </c>
      <c r="AC49" s="894"/>
      <c r="AD49" s="1199"/>
      <c r="AE49" s="73"/>
      <c r="AF49" s="1112">
        <v>0.18</v>
      </c>
      <c r="AG49" s="1113">
        <v>6.41</v>
      </c>
      <c r="AH49" s="1110">
        <v>3359</v>
      </c>
      <c r="AI49" s="238">
        <v>26</v>
      </c>
      <c r="AJ49" s="838"/>
      <c r="AK49" s="839"/>
      <c r="AL49" s="51">
        <f t="shared" si="0"/>
        <v>1.3648319308410355</v>
      </c>
      <c r="AM49" s="51">
        <f t="shared" si="1"/>
        <v>0.13577070699479621</v>
      </c>
    </row>
    <row r="50" spans="1:39" x14ac:dyDescent="0.25">
      <c r="A50" s="71">
        <v>43890</v>
      </c>
      <c r="B50" s="72">
        <v>171.71</v>
      </c>
      <c r="C50" s="73">
        <v>212.13</v>
      </c>
      <c r="D50" s="147">
        <v>43889</v>
      </c>
      <c r="E50" s="75" t="s">
        <v>963</v>
      </c>
      <c r="F50" s="73">
        <v>152.91999999999999</v>
      </c>
      <c r="G50" s="147"/>
      <c r="H50" s="75"/>
      <c r="I50" s="73"/>
      <c r="J50" s="234"/>
      <c r="K50" s="73"/>
      <c r="L50" s="1609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20.02</v>
      </c>
      <c r="W50" s="894"/>
      <c r="X50" s="1199"/>
      <c r="Y50" s="73"/>
      <c r="Z50" s="894">
        <v>43922</v>
      </c>
      <c r="AA50" s="1199" t="s">
        <v>1008</v>
      </c>
      <c r="AB50" s="73">
        <v>85.71</v>
      </c>
      <c r="AC50" s="894"/>
      <c r="AD50" s="1199"/>
      <c r="AE50" s="73"/>
      <c r="AF50" s="1112">
        <v>0.17</v>
      </c>
      <c r="AG50" s="1113">
        <v>6.42</v>
      </c>
      <c r="AH50" s="1110">
        <v>2607</v>
      </c>
      <c r="AI50" s="238">
        <v>26</v>
      </c>
      <c r="AJ50" s="838"/>
      <c r="AK50" s="839"/>
      <c r="AL50" s="51">
        <f t="shared" si="0"/>
        <v>1.2353968901054102</v>
      </c>
      <c r="AM50" s="51">
        <f t="shared" si="1"/>
        <v>6.3356662591709245E-3</v>
      </c>
    </row>
    <row r="51" spans="1:39" x14ac:dyDescent="0.25">
      <c r="A51" s="71">
        <v>43921</v>
      </c>
      <c r="B51" s="72">
        <v>28.48</v>
      </c>
      <c r="C51" s="73">
        <v>34.44</v>
      </c>
      <c r="D51" s="147"/>
      <c r="E51" s="75"/>
      <c r="F51" s="73"/>
      <c r="G51" s="147"/>
      <c r="H51" s="75"/>
      <c r="I51" s="73"/>
      <c r="J51" s="234"/>
      <c r="K51" s="73"/>
      <c r="L51" s="1609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20.02</v>
      </c>
      <c r="W51" s="894"/>
      <c r="X51" s="1199"/>
      <c r="Y51" s="73"/>
      <c r="Z51" s="894">
        <v>44007</v>
      </c>
      <c r="AA51" s="1199" t="s">
        <v>1223</v>
      </c>
      <c r="AB51" s="73">
        <v>85.71</v>
      </c>
      <c r="AC51" s="894"/>
      <c r="AD51" s="1199"/>
      <c r="AE51" s="73"/>
      <c r="AF51" s="1112">
        <v>0.18</v>
      </c>
      <c r="AG51" s="1113">
        <v>6.41</v>
      </c>
      <c r="AH51" s="1110">
        <v>524</v>
      </c>
      <c r="AI51" s="238">
        <v>43</v>
      </c>
      <c r="AJ51" s="838"/>
      <c r="AK51" s="839"/>
      <c r="AL51" s="51">
        <f t="shared" si="0"/>
        <v>1.2092696629213482</v>
      </c>
      <c r="AM51" s="51">
        <f t="shared" si="1"/>
        <v>-1.9791560924891094E-2</v>
      </c>
    </row>
    <row r="52" spans="1:39" x14ac:dyDescent="0.25">
      <c r="A52" s="71">
        <v>43951</v>
      </c>
      <c r="B52" s="72">
        <v>60.38</v>
      </c>
      <c r="C52" s="73">
        <v>73.73</v>
      </c>
      <c r="D52" s="147"/>
      <c r="E52" s="75"/>
      <c r="F52" s="73"/>
      <c r="G52" s="147"/>
      <c r="H52" s="75"/>
      <c r="I52" s="73"/>
      <c r="J52" s="234"/>
      <c r="K52" s="73"/>
      <c r="L52" s="1609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20.02</v>
      </c>
      <c r="W52" s="894"/>
      <c r="X52" s="1199"/>
      <c r="Y52" s="73"/>
      <c r="Z52" s="894">
        <v>44091</v>
      </c>
      <c r="AA52" s="1199" t="s">
        <v>1222</v>
      </c>
      <c r="AB52" s="73">
        <v>85.71</v>
      </c>
      <c r="AC52" s="894"/>
      <c r="AD52" s="1199"/>
      <c r="AE52" s="73"/>
      <c r="AF52" s="1112">
        <v>0.18</v>
      </c>
      <c r="AG52" s="1113">
        <v>6.41</v>
      </c>
      <c r="AH52" s="1110">
        <v>893</v>
      </c>
      <c r="AI52" s="238">
        <v>43</v>
      </c>
      <c r="AJ52" s="838"/>
      <c r="AK52" s="839"/>
      <c r="AL52" s="51">
        <f t="shared" si="0"/>
        <v>1.2210997018880425</v>
      </c>
      <c r="AM52" s="51">
        <f t="shared" si="1"/>
        <v>-7.9615219581967711E-3</v>
      </c>
    </row>
    <row r="53" spans="1:39" x14ac:dyDescent="0.25">
      <c r="A53" s="71">
        <v>43982</v>
      </c>
      <c r="B53" s="72">
        <v>119.83</v>
      </c>
      <c r="C53" s="73">
        <v>135.83000000000001</v>
      </c>
      <c r="D53" s="147"/>
      <c r="E53" s="75"/>
      <c r="F53" s="73"/>
      <c r="G53" s="1162"/>
      <c r="H53" s="75"/>
      <c r="I53" s="73"/>
      <c r="J53" s="234"/>
      <c r="K53" s="73"/>
      <c r="L53" s="1609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0.18</v>
      </c>
      <c r="AG53" s="1113">
        <v>6.42</v>
      </c>
      <c r="AH53" s="1110">
        <v>1764</v>
      </c>
      <c r="AI53" s="238">
        <v>41</v>
      </c>
      <c r="AJ53" s="838"/>
      <c r="AK53" s="839"/>
      <c r="AL53" s="51">
        <f t="shared" si="0"/>
        <v>1.1335224901944423</v>
      </c>
      <c r="AM53" s="51">
        <f t="shared" si="1"/>
        <v>-9.5538733651796992E-2</v>
      </c>
    </row>
    <row r="54" spans="1:39" x14ac:dyDescent="0.25">
      <c r="A54" s="71">
        <v>44012</v>
      </c>
      <c r="B54" s="72">
        <v>195.71</v>
      </c>
      <c r="C54" s="73">
        <v>214.73</v>
      </c>
      <c r="D54" s="147"/>
      <c r="E54" s="75"/>
      <c r="F54" s="73"/>
      <c r="G54" s="147"/>
      <c r="H54" s="75"/>
      <c r="I54" s="73"/>
      <c r="J54" s="234"/>
      <c r="K54" s="73"/>
      <c r="L54" s="1609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0.18</v>
      </c>
      <c r="AG54" s="1113">
        <v>6.42</v>
      </c>
      <c r="AH54" s="1110">
        <v>3063</v>
      </c>
      <c r="AI54" s="238">
        <v>30</v>
      </c>
      <c r="AJ54" s="838"/>
      <c r="AK54" s="839"/>
      <c r="AL54" s="51">
        <f t="shared" si="0"/>
        <v>1.0971846098819682</v>
      </c>
      <c r="AM54" s="51">
        <f t="shared" si="1"/>
        <v>-0.13187661396427108</v>
      </c>
    </row>
    <row r="55" spans="1:39" x14ac:dyDescent="0.25">
      <c r="A55" s="71">
        <v>44043</v>
      </c>
      <c r="B55" s="72">
        <v>103.97</v>
      </c>
      <c r="C55" s="73">
        <v>110.44</v>
      </c>
      <c r="D55" s="147"/>
      <c r="E55" s="75"/>
      <c r="F55" s="73"/>
      <c r="G55" s="147"/>
      <c r="H55" s="75"/>
      <c r="I55" s="73"/>
      <c r="J55" s="234"/>
      <c r="K55" s="73"/>
      <c r="L55" s="1609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0.18</v>
      </c>
      <c r="AG55" s="1113">
        <v>6.36</v>
      </c>
      <c r="AH55" s="1110">
        <v>1620</v>
      </c>
      <c r="AI55" s="238">
        <v>52</v>
      </c>
      <c r="AJ55" s="838"/>
      <c r="AK55" s="839"/>
      <c r="AL55" s="51">
        <f t="shared" si="0"/>
        <v>1.0622294892757527</v>
      </c>
      <c r="AM55" s="51">
        <f t="shared" si="1"/>
        <v>-0.16683173457048661</v>
      </c>
    </row>
    <row r="56" spans="1:39" x14ac:dyDescent="0.25">
      <c r="A56" s="71">
        <v>44074</v>
      </c>
      <c r="B56" s="72">
        <v>113.76</v>
      </c>
      <c r="C56" s="73">
        <v>120.62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0.18</v>
      </c>
      <c r="AG56" s="1113">
        <v>6.38</v>
      </c>
      <c r="AH56" s="1110">
        <v>1802</v>
      </c>
      <c r="AI56" s="238">
        <v>55</v>
      </c>
      <c r="AJ56" s="838"/>
      <c r="AK56" s="839"/>
      <c r="AL56" s="51">
        <f t="shared" si="0"/>
        <v>1.0603023909985936</v>
      </c>
      <c r="AM56" s="51">
        <f t="shared" si="1"/>
        <v>-0.1687588328476457</v>
      </c>
    </row>
    <row r="57" spans="1:39" x14ac:dyDescent="0.25">
      <c r="A57" s="71">
        <v>44104</v>
      </c>
      <c r="B57" s="72">
        <v>86.73</v>
      </c>
      <c r="C57" s="73">
        <v>91.26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0.18</v>
      </c>
      <c r="AG57" s="1113">
        <v>6.36</v>
      </c>
      <c r="AH57" s="1110">
        <v>1288</v>
      </c>
      <c r="AI57" s="238">
        <v>25</v>
      </c>
      <c r="AJ57" s="838"/>
      <c r="AK57" s="839"/>
      <c r="AL57" s="51">
        <f t="shared" si="0"/>
        <v>1.052231061916292</v>
      </c>
      <c r="AM57" s="51">
        <f t="shared" si="1"/>
        <v>-0.17683016192994727</v>
      </c>
    </row>
    <row r="58" spans="1:39" x14ac:dyDescent="0.25">
      <c r="A58" s="71">
        <v>44135</v>
      </c>
      <c r="B58" s="72">
        <v>96</v>
      </c>
      <c r="C58" s="73">
        <v>106.34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0.18</v>
      </c>
      <c r="AG58" s="1113">
        <v>6.38</v>
      </c>
      <c r="AH58" s="1110">
        <v>1394</v>
      </c>
      <c r="AI58" s="238">
        <v>51</v>
      </c>
      <c r="AJ58" s="838"/>
      <c r="AK58" s="839"/>
      <c r="AL58" s="51">
        <f t="shared" si="0"/>
        <v>1.1077083333333333</v>
      </c>
      <c r="AM58" s="51">
        <f t="shared" si="1"/>
        <v>-0.12135289051290599</v>
      </c>
    </row>
    <row r="59" spans="1:39" x14ac:dyDescent="0.25">
      <c r="A59" s="71">
        <v>44165</v>
      </c>
      <c r="B59" s="72">
        <v>61.59</v>
      </c>
      <c r="C59" s="73">
        <v>66.06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0.18</v>
      </c>
      <c r="AG59" s="1113">
        <v>6.35</v>
      </c>
      <c r="AH59" s="1110">
        <v>885</v>
      </c>
      <c r="AI59" s="238">
        <v>52</v>
      </c>
      <c r="AJ59" s="838"/>
      <c r="AK59" s="839"/>
      <c r="AL59" s="51">
        <f t="shared" si="0"/>
        <v>1.0725767169995128</v>
      </c>
      <c r="AM59" s="51">
        <f t="shared" si="1"/>
        <v>-0.15648450684672643</v>
      </c>
    </row>
    <row r="60" spans="1:39" x14ac:dyDescent="0.25">
      <c r="A60" s="71">
        <v>44561</v>
      </c>
      <c r="B60" s="72">
        <v>64.040000000000006</v>
      </c>
      <c r="C60" s="73">
        <v>73.319999999999993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>
        <v>44226</v>
      </c>
      <c r="O60" s="73">
        <v>50</v>
      </c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0.19</v>
      </c>
      <c r="AG60" s="1113">
        <v>6.32</v>
      </c>
      <c r="AH60" s="1110">
        <v>883</v>
      </c>
      <c r="AI60" s="238">
        <v>65</v>
      </c>
      <c r="AJ60" s="838"/>
      <c r="AK60" s="839"/>
      <c r="AL60" s="51">
        <f t="shared" si="0"/>
        <v>1.1449094316052466</v>
      </c>
      <c r="AM60" s="51">
        <f t="shared" si="1"/>
        <v>-8.4151792240992673E-2</v>
      </c>
    </row>
    <row r="61" spans="1:39" x14ac:dyDescent="0.25">
      <c r="A61" s="71">
        <v>44227</v>
      </c>
      <c r="B61" s="72">
        <v>0</v>
      </c>
      <c r="C61" s="73">
        <v>0</v>
      </c>
      <c r="D61" s="147"/>
      <c r="E61" s="75"/>
      <c r="F61" s="73"/>
      <c r="G61" s="147"/>
      <c r="H61" s="75"/>
      <c r="I61" s="73"/>
      <c r="J61" s="234"/>
      <c r="K61" s="73"/>
      <c r="L61" s="1609">
        <v>44225</v>
      </c>
      <c r="M61" s="73">
        <v>8.4</v>
      </c>
      <c r="N61" s="894"/>
      <c r="O61" s="73"/>
      <c r="P61" s="71"/>
      <c r="Q61" s="73"/>
      <c r="R61" s="71"/>
      <c r="S61" s="73"/>
      <c r="T61" s="894"/>
      <c r="U61" s="1199"/>
      <c r="V61" s="73"/>
      <c r="W61" s="894">
        <v>44312</v>
      </c>
      <c r="X61" s="1199" t="s">
        <v>1329</v>
      </c>
      <c r="Y61" s="73">
        <v>40</v>
      </c>
      <c r="Z61" s="894">
        <v>44197</v>
      </c>
      <c r="AA61" s="1199" t="s">
        <v>1517</v>
      </c>
      <c r="AB61" s="73">
        <v>85.71</v>
      </c>
      <c r="AC61" s="894"/>
      <c r="AD61" s="1199"/>
      <c r="AE61" s="73"/>
      <c r="AF61" s="1112">
        <v>0.19</v>
      </c>
      <c r="AG61" s="1113">
        <v>6.32</v>
      </c>
      <c r="AH61" s="1110">
        <v>0</v>
      </c>
      <c r="AI61" s="238">
        <v>65</v>
      </c>
      <c r="AJ61" s="838"/>
      <c r="AK61" s="839"/>
      <c r="AL61" s="51" t="e">
        <f t="shared" si="0"/>
        <v>#DIV/0!</v>
      </c>
      <c r="AM61" s="51" t="e">
        <f t="shared" si="1"/>
        <v>#DIV/0!</v>
      </c>
    </row>
    <row r="62" spans="1:39" x14ac:dyDescent="0.25">
      <c r="A62" s="71">
        <v>44255</v>
      </c>
      <c r="B62" s="72">
        <v>54</v>
      </c>
      <c r="C62" s="73">
        <v>61.82</v>
      </c>
      <c r="D62" s="147"/>
      <c r="E62" s="75"/>
      <c r="F62" s="73"/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/>
      <c r="U62" s="1199"/>
      <c r="V62" s="73"/>
      <c r="W62" s="894"/>
      <c r="X62" s="1199"/>
      <c r="Y62" s="73"/>
      <c r="Z62" s="894">
        <v>44287</v>
      </c>
      <c r="AA62" s="1199" t="s">
        <v>1518</v>
      </c>
      <c r="AB62" s="73">
        <v>85.71</v>
      </c>
      <c r="AC62" s="894"/>
      <c r="AD62" s="1199"/>
      <c r="AE62" s="73"/>
      <c r="AF62" s="1112">
        <v>0.19</v>
      </c>
      <c r="AG62" s="1113">
        <v>6.35</v>
      </c>
      <c r="AH62" s="1110">
        <v>877</v>
      </c>
      <c r="AI62" s="238">
        <v>11</v>
      </c>
      <c r="AJ62" s="838"/>
      <c r="AK62" s="839"/>
      <c r="AL62" s="51">
        <f t="shared" si="0"/>
        <v>1.1448148148148147</v>
      </c>
      <c r="AM62" s="51">
        <f t="shared" si="1"/>
        <v>-8.4246409031424552E-2</v>
      </c>
    </row>
    <row r="63" spans="1:39" x14ac:dyDescent="0.25">
      <c r="A63" s="71">
        <v>44286</v>
      </c>
      <c r="B63" s="72">
        <v>1</v>
      </c>
      <c r="C63" s="73">
        <v>1.1399999999999999</v>
      </c>
      <c r="D63" s="147"/>
      <c r="E63" s="75"/>
      <c r="F63" s="73"/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>
        <v>44378</v>
      </c>
      <c r="U63" s="1199" t="s">
        <v>1402</v>
      </c>
      <c r="V63" s="73">
        <v>20.02</v>
      </c>
      <c r="W63" s="894"/>
      <c r="X63" s="1199"/>
      <c r="Y63" s="73"/>
      <c r="Z63" s="894">
        <v>44378</v>
      </c>
      <c r="AA63" s="1199" t="s">
        <v>1402</v>
      </c>
      <c r="AB63" s="73">
        <v>85.71</v>
      </c>
      <c r="AC63" s="894"/>
      <c r="AD63" s="1199"/>
      <c r="AE63" s="73"/>
      <c r="AF63" s="1112">
        <v>0.19</v>
      </c>
      <c r="AG63" s="1113">
        <v>6.32</v>
      </c>
      <c r="AH63" s="1110">
        <v>0</v>
      </c>
      <c r="AI63" s="238">
        <v>10</v>
      </c>
      <c r="AJ63" s="838"/>
      <c r="AK63" s="839"/>
      <c r="AL63" s="51">
        <f t="shared" si="0"/>
        <v>1.1399999999999999</v>
      </c>
      <c r="AM63" s="51">
        <f t="shared" si="1"/>
        <v>-8.9061223846239379E-2</v>
      </c>
    </row>
    <row r="64" spans="1:39" x14ac:dyDescent="0.25">
      <c r="A64" s="71">
        <v>44316</v>
      </c>
      <c r="B64" s="72">
        <v>124.77</v>
      </c>
      <c r="C64" s="73">
        <v>156.82</v>
      </c>
      <c r="D64" s="147"/>
      <c r="E64" s="75"/>
      <c r="F64" s="73"/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>
        <v>44470</v>
      </c>
      <c r="AA64" s="1199" t="s">
        <v>1516</v>
      </c>
      <c r="AB64" s="73">
        <v>85.71</v>
      </c>
      <c r="AC64" s="894"/>
      <c r="AD64" s="1199"/>
      <c r="AE64" s="73"/>
      <c r="AF64" s="1112">
        <v>0.19</v>
      </c>
      <c r="AG64" s="1113">
        <v>6.36</v>
      </c>
      <c r="AH64" s="1110">
        <v>1813</v>
      </c>
      <c r="AI64" s="238">
        <v>13</v>
      </c>
      <c r="AJ64" s="838"/>
      <c r="AK64" s="839"/>
      <c r="AL64" s="51">
        <f t="shared" si="0"/>
        <v>1.2568726456680293</v>
      </c>
      <c r="AM64" s="51">
        <f t="shared" si="1"/>
        <v>2.7811421821789972E-2</v>
      </c>
    </row>
    <row r="65" spans="1:39" x14ac:dyDescent="0.25">
      <c r="A65" s="71">
        <v>44347</v>
      </c>
      <c r="B65" s="72">
        <v>120.69</v>
      </c>
      <c r="C65" s="73">
        <v>144.86000000000001</v>
      </c>
      <c r="D65" s="147"/>
      <c r="E65" s="75"/>
      <c r="F65" s="73"/>
      <c r="G65" s="147"/>
      <c r="H65" s="75"/>
      <c r="I65" s="73"/>
      <c r="J65" s="234"/>
      <c r="K65" s="73"/>
      <c r="L65" s="1609">
        <v>44320</v>
      </c>
      <c r="M65" s="73">
        <v>8.4</v>
      </c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0.18</v>
      </c>
      <c r="AG65" s="1113">
        <v>6.44</v>
      </c>
      <c r="AH65" s="1110">
        <v>1773</v>
      </c>
      <c r="AI65" s="238">
        <v>18</v>
      </c>
      <c r="AJ65" s="838"/>
      <c r="AK65" s="839"/>
      <c r="AL65" s="51">
        <f t="shared" si="0"/>
        <v>1.2002651420995942</v>
      </c>
      <c r="AM65" s="51">
        <f t="shared" si="1"/>
        <v>-2.8796081746645052E-2</v>
      </c>
    </row>
    <row r="66" spans="1:39" x14ac:dyDescent="0.25">
      <c r="A66" s="71">
        <v>44377</v>
      </c>
      <c r="B66" s="72">
        <v>244.15</v>
      </c>
      <c r="C66" s="73">
        <v>312.07</v>
      </c>
      <c r="D66" s="147"/>
      <c r="E66" s="75"/>
      <c r="F66" s="73"/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0.18</v>
      </c>
      <c r="AG66" s="1113">
        <v>6.45</v>
      </c>
      <c r="AH66" s="1110">
        <v>3528</v>
      </c>
      <c r="AI66" s="238">
        <v>21</v>
      </c>
      <c r="AJ66" s="838"/>
      <c r="AK66" s="839"/>
      <c r="AL66" s="51">
        <f t="shared" si="0"/>
        <v>1.2781896375179194</v>
      </c>
      <c r="AM66" s="51">
        <f t="shared" si="1"/>
        <v>4.9128413671680082E-2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ref="AF67:AF96" ca="1" si="2">$F$5</f>
        <v>0.18972898040819192</v>
      </c>
      <c r="AG67" s="1113">
        <f>SUM($B$9:B67)/($J$1-$B$4)*100</f>
        <v>6.4512454068074572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0.18972898040819192</v>
      </c>
      <c r="AG68" s="1113">
        <f>SUM($B$9:B68)/($J$1-$B$4)*100</f>
        <v>6.4512454068074572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0.18972898040819192</v>
      </c>
      <c r="AG69" s="1113">
        <f>SUM($B$9:B69)/($J$1-$B$4)*100</f>
        <v>6.4512454068074572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0.18972898040819192</v>
      </c>
      <c r="AG70" s="1113">
        <f>SUM($B$9:B70)/($J$1-$B$4)*100</f>
        <v>6.4512454068074572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0.18972898040819192</v>
      </c>
      <c r="AG71" s="1113">
        <f>SUM($B$9:B71)/($J$1-$B$4)*100</f>
        <v>6.4512454068074572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0.18972898040819192</v>
      </c>
      <c r="AG72" s="1113">
        <f>SUM($B$9:B72)/($J$1-$B$4)*100</f>
        <v>6.4512454068074572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528">
        <v>43889</v>
      </c>
      <c r="E73" s="516" t="s">
        <v>1537</v>
      </c>
      <c r="F73" s="380">
        <v>794.18</v>
      </c>
      <c r="G73" s="147"/>
      <c r="H73" s="75"/>
      <c r="I73" s="73"/>
      <c r="J73" s="234"/>
      <c r="K73" s="73"/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>
        <v>44562</v>
      </c>
      <c r="AA73" s="1199" t="s">
        <v>1541</v>
      </c>
      <c r="AB73" s="73">
        <v>85.71</v>
      </c>
      <c r="AC73" s="894"/>
      <c r="AD73" s="1199"/>
      <c r="AE73" s="73"/>
      <c r="AF73" s="1112">
        <f t="shared" ca="1" si="2"/>
        <v>0.18972898040819192</v>
      </c>
      <c r="AG73" s="1113">
        <f>SUM($B$9:B73)/($J$1-$B$4)*100</f>
        <v>6.4512454068074572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0.18972898040819192</v>
      </c>
      <c r="AG74" s="1113">
        <f>SUM($B$9:B74)/($J$1-$B$4)*100</f>
        <v>6.4512454068074572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1609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0.18972898040819192</v>
      </c>
      <c r="AG75" s="1113">
        <f>SUM($B$9:B75)/($J$1-$B$4)*100</f>
        <v>6.4512454068074572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1609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0.18972898040819192</v>
      </c>
      <c r="AG76" s="1113">
        <f>SUM($B$9:B76)/($J$1-$B$4)*100</f>
        <v>6.4512454068074572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1609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0.18972898040819192</v>
      </c>
      <c r="AG77" s="1113">
        <f>SUM($B$9:B77)/($J$1-$B$4)*100</f>
        <v>6.4512454068074572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1609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0.18972898040819192</v>
      </c>
      <c r="AG78" s="1113">
        <f>SUM($B$9:B78)/($J$1-$B$4)*100</f>
        <v>6.4512454068074572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161"/>
      <c r="H79" s="831"/>
      <c r="I79" s="835"/>
      <c r="J79" s="234"/>
      <c r="K79" s="73"/>
      <c r="L79" s="1609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0.18972898040819192</v>
      </c>
      <c r="AG79" s="1113">
        <f>SUM($B$9:B79)/($J$1-$B$4)*100</f>
        <v>6.4512454068074572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1609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0.18972898040819192</v>
      </c>
      <c r="AG80" s="1113">
        <f>SUM($B$9:B80)/($J$1-$B$4)*100</f>
        <v>6.4512454068074572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1609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0.18972898040819192</v>
      </c>
      <c r="AG81" s="1113">
        <f>SUM($B$9:B81)/($J$1-$B$4)*100</f>
        <v>6.4512454068074572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1609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0.18972898040819192</v>
      </c>
      <c r="AG82" s="1113">
        <f>SUM($B$9:B82)/($J$1-$B$4)*100</f>
        <v>6.4512454068074572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1609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0.18972898040819192</v>
      </c>
      <c r="AG83" s="1113">
        <f>SUM($B$9:B83)/($J$1-$B$4)*100</f>
        <v>6.4512454068074572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1609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0.18972898040819192</v>
      </c>
      <c r="AG84" s="1113">
        <f>SUM($B$9:B84)/($J$1-$B$4)*100</f>
        <v>6.4512454068074572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1609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0.18972898040819192</v>
      </c>
      <c r="AG85" s="1113">
        <f>SUM($B$9:B85)/($J$1-$B$4)*100</f>
        <v>6.4512454068074572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1609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0.18972898040819192</v>
      </c>
      <c r="AG86" s="1113">
        <f>SUM($B$9:B86)/($J$1-$B$4)*100</f>
        <v>6.4512454068074572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1609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0.18972898040819192</v>
      </c>
      <c r="AG87" s="1113">
        <f>SUM($B$9:B87)/($J$1-$B$4)*100</f>
        <v>6.4512454068074572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1609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0.18972898040819192</v>
      </c>
      <c r="AG88" s="1113">
        <f>SUM($B$9:B88)/($J$1-$B$4)*100</f>
        <v>6.4512454068074572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1609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0.18972898040819192</v>
      </c>
      <c r="AG89" s="1113">
        <f>SUM($B$9:B89)/($J$1-$B$4)*100</f>
        <v>6.4512454068074572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1609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0.18972898040819192</v>
      </c>
      <c r="AG90" s="1113">
        <f>SUM($B$9:B90)/($J$1-$B$4)*100</f>
        <v>6.4512454068074572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1609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0.18972898040819192</v>
      </c>
      <c r="AG91" s="1113">
        <f>SUM($B$9:B91)/($J$1-$B$4)*100</f>
        <v>6.4512454068074572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1609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0.18972898040819192</v>
      </c>
      <c r="AG92" s="1113">
        <f>SUM($B$9:B92)/($J$1-$B$4)*100</f>
        <v>6.4512454068074572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1609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0.18972898040819192</v>
      </c>
      <c r="AG93" s="1113">
        <f>SUM($B$9:B93)/($J$1-$B$4)*100</f>
        <v>6.4512454068074572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1609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0.18972898040819192</v>
      </c>
      <c r="AG94" s="1113">
        <f>SUM($B$9:B94)/($J$1-$B$4)*100</f>
        <v>6.4512454068074572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1609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0.18972898040819192</v>
      </c>
      <c r="AG95" s="1113">
        <f>SUM($B$9:B95)/($J$1-$B$4)*100</f>
        <v>6.4512454068074572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1609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0.18972898040819192</v>
      </c>
      <c r="AG96" s="1113">
        <f>SUM($B$9:B96)/($J$1-$B$4)*100</f>
        <v>6.4512454068074572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896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0.16513487968461107</v>
      </c>
      <c r="AG98" s="1109">
        <f>AVERAGE(AG9:AG97)</f>
        <v>6.3805382068661762</v>
      </c>
      <c r="AH98" s="1228">
        <f ca="1">SUMIFS($AH$9:$AH$97,$A$9:$A$97,"&gt;="&amp;$C99,$A$9:$A$97,"&lt;="&amp;$D99)</f>
        <v>28073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0.22804931473837295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3.8320334330181033E-2</v>
      </c>
      <c r="J99" s="1303">
        <f ca="1">(F99/F5)-1</f>
        <v>0.20197406979016508</v>
      </c>
      <c r="K99" s="2253">
        <f ca="1">((D99-C99)/(365.25/12)*F3)+C102+F102+I102+K102+M102+O102+Q102+S102+AE106</f>
        <v>9049.280379746835</v>
      </c>
      <c r="L99" s="2253"/>
      <c r="M99" s="1472" t="s">
        <v>1135</v>
      </c>
      <c r="N99" s="1470"/>
      <c r="O99" s="1471"/>
      <c r="P99" s="1189">
        <f ca="1">K99/AH98</f>
        <v>0.32234817724314591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7.2</v>
      </c>
      <c r="AH99" s="1226">
        <f>AVERAGE(AH9:AH97)</f>
        <v>2712.8070175438597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7.8809532290813236E-2</v>
      </c>
      <c r="D100" s="2252" t="s">
        <v>879</v>
      </c>
      <c r="E100" s="2246"/>
      <c r="F100" s="1180">
        <f ca="1">F102/$AH$98</f>
        <v>3.4287037366864954E-2</v>
      </c>
      <c r="G100" s="2252" t="s">
        <v>881</v>
      </c>
      <c r="H100" s="2246"/>
      <c r="I100" s="1180">
        <f ca="1">I102/$AH$98</f>
        <v>0</v>
      </c>
      <c r="J100" s="1181" t="s">
        <v>898</v>
      </c>
      <c r="K100" s="1180">
        <f ca="1">K102/$AH$98</f>
        <v>0</v>
      </c>
      <c r="L100" s="1181" t="s">
        <v>883</v>
      </c>
      <c r="M100" s="1180">
        <f ca="1">M102/$AH$98</f>
        <v>7.7797171659601781E-3</v>
      </c>
      <c r="N100" s="1181" t="s">
        <v>908</v>
      </c>
      <c r="O100" s="1180">
        <f ca="1">O102/$AH$98</f>
        <v>3.5621415595055747E-3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3.56570370106508E-3</v>
      </c>
      <c r="W100" s="2252" t="s">
        <v>912</v>
      </c>
      <c r="X100" s="2246"/>
      <c r="Y100" s="1180">
        <f ca="1">Y102/$AH$98</f>
        <v>2.8497132476044598E-3</v>
      </c>
      <c r="Z100" s="2252" t="s">
        <v>889</v>
      </c>
      <c r="AA100" s="2246"/>
      <c r="AB100" s="1180">
        <f ca="1">AB102/$AH$98</f>
        <v>2.7478003775870057E-2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6.6408292665550528</v>
      </c>
      <c r="C101" s="1183">
        <f ca="1">C100/$F$99</f>
        <v>0.3455810967080809</v>
      </c>
      <c r="D101" s="1184"/>
      <c r="E101" s="1185"/>
      <c r="F101" s="1183">
        <f ca="1">F100/$F$99</f>
        <v>0.15034922339582726</v>
      </c>
      <c r="G101" s="1184"/>
      <c r="H101" s="1185"/>
      <c r="I101" s="1183">
        <f ca="1">I100/$F$99</f>
        <v>0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3.4114187867152208E-2</v>
      </c>
      <c r="N101" s="1184"/>
      <c r="O101" s="1183">
        <f ca="1">O100/$F$99</f>
        <v>1.5620049389721702E-2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1.5635669439111422E-2</v>
      </c>
      <c r="W101" s="1184"/>
      <c r="X101" s="1185"/>
      <c r="Y101" s="1183">
        <f ca="1">Y100/$F$99</f>
        <v>1.2496039511777362E-2</v>
      </c>
      <c r="Z101" s="1184"/>
      <c r="AA101" s="1185"/>
      <c r="AB101" s="1183">
        <f ca="1">AB100/$F$99</f>
        <v>0.12049149898737425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1864.28</v>
      </c>
      <c r="C102" s="1197">
        <f ca="1">SUMIFS($C$9:$C$97,$A$9:$A$97,"&gt;="&amp;$C99,$A$9:$A$97,"&lt;="&amp;$D99)</f>
        <v>2212.42</v>
      </c>
      <c r="D102" s="2251" t="s">
        <v>880</v>
      </c>
      <c r="E102" s="2250"/>
      <c r="F102" s="1197">
        <f ca="1">SUMIFS($F$9:$F$97,$D$9:$D$97,"&gt;="&amp;$C99,$D$9:$D$97,"&lt;="&amp;$D99)</f>
        <v>962.54</v>
      </c>
      <c r="G102" s="2251" t="s">
        <v>882</v>
      </c>
      <c r="H102" s="2250"/>
      <c r="I102" s="1197">
        <f ca="1">SUMIFS($I$9:$I$97,$G$9:$G$97,"&gt;="&amp;$C99,$G$9:$G$97,"&lt;="&amp;$D99)</f>
        <v>0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100.1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771.3900000000001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-4.8022345941879652E-4</v>
      </c>
      <c r="D103" s="1205" t="s">
        <v>897</v>
      </c>
      <c r="E103" s="1195"/>
      <c r="F103" s="1206">
        <f ca="1">F100-F6</f>
        <v>1.5354914713110058E-2</v>
      </c>
      <c r="G103" s="1204" t="s">
        <v>897</v>
      </c>
      <c r="H103" s="1195"/>
      <c r="I103" s="1203">
        <f ca="1">I100-I6</f>
        <v>-1.5151807869014772E-3</v>
      </c>
      <c r="J103" s="1205" t="s">
        <v>897</v>
      </c>
      <c r="K103" s="1206">
        <f ca="1">K100-K6</f>
        <v>-3.9242439793041409E-5</v>
      </c>
      <c r="L103" s="1204" t="s">
        <v>897</v>
      </c>
      <c r="M103" s="1203">
        <f ca="1">M100-M6</f>
        <v>3.8487114124147797E-3</v>
      </c>
      <c r="N103" s="1205" t="s">
        <v>897</v>
      </c>
      <c r="O103" s="1206">
        <f ca="1">O100-O6</f>
        <v>2.354681873565839E-3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1.3781489880480618E-3</v>
      </c>
      <c r="W103" s="1205" t="s">
        <v>897</v>
      </c>
      <c r="X103" s="1195"/>
      <c r="Y103" s="1206">
        <f ca="1">Y100-Y6</f>
        <v>1.8837454988526712E-3</v>
      </c>
      <c r="Z103" s="1205" t="s">
        <v>897</v>
      </c>
      <c r="AA103" s="1195"/>
      <c r="AB103" s="1206">
        <f ca="1">AB100-AB6</f>
        <v>1.5534778530302941E-2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3.3893420724539595E-2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0.14862320793826303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951.49000000000012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x14ac:dyDescent="0.25">
      <c r="A108" s="478">
        <v>43217</v>
      </c>
      <c r="B108" s="6" t="s">
        <v>263</v>
      </c>
      <c r="C108" s="6"/>
      <c r="D108" s="537" t="s">
        <v>331</v>
      </c>
      <c r="E108" s="596">
        <v>92318</v>
      </c>
      <c r="F108" s="751">
        <v>39.119999999999997</v>
      </c>
      <c r="G108" s="6" t="s">
        <v>332</v>
      </c>
      <c r="I108" s="52"/>
      <c r="J108" s="1217"/>
      <c r="K108" s="1122"/>
      <c r="L108" s="5"/>
      <c r="M108" s="61"/>
      <c r="N108" s="6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</row>
    <row r="109" spans="1:38" x14ac:dyDescent="0.25">
      <c r="A109" s="478">
        <v>43382</v>
      </c>
      <c r="B109" s="6" t="s">
        <v>376</v>
      </c>
      <c r="C109" s="6"/>
      <c r="D109" s="537" t="s">
        <v>472</v>
      </c>
      <c r="E109" s="596">
        <v>111986</v>
      </c>
      <c r="F109" s="751">
        <v>95.39</v>
      </c>
      <c r="G109" s="6" t="s">
        <v>428</v>
      </c>
      <c r="I109" s="52"/>
      <c r="J109" s="1217"/>
      <c r="K109" s="1"/>
      <c r="L109" s="5"/>
      <c r="M109" s="61"/>
      <c r="N109" s="6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  <c r="AK109" s="1"/>
    </row>
    <row r="110" spans="1:38" s="7" customFormat="1" x14ac:dyDescent="0.25">
      <c r="A110" s="799">
        <v>43504</v>
      </c>
      <c r="B110" s="750" t="s">
        <v>376</v>
      </c>
      <c r="C110" s="750"/>
      <c r="D110" s="750" t="s">
        <v>554</v>
      </c>
      <c r="E110" s="776">
        <v>121129</v>
      </c>
      <c r="F110" s="918">
        <v>350.03</v>
      </c>
      <c r="G110" s="750" t="s">
        <v>378</v>
      </c>
      <c r="I110" s="800"/>
      <c r="J110" s="918"/>
      <c r="L110" s="776"/>
      <c r="M110" s="909"/>
      <c r="N110" s="909"/>
    </row>
    <row r="111" spans="1:38" s="600" customFormat="1" x14ac:dyDescent="0.25">
      <c r="A111" s="827">
        <v>43551</v>
      </c>
      <c r="B111" s="537" t="s">
        <v>385</v>
      </c>
      <c r="C111" s="537"/>
      <c r="D111" s="537" t="s">
        <v>487</v>
      </c>
      <c r="E111" s="596" t="s">
        <v>585</v>
      </c>
      <c r="F111" s="751">
        <v>528.97</v>
      </c>
      <c r="G111" s="537" t="s">
        <v>560</v>
      </c>
      <c r="I111" s="828"/>
      <c r="J111" s="751"/>
      <c r="L111" s="596"/>
      <c r="M111" s="597"/>
      <c r="N111" s="597"/>
    </row>
    <row r="112" spans="1:38" s="7" customFormat="1" x14ac:dyDescent="0.25">
      <c r="A112" s="799">
        <v>43551</v>
      </c>
      <c r="B112" s="750" t="s">
        <v>385</v>
      </c>
      <c r="C112" s="750"/>
      <c r="D112" s="750" t="s">
        <v>613</v>
      </c>
      <c r="E112" s="776">
        <v>125419</v>
      </c>
      <c r="F112" s="918">
        <v>41.95</v>
      </c>
      <c r="G112" s="750" t="s">
        <v>614</v>
      </c>
      <c r="I112" s="800"/>
      <c r="J112" s="918"/>
      <c r="L112" s="776"/>
      <c r="M112" s="909"/>
      <c r="N112" s="909"/>
    </row>
    <row r="113" spans="1:14" s="600" customFormat="1" x14ac:dyDescent="0.25">
      <c r="A113" s="827">
        <v>43699</v>
      </c>
      <c r="B113" s="537" t="s">
        <v>376</v>
      </c>
      <c r="C113" s="537"/>
      <c r="D113" s="537" t="s">
        <v>684</v>
      </c>
      <c r="E113" s="596">
        <v>140135</v>
      </c>
      <c r="F113" s="751">
        <v>60.36</v>
      </c>
      <c r="G113" s="537" t="s">
        <v>685</v>
      </c>
      <c r="I113" s="828"/>
      <c r="J113" s="751"/>
      <c r="L113" s="596"/>
      <c r="M113" s="597"/>
      <c r="N113" s="597"/>
    </row>
    <row r="114" spans="1:14" s="7" customFormat="1" x14ac:dyDescent="0.25">
      <c r="A114" s="799">
        <v>43811</v>
      </c>
      <c r="B114" s="750" t="s">
        <v>744</v>
      </c>
      <c r="C114" s="750"/>
      <c r="D114" s="750" t="s">
        <v>745</v>
      </c>
      <c r="E114" s="776">
        <v>150000</v>
      </c>
      <c r="F114" s="918">
        <v>49.5</v>
      </c>
      <c r="G114" s="750" t="s">
        <v>725</v>
      </c>
      <c r="I114" s="800"/>
      <c r="J114" s="918"/>
      <c r="L114" s="776"/>
      <c r="M114" s="909"/>
      <c r="N114" s="909"/>
    </row>
    <row r="115" spans="1:14" s="600" customFormat="1" x14ac:dyDescent="0.25">
      <c r="A115" s="827">
        <v>43814</v>
      </c>
      <c r="B115" s="537" t="s">
        <v>737</v>
      </c>
      <c r="C115" s="537"/>
      <c r="D115" s="537" t="s">
        <v>738</v>
      </c>
      <c r="E115" s="596">
        <v>153000</v>
      </c>
      <c r="F115" s="751">
        <v>366</v>
      </c>
      <c r="G115" s="537" t="s">
        <v>739</v>
      </c>
      <c r="I115" s="828"/>
      <c r="J115" s="751"/>
      <c r="L115" s="596"/>
      <c r="M115" s="597"/>
      <c r="N115" s="597"/>
    </row>
    <row r="116" spans="1:14" s="600" customFormat="1" x14ac:dyDescent="0.25">
      <c r="A116" s="827">
        <v>43844</v>
      </c>
      <c r="B116" s="537" t="s">
        <v>376</v>
      </c>
      <c r="C116" s="537"/>
      <c r="D116" s="537" t="s">
        <v>759</v>
      </c>
      <c r="E116" s="596">
        <v>154334</v>
      </c>
      <c r="F116" s="751">
        <v>15.44</v>
      </c>
      <c r="G116" s="537" t="s">
        <v>761</v>
      </c>
      <c r="I116" s="828"/>
      <c r="J116" s="751"/>
      <c r="L116" s="596"/>
      <c r="M116" s="597"/>
      <c r="N116" s="597"/>
    </row>
    <row r="117" spans="1:14" s="600" customFormat="1" x14ac:dyDescent="0.25">
      <c r="A117" s="827">
        <v>43791</v>
      </c>
      <c r="B117" s="537" t="s">
        <v>376</v>
      </c>
      <c r="C117" s="537"/>
      <c r="D117" s="537" t="s">
        <v>818</v>
      </c>
      <c r="E117" s="596">
        <v>150977</v>
      </c>
      <c r="F117" s="751">
        <v>617.44000000000005</v>
      </c>
      <c r="G117" s="537" t="s">
        <v>496</v>
      </c>
      <c r="I117" s="828"/>
      <c r="J117" s="751"/>
      <c r="L117" s="596"/>
      <c r="M117" s="597"/>
      <c r="N117" s="597"/>
    </row>
    <row r="118" spans="1:14" s="7" customFormat="1" x14ac:dyDescent="0.25">
      <c r="A118" s="799">
        <v>43887</v>
      </c>
      <c r="B118" s="750" t="s">
        <v>376</v>
      </c>
      <c r="C118" s="750"/>
      <c r="D118" s="750" t="s">
        <v>964</v>
      </c>
      <c r="E118" s="776">
        <v>160275</v>
      </c>
      <c r="F118" s="918">
        <v>152.91999999999999</v>
      </c>
      <c r="G118" s="750" t="s">
        <v>965</v>
      </c>
      <c r="I118" s="800">
        <v>314200352</v>
      </c>
      <c r="J118" s="918"/>
      <c r="L118" s="776"/>
      <c r="M118" s="909"/>
      <c r="N118" s="909"/>
    </row>
    <row r="119" spans="1:14" s="600" customFormat="1" x14ac:dyDescent="0.25">
      <c r="A119" s="827">
        <v>44582</v>
      </c>
      <c r="B119" s="537" t="s">
        <v>376</v>
      </c>
      <c r="C119" s="537"/>
      <c r="D119" s="537" t="s">
        <v>1536</v>
      </c>
      <c r="E119" s="596">
        <v>191618</v>
      </c>
      <c r="F119" s="751">
        <v>794.18</v>
      </c>
      <c r="G119" s="537" t="s">
        <v>496</v>
      </c>
      <c r="I119" s="828"/>
      <c r="J119" s="751"/>
      <c r="L119" s="596"/>
      <c r="M119" s="597"/>
      <c r="N119" s="597"/>
    </row>
    <row r="120" spans="1:14" x14ac:dyDescent="0.25">
      <c r="E120" s="57"/>
      <c r="I120" s="476"/>
    </row>
    <row r="121" spans="1:14" x14ac:dyDescent="0.25">
      <c r="E121" s="57"/>
      <c r="I121" s="476"/>
    </row>
  </sheetData>
  <sortState ref="G9:I53">
    <sortCondition ref="G9:G53"/>
  </sortState>
  <mergeCells count="44"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  <mergeCell ref="AC8:AD8"/>
    <mergeCell ref="D100:E100"/>
    <mergeCell ref="G100:H100"/>
    <mergeCell ref="T100:U100"/>
    <mergeCell ref="W100:X100"/>
    <mergeCell ref="Z100:AA100"/>
    <mergeCell ref="K99:L99"/>
    <mergeCell ref="T5:AD5"/>
    <mergeCell ref="D6:E6"/>
    <mergeCell ref="G6:H6"/>
    <mergeCell ref="T6:U6"/>
    <mergeCell ref="W6:X6"/>
    <mergeCell ref="Z6:AA6"/>
    <mergeCell ref="H1:I1"/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</mergeCells>
  <conditionalFormatting sqref="AM9:AM44 AM97:AM98">
    <cfRule type="cellIs" dxfId="230" priority="3" operator="greaterThan">
      <formula>0</formula>
    </cfRule>
    <cfRule type="cellIs" dxfId="229" priority="4" operator="lessThan">
      <formula>0</formula>
    </cfRule>
  </conditionalFormatting>
  <conditionalFormatting sqref="AF9:AF96">
    <cfRule type="cellIs" dxfId="228" priority="5" operator="lessThan">
      <formula>$AF$98</formula>
    </cfRule>
    <cfRule type="cellIs" dxfId="227" priority="6" operator="greaterThan">
      <formula>$AF$98</formula>
    </cfRule>
  </conditionalFormatting>
  <conditionalFormatting sqref="AG9:AG96">
    <cfRule type="cellIs" dxfId="226" priority="7" operator="equal">
      <formula>$AG$99</formula>
    </cfRule>
    <cfRule type="cellIs" dxfId="225" priority="8" operator="lessThan">
      <formula>$AG$98</formula>
    </cfRule>
    <cfRule type="cellIs" dxfId="224" priority="9" operator="greaterThan">
      <formula>$AG$98</formula>
    </cfRule>
  </conditionalFormatting>
  <conditionalFormatting sqref="AM45:AM96">
    <cfRule type="cellIs" dxfId="223" priority="1" operator="greaterThan">
      <formula>0</formula>
    </cfRule>
    <cfRule type="cellIs" dxfId="222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>
    <tabColor rgb="FF92D050"/>
  </sheetPr>
  <dimension ref="A1:AM128"/>
  <sheetViews>
    <sheetView workbookViewId="0">
      <pane xSplit="1" ySplit="8" topLeftCell="M62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6.5" style="51" customWidth="1"/>
    <col min="25" max="25" width="10.375" style="51" customWidth="1"/>
    <col min="26" max="26" width="9.125" style="478" customWidth="1"/>
    <col min="27" max="27" width="23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20</v>
      </c>
      <c r="B1" s="1569" t="s">
        <v>21</v>
      </c>
      <c r="C1" s="1569"/>
      <c r="D1" s="1569"/>
      <c r="E1" s="1569"/>
      <c r="F1" s="1569"/>
      <c r="G1" s="1569"/>
      <c r="H1" s="2243" t="s">
        <v>1163</v>
      </c>
      <c r="I1" s="2244"/>
      <c r="J1" s="1572">
        <v>264993</v>
      </c>
      <c r="K1" s="1573">
        <f>J1-B4</f>
        <v>91592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40959</v>
      </c>
      <c r="C2" s="1251">
        <v>40959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20000</v>
      </c>
      <c r="C3" s="2264"/>
      <c r="D3" s="1360" t="s">
        <v>874</v>
      </c>
      <c r="E3" s="1169"/>
      <c r="F3" s="1175">
        <f ca="1">B3/G2/12</f>
        <v>120.40150316455697</v>
      </c>
      <c r="G3" s="2267" t="s">
        <v>875</v>
      </c>
      <c r="H3" s="2267"/>
      <c r="I3" s="1359">
        <f ca="1">F3/(F4/((TODAY()-C2)/365.25*12))</f>
        <v>5.4099249629171009E-2</v>
      </c>
      <c r="J3" s="1171">
        <f ca="1">I3/$F$5</f>
        <v>0.21951807618290059</v>
      </c>
      <c r="K3" s="1375">
        <f ca="1">(B3/G2/365.25)/(F4/(TODAY()-C2))</f>
        <v>5.4099249629171002E-2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2.2176712592941784E-2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173401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266739</v>
      </c>
      <c r="G4" s="1172" t="s">
        <v>876</v>
      </c>
      <c r="H4" s="1376"/>
      <c r="I4" s="1377">
        <f>F4-B4</f>
        <v>93338</v>
      </c>
      <c r="J4" s="1378">
        <f ca="1">I3/F99</f>
        <v>7.9688462028498067E-2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8.9986262616084334E-2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0.24644553455404727</v>
      </c>
      <c r="G5" s="1211">
        <f ca="1">J3+C7+F7+I7+K7+M7+O7+Q7+S7+V7+Y7+AB7+AE7</f>
        <v>1.0000000000000002</v>
      </c>
      <c r="H5" s="1380">
        <f>B3+C8+F8+I8+K8+M8+O8+Q8+S8+AE5</f>
        <v>37821.168000000005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2069.9300000000003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7.5629749323084985E-2</v>
      </c>
      <c r="D6" s="2252" t="s">
        <v>879</v>
      </c>
      <c r="E6" s="2246"/>
      <c r="F6" s="1180">
        <f>F8/$I$4</f>
        <v>8.3996121622490288E-2</v>
      </c>
      <c r="G6" s="2252" t="s">
        <v>881</v>
      </c>
      <c r="H6" s="2254"/>
      <c r="I6" s="1379">
        <f>I8/$I$4</f>
        <v>9.9423600248558998E-4</v>
      </c>
      <c r="J6" s="1184" t="s">
        <v>898</v>
      </c>
      <c r="K6" s="1180">
        <f>K8/$I$4</f>
        <v>3.9649446099123613E-4</v>
      </c>
      <c r="L6" s="1181" t="s">
        <v>883</v>
      </c>
      <c r="M6" s="1180">
        <f>M8/$I$4</f>
        <v>7.0102209175255427E-3</v>
      </c>
      <c r="N6" s="1181" t="s">
        <v>908</v>
      </c>
      <c r="O6" s="1180">
        <f>O8/$I$4</f>
        <v>2.1427500053568752E-3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3.8820201847050489E-3</v>
      </c>
      <c r="W6" s="2252" t="s">
        <v>912</v>
      </c>
      <c r="X6" s="2246"/>
      <c r="Y6" s="1180">
        <f>Y8/$I$4</f>
        <v>1.7142000042855E-3</v>
      </c>
      <c r="Z6" s="2255" t="s">
        <v>1152</v>
      </c>
      <c r="AA6" s="2256"/>
      <c r="AB6" s="1180">
        <f>AB8/$I$4</f>
        <v>1.6580492403951236E-2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6.4357585815355058</v>
      </c>
      <c r="C7" s="1183">
        <f ca="1">C6/$F$5</f>
        <v>0.30688220608232947</v>
      </c>
      <c r="D7" s="1184"/>
      <c r="E7" s="1185"/>
      <c r="F7" s="1183">
        <f ca="1">F6/$F$5</f>
        <v>0.34083036551863077</v>
      </c>
      <c r="G7" s="1184"/>
      <c r="H7" s="1185"/>
      <c r="I7" s="1183">
        <f ca="1">I6/$F$5</f>
        <v>4.0343031748767471E-3</v>
      </c>
      <c r="J7" s="1243">
        <f>COUNT(J9:J97)</f>
        <v>6</v>
      </c>
      <c r="K7" s="1183">
        <f ca="1">K6/$F$5</f>
        <v>1.6088522833603302E-3</v>
      </c>
      <c r="L7" s="1184"/>
      <c r="M7" s="1183">
        <f ca="1">M6/$F$5</f>
        <v>2.8445315230445578E-2</v>
      </c>
      <c r="N7" s="1184"/>
      <c r="O7" s="1183">
        <f ca="1">O6/$F$5</f>
        <v>8.6946189113723E-3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1.5752041081733191E-2</v>
      </c>
      <c r="W7" s="1184"/>
      <c r="X7" s="1185"/>
      <c r="Y7" s="1183">
        <f ca="1">Y6/$F$5</f>
        <v>6.9556951290978396E-3</v>
      </c>
      <c r="Z7" s="1184"/>
      <c r="AA7" s="1185"/>
      <c r="AB7" s="1183">
        <f ca="1">AB6/$F$5</f>
        <v>6.7278526405253308E-2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5894.64</v>
      </c>
      <c r="C8" s="1156">
        <f>SUM(C9:C97)</f>
        <v>6927.08</v>
      </c>
      <c r="D8" s="2251" t="s">
        <v>880</v>
      </c>
      <c r="E8" s="2250"/>
      <c r="F8" s="1158">
        <f>SUM(F9:F97)</f>
        <v>7840.0299999999979</v>
      </c>
      <c r="G8" s="2251" t="s">
        <v>882</v>
      </c>
      <c r="H8" s="2250"/>
      <c r="I8" s="1158">
        <f>SUM(I9:I97)</f>
        <v>92.8</v>
      </c>
      <c r="J8" s="1157" t="s">
        <v>899</v>
      </c>
      <c r="K8" s="1158">
        <f>SUM(K9:K97)</f>
        <v>37.007999999999996</v>
      </c>
      <c r="L8" s="1157" t="s">
        <v>884</v>
      </c>
      <c r="M8" s="1158">
        <f>SUM(M9:M97)</f>
        <v>654.31999999999914</v>
      </c>
      <c r="N8" s="1157" t="s">
        <v>909</v>
      </c>
      <c r="O8" s="1158">
        <f>SUM(O9:O97)</f>
        <v>200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362.33999999999986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1547.5900000000006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-14.08</v>
      </c>
      <c r="AK8" s="833">
        <f>SUM(AK9:AK97)</f>
        <v>0</v>
      </c>
      <c r="AL8" s="54">
        <f>SUM(C9:C97)/SUM(B9:B97)</f>
        <v>1.1751489488755886</v>
      </c>
    </row>
    <row r="9" spans="1:39" x14ac:dyDescent="0.25">
      <c r="A9" s="64">
        <v>42643</v>
      </c>
      <c r="B9" s="65">
        <v>220.96</v>
      </c>
      <c r="C9" s="66">
        <v>250.84</v>
      </c>
      <c r="D9" s="67">
        <v>42489</v>
      </c>
      <c r="E9" s="68" t="s">
        <v>156</v>
      </c>
      <c r="F9" s="66">
        <v>619.70000000000005</v>
      </c>
      <c r="G9" s="1355">
        <v>42716</v>
      </c>
      <c r="H9" s="1356" t="s">
        <v>99</v>
      </c>
      <c r="I9" s="1357">
        <v>21.82</v>
      </c>
      <c r="J9" s="69">
        <v>43343</v>
      </c>
      <c r="K9" s="66">
        <v>5.4959999999999996</v>
      </c>
      <c r="L9" s="64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20.2</v>
      </c>
      <c r="W9" s="1152"/>
      <c r="X9" s="1198"/>
      <c r="Y9" s="66"/>
      <c r="Z9" s="1152">
        <v>42684</v>
      </c>
      <c r="AA9" s="1198" t="s">
        <v>95</v>
      </c>
      <c r="AB9" s="66">
        <v>64.31</v>
      </c>
      <c r="AC9" s="1152"/>
      <c r="AD9" s="1198"/>
      <c r="AE9" s="66"/>
      <c r="AF9" s="1118">
        <v>0.09</v>
      </c>
      <c r="AG9" s="1119">
        <v>7.2</v>
      </c>
      <c r="AH9" s="1117"/>
      <c r="AI9" s="237"/>
      <c r="AJ9" s="838"/>
      <c r="AK9" s="839"/>
      <c r="AL9" s="51">
        <f t="shared" ref="AL9:AL72" si="0">C9/B9</f>
        <v>1.1352280955829108</v>
      </c>
      <c r="AM9" s="51">
        <f t="shared" ref="AM9:AM72" si="1">AL9-$AL$8</f>
        <v>-3.9920853292677805E-2</v>
      </c>
    </row>
    <row r="10" spans="1:39" x14ac:dyDescent="0.25">
      <c r="A10" s="71">
        <v>42674</v>
      </c>
      <c r="B10" s="72">
        <v>263.83</v>
      </c>
      <c r="C10" s="73">
        <v>291.85000000000002</v>
      </c>
      <c r="D10" s="345">
        <v>42509</v>
      </c>
      <c r="E10" s="346" t="s">
        <v>154</v>
      </c>
      <c r="F10" s="347">
        <v>263.10000000000002</v>
      </c>
      <c r="G10" s="1162"/>
      <c r="H10" s="75"/>
      <c r="I10" s="73"/>
      <c r="J10" s="234">
        <v>43585</v>
      </c>
      <c r="K10" s="73">
        <v>5.4959999999999996</v>
      </c>
      <c r="L10" s="71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0.08</v>
      </c>
      <c r="AG10" s="1113">
        <v>6.42</v>
      </c>
      <c r="AH10" s="1110"/>
      <c r="AI10" s="238"/>
      <c r="AJ10" s="838">
        <v>-14.08</v>
      </c>
      <c r="AK10" s="839"/>
      <c r="AL10" s="51">
        <f t="shared" si="0"/>
        <v>1.1062047530606831</v>
      </c>
      <c r="AM10" s="51">
        <f t="shared" si="1"/>
        <v>-6.8944195814905518E-2</v>
      </c>
    </row>
    <row r="11" spans="1:39" x14ac:dyDescent="0.25">
      <c r="A11" s="71">
        <v>42704</v>
      </c>
      <c r="B11" s="72">
        <v>161.88999999999999</v>
      </c>
      <c r="C11" s="73">
        <v>176.73</v>
      </c>
      <c r="D11" s="345">
        <v>42654</v>
      </c>
      <c r="E11" s="346" t="s">
        <v>155</v>
      </c>
      <c r="F11" s="347">
        <v>25.07</v>
      </c>
      <c r="G11" s="147"/>
      <c r="H11" s="75"/>
      <c r="I11" s="73"/>
      <c r="J11" s="234">
        <v>43677</v>
      </c>
      <c r="K11" s="73">
        <v>6.5039999999999996</v>
      </c>
      <c r="L11" s="71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0.08</v>
      </c>
      <c r="AG11" s="1113">
        <v>6.39</v>
      </c>
      <c r="AH11" s="1110"/>
      <c r="AI11" s="238"/>
      <c r="AJ11" s="838"/>
      <c r="AK11" s="839"/>
      <c r="AL11" s="51">
        <f t="shared" si="0"/>
        <v>1.0916671814194825</v>
      </c>
      <c r="AM11" s="51">
        <f t="shared" si="1"/>
        <v>-8.3481767456106137E-2</v>
      </c>
    </row>
    <row r="12" spans="1:39" x14ac:dyDescent="0.25">
      <c r="A12" s="71">
        <v>42735</v>
      </c>
      <c r="B12" s="72">
        <v>118.9</v>
      </c>
      <c r="C12" s="73">
        <v>132.63999999999999</v>
      </c>
      <c r="D12" s="147"/>
      <c r="E12" s="75"/>
      <c r="F12" s="73"/>
      <c r="G12" s="147"/>
      <c r="H12" s="75"/>
      <c r="I12" s="73"/>
      <c r="J12" s="234">
        <v>43738</v>
      </c>
      <c r="K12" s="73">
        <v>6.5039999999999996</v>
      </c>
      <c r="L12" s="71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0.08</v>
      </c>
      <c r="AG12" s="1113">
        <v>6.4</v>
      </c>
      <c r="AH12" s="1110"/>
      <c r="AI12" s="238"/>
      <c r="AJ12" s="838"/>
      <c r="AK12" s="839"/>
      <c r="AL12" s="51">
        <f t="shared" si="0"/>
        <v>1.1155592935239695</v>
      </c>
      <c r="AM12" s="51">
        <f t="shared" si="1"/>
        <v>-5.9589655351619086E-2</v>
      </c>
    </row>
    <row r="13" spans="1:39" x14ac:dyDescent="0.25">
      <c r="A13" s="71">
        <v>42766</v>
      </c>
      <c r="B13" s="72">
        <v>178.59</v>
      </c>
      <c r="C13" s="73">
        <v>205.44</v>
      </c>
      <c r="D13" s="147">
        <v>42832</v>
      </c>
      <c r="E13" s="75" t="s">
        <v>157</v>
      </c>
      <c r="F13" s="73">
        <v>22.56</v>
      </c>
      <c r="G13" s="147"/>
      <c r="H13" s="75"/>
      <c r="I13" s="73"/>
      <c r="J13" s="234">
        <v>43799</v>
      </c>
      <c r="K13" s="73">
        <v>6.5039999999999996</v>
      </c>
      <c r="L13" s="71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20.2</v>
      </c>
      <c r="W13" s="894"/>
      <c r="X13" s="1199"/>
      <c r="Y13" s="73"/>
      <c r="Z13" s="147">
        <v>42736</v>
      </c>
      <c r="AA13" s="75"/>
      <c r="AB13" s="73">
        <v>64.31</v>
      </c>
      <c r="AC13" s="894"/>
      <c r="AD13" s="1199"/>
      <c r="AE13" s="73"/>
      <c r="AF13" s="1112">
        <v>0.08</v>
      </c>
      <c r="AG13" s="1113">
        <v>6.5</v>
      </c>
      <c r="AH13" s="1110">
        <v>2563</v>
      </c>
      <c r="AI13" s="238">
        <v>31.46</v>
      </c>
      <c r="AJ13" s="838"/>
      <c r="AK13" s="839"/>
      <c r="AL13" s="51">
        <f t="shared" si="0"/>
        <v>1.1503443641861246</v>
      </c>
      <c r="AM13" s="51">
        <f t="shared" si="1"/>
        <v>-2.4804584689464004E-2</v>
      </c>
    </row>
    <row r="14" spans="1:39" x14ac:dyDescent="0.25">
      <c r="A14" s="71">
        <v>42794</v>
      </c>
      <c r="B14" s="72">
        <v>140.46</v>
      </c>
      <c r="C14" s="73">
        <v>163.22999999999999</v>
      </c>
      <c r="D14" s="147">
        <v>42859</v>
      </c>
      <c r="E14" s="75" t="s">
        <v>158</v>
      </c>
      <c r="F14" s="73">
        <v>539.20000000000005</v>
      </c>
      <c r="G14" s="147"/>
      <c r="H14" s="75"/>
      <c r="I14" s="73"/>
      <c r="J14" s="234">
        <v>43847</v>
      </c>
      <c r="K14" s="1674">
        <v>6.5039999999999996</v>
      </c>
      <c r="L14" s="71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20.2</v>
      </c>
      <c r="W14" s="894"/>
      <c r="X14" s="1199"/>
      <c r="Y14" s="73"/>
      <c r="Z14" s="894">
        <v>42809</v>
      </c>
      <c r="AA14" s="1199"/>
      <c r="AB14" s="73">
        <v>64.31</v>
      </c>
      <c r="AC14" s="894"/>
      <c r="AD14" s="1199"/>
      <c r="AE14" s="73"/>
      <c r="AF14" s="1112">
        <v>0.08</v>
      </c>
      <c r="AG14" s="1113">
        <v>6.55</v>
      </c>
      <c r="AH14" s="1110">
        <v>2067</v>
      </c>
      <c r="AI14" s="238">
        <v>1</v>
      </c>
      <c r="AJ14" s="838"/>
      <c r="AK14" s="839"/>
      <c r="AL14" s="51">
        <f t="shared" si="0"/>
        <v>1.1621102093122595</v>
      </c>
      <c r="AM14" s="51">
        <f t="shared" si="1"/>
        <v>-1.3038739563329127E-2</v>
      </c>
    </row>
    <row r="15" spans="1:39" x14ac:dyDescent="0.25">
      <c r="A15" s="71">
        <v>42825</v>
      </c>
      <c r="B15" s="72">
        <v>296.49</v>
      </c>
      <c r="C15" s="73">
        <v>343.74</v>
      </c>
      <c r="D15" s="147"/>
      <c r="E15" s="75"/>
      <c r="F15" s="73"/>
      <c r="G15" s="1162"/>
      <c r="H15" s="75"/>
      <c r="I15" s="73"/>
      <c r="J15" s="234"/>
      <c r="K15" s="73"/>
      <c r="L15" s="71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20.2</v>
      </c>
      <c r="W15" s="894"/>
      <c r="X15" s="1199"/>
      <c r="Y15" s="73"/>
      <c r="Z15" s="147">
        <v>42901</v>
      </c>
      <c r="AA15" s="75"/>
      <c r="AB15" s="73">
        <v>64.31</v>
      </c>
      <c r="AC15" s="894"/>
      <c r="AD15" s="1199"/>
      <c r="AE15" s="73"/>
      <c r="AF15" s="1112">
        <v>0.08</v>
      </c>
      <c r="AG15" s="1113">
        <v>6.61</v>
      </c>
      <c r="AH15" s="1110">
        <v>4295</v>
      </c>
      <c r="AI15" s="238">
        <v>50.1</v>
      </c>
      <c r="AJ15" s="838"/>
      <c r="AK15" s="839"/>
      <c r="AL15" s="51">
        <f t="shared" si="0"/>
        <v>1.1593645654153597</v>
      </c>
      <c r="AM15" s="51">
        <f t="shared" si="1"/>
        <v>-1.5784383460228923E-2</v>
      </c>
    </row>
    <row r="16" spans="1:39" x14ac:dyDescent="0.25">
      <c r="A16" s="71">
        <v>42855</v>
      </c>
      <c r="B16" s="72">
        <v>188.48</v>
      </c>
      <c r="C16" s="73">
        <v>217.98</v>
      </c>
      <c r="D16" s="147"/>
      <c r="E16" s="75"/>
      <c r="F16" s="73"/>
      <c r="G16" s="1162"/>
      <c r="H16" s="75"/>
      <c r="I16" s="73"/>
      <c r="J16" s="836"/>
      <c r="K16" s="835"/>
      <c r="L16" s="83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20.2</v>
      </c>
      <c r="W16" s="1153"/>
      <c r="X16" s="1200"/>
      <c r="Y16" s="835"/>
      <c r="Z16" s="894">
        <v>43008</v>
      </c>
      <c r="AA16" s="1199"/>
      <c r="AB16" s="73">
        <v>64.31</v>
      </c>
      <c r="AC16" s="1153"/>
      <c r="AD16" s="1200"/>
      <c r="AE16" s="835"/>
      <c r="AF16" s="1112">
        <v>0.08</v>
      </c>
      <c r="AG16" s="1113">
        <v>6.65</v>
      </c>
      <c r="AH16" s="1110">
        <v>2697</v>
      </c>
      <c r="AI16" s="238">
        <v>40.22</v>
      </c>
      <c r="AJ16" s="838"/>
      <c r="AK16" s="839"/>
      <c r="AL16" s="51">
        <f t="shared" si="0"/>
        <v>1.1565152801358234</v>
      </c>
      <c r="AM16" s="51">
        <f t="shared" si="1"/>
        <v>-1.8633668739765241E-2</v>
      </c>
    </row>
    <row r="17" spans="1:39" x14ac:dyDescent="0.25">
      <c r="A17" s="71">
        <v>42886</v>
      </c>
      <c r="B17" s="72">
        <v>189.14</v>
      </c>
      <c r="C17" s="73">
        <v>211.97</v>
      </c>
      <c r="D17" s="147"/>
      <c r="E17" s="75"/>
      <c r="F17" s="73"/>
      <c r="G17" s="147"/>
      <c r="H17" s="75"/>
      <c r="I17" s="73"/>
      <c r="J17" s="234"/>
      <c r="K17" s="73"/>
      <c r="L17" s="71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0.08</v>
      </c>
      <c r="AG17" s="1113">
        <v>6.68</v>
      </c>
      <c r="AH17" s="1110">
        <v>2485</v>
      </c>
      <c r="AI17" s="238">
        <v>42.62</v>
      </c>
      <c r="AJ17" s="838"/>
      <c r="AK17" s="839"/>
      <c r="AL17" s="51">
        <f t="shared" si="0"/>
        <v>1.1207042402453209</v>
      </c>
      <c r="AM17" s="51">
        <f t="shared" si="1"/>
        <v>-5.4444708630267735E-2</v>
      </c>
    </row>
    <row r="18" spans="1:39" x14ac:dyDescent="0.25">
      <c r="A18" s="71">
        <v>42916</v>
      </c>
      <c r="B18" s="72">
        <v>264.7</v>
      </c>
      <c r="C18" s="73">
        <v>285.27999999999997</v>
      </c>
      <c r="D18" s="147"/>
      <c r="E18" s="75"/>
      <c r="F18" s="73"/>
      <c r="G18" s="147"/>
      <c r="H18" s="75"/>
      <c r="I18" s="73"/>
      <c r="J18" s="431"/>
      <c r="K18" s="347"/>
      <c r="L18" s="1160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0.13</v>
      </c>
      <c r="AG18" s="1113">
        <v>6.72</v>
      </c>
      <c r="AH18" s="1110">
        <v>3808</v>
      </c>
      <c r="AI18" s="238">
        <v>40.880000000000003</v>
      </c>
      <c r="AJ18" s="838"/>
      <c r="AK18" s="839"/>
      <c r="AL18" s="51">
        <f t="shared" si="0"/>
        <v>1.0777483944087647</v>
      </c>
      <c r="AM18" s="51">
        <f t="shared" si="1"/>
        <v>-9.7400554466823941E-2</v>
      </c>
    </row>
    <row r="19" spans="1:39" x14ac:dyDescent="0.25">
      <c r="A19" s="71">
        <v>42947</v>
      </c>
      <c r="B19" s="72">
        <v>17.670000000000002</v>
      </c>
      <c r="C19" s="73">
        <v>19.059999999999999</v>
      </c>
      <c r="D19" s="147"/>
      <c r="E19" s="75"/>
      <c r="F19" s="73"/>
      <c r="G19" s="147"/>
      <c r="H19" s="75"/>
      <c r="I19" s="73"/>
      <c r="J19" s="234"/>
      <c r="K19" s="73"/>
      <c r="L19" s="71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0.13</v>
      </c>
      <c r="AG19" s="1113">
        <v>6.72</v>
      </c>
      <c r="AH19" s="1110">
        <v>247</v>
      </c>
      <c r="AI19" s="238">
        <v>53.71</v>
      </c>
      <c r="AJ19" s="838"/>
      <c r="AK19" s="839"/>
      <c r="AL19" s="51">
        <f t="shared" si="0"/>
        <v>1.0786644029428407</v>
      </c>
      <c r="AM19" s="51">
        <f t="shared" si="1"/>
        <v>-9.6484545932747912E-2</v>
      </c>
    </row>
    <row r="20" spans="1:39" x14ac:dyDescent="0.25">
      <c r="A20" s="71">
        <v>42978</v>
      </c>
      <c r="B20" s="72">
        <v>83.91</v>
      </c>
      <c r="C20" s="73">
        <v>91.13</v>
      </c>
      <c r="D20" s="147"/>
      <c r="E20" s="75"/>
      <c r="F20" s="73"/>
      <c r="G20" s="147"/>
      <c r="H20" s="75"/>
      <c r="I20" s="73"/>
      <c r="J20" s="234"/>
      <c r="K20" s="73"/>
      <c r="L20" s="71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0.13</v>
      </c>
      <c r="AG20" s="1113">
        <v>6.72</v>
      </c>
      <c r="AH20" s="1110">
        <v>1223</v>
      </c>
      <c r="AI20" s="238">
        <v>55.25</v>
      </c>
      <c r="AJ20" s="838"/>
      <c r="AK20" s="839"/>
      <c r="AL20" s="51">
        <f t="shared" si="0"/>
        <v>1.0860445715647717</v>
      </c>
      <c r="AM20" s="51">
        <f t="shared" si="1"/>
        <v>-8.9104377310816885E-2</v>
      </c>
    </row>
    <row r="21" spans="1:39" x14ac:dyDescent="0.25">
      <c r="A21" s="71">
        <v>43008</v>
      </c>
      <c r="B21" s="72">
        <v>260.94</v>
      </c>
      <c r="C21" s="73">
        <v>289.58</v>
      </c>
      <c r="D21" s="147"/>
      <c r="E21" s="75"/>
      <c r="F21" s="73"/>
      <c r="G21" s="147"/>
      <c r="H21" s="75"/>
      <c r="I21" s="73"/>
      <c r="J21" s="234"/>
      <c r="K21" s="73"/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0.13</v>
      </c>
      <c r="AG21" s="1113">
        <v>6.75</v>
      </c>
      <c r="AH21" s="1110">
        <v>3764</v>
      </c>
      <c r="AI21" s="238">
        <v>46.06</v>
      </c>
      <c r="AJ21" s="838"/>
      <c r="AK21" s="839"/>
      <c r="AL21" s="51">
        <f t="shared" si="0"/>
        <v>1.1097570322679542</v>
      </c>
      <c r="AM21" s="51">
        <f t="shared" si="1"/>
        <v>-6.5391916607634437E-2</v>
      </c>
    </row>
    <row r="22" spans="1:39" x14ac:dyDescent="0.25">
      <c r="A22" s="71">
        <v>43039</v>
      </c>
      <c r="B22" s="72">
        <v>367.08</v>
      </c>
      <c r="C22" s="73">
        <v>417.66</v>
      </c>
      <c r="D22" s="147"/>
      <c r="E22" s="75"/>
      <c r="F22" s="73"/>
      <c r="G22" s="147"/>
      <c r="H22" s="75"/>
      <c r="I22" s="73"/>
      <c r="J22" s="234"/>
      <c r="K22" s="73"/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0.12</v>
      </c>
      <c r="AG22" s="1113">
        <v>6.77</v>
      </c>
      <c r="AH22" s="1110">
        <v>5315</v>
      </c>
      <c r="AI22" s="238">
        <v>54.48</v>
      </c>
      <c r="AJ22" s="838"/>
      <c r="AK22" s="839"/>
      <c r="AL22" s="51">
        <f t="shared" si="0"/>
        <v>1.1377901274926447</v>
      </c>
      <c r="AM22" s="51">
        <f t="shared" si="1"/>
        <v>-3.7358821382943885E-2</v>
      </c>
    </row>
    <row r="23" spans="1:39" x14ac:dyDescent="0.25">
      <c r="A23" s="71">
        <v>43069</v>
      </c>
      <c r="B23" s="72">
        <v>280.14999999999998</v>
      </c>
      <c r="C23" s="73">
        <v>329.12</v>
      </c>
      <c r="D23" s="147"/>
      <c r="E23" s="75"/>
      <c r="F23" s="73"/>
      <c r="G23" s="147"/>
      <c r="H23" s="75"/>
      <c r="I23" s="73"/>
      <c r="J23" s="431"/>
      <c r="K23" s="347"/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0.21</v>
      </c>
      <c r="AG23" s="1113">
        <v>6.78</v>
      </c>
      <c r="AH23" s="1110">
        <v>4062</v>
      </c>
      <c r="AI23" s="238">
        <v>36.83</v>
      </c>
      <c r="AJ23" s="838"/>
      <c r="AK23" s="839"/>
      <c r="AL23" s="51">
        <f t="shared" si="0"/>
        <v>1.1747992147064075</v>
      </c>
      <c r="AM23" s="51">
        <f t="shared" si="1"/>
        <v>-3.4973416918115952E-4</v>
      </c>
    </row>
    <row r="24" spans="1:39" x14ac:dyDescent="0.25">
      <c r="A24" s="71">
        <v>43100</v>
      </c>
      <c r="B24" s="72">
        <v>116.04</v>
      </c>
      <c r="C24" s="73">
        <v>138.94</v>
      </c>
      <c r="D24" s="147"/>
      <c r="E24" s="75"/>
      <c r="F24" s="73"/>
      <c r="G24" s="147"/>
      <c r="H24" s="75"/>
      <c r="I24" s="73"/>
      <c r="J24" s="234"/>
      <c r="K24" s="73"/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0.21</v>
      </c>
      <c r="AG24" s="1113">
        <v>6.78</v>
      </c>
      <c r="AH24" s="1110">
        <v>1671</v>
      </c>
      <c r="AI24" s="238">
        <v>51.99</v>
      </c>
      <c r="AJ24" s="838"/>
      <c r="AK24" s="839"/>
      <c r="AL24" s="51">
        <f t="shared" si="0"/>
        <v>1.197345742847294</v>
      </c>
      <c r="AM24" s="51">
        <f t="shared" si="1"/>
        <v>2.2196793971705375E-2</v>
      </c>
    </row>
    <row r="25" spans="1:39" x14ac:dyDescent="0.25">
      <c r="A25" s="71">
        <v>43131</v>
      </c>
      <c r="B25" s="72">
        <v>0</v>
      </c>
      <c r="C25" s="73">
        <v>0</v>
      </c>
      <c r="D25" s="528">
        <v>43193</v>
      </c>
      <c r="E25" s="516" t="s">
        <v>318</v>
      </c>
      <c r="F25" s="380">
        <v>928.63</v>
      </c>
      <c r="G25" s="345"/>
      <c r="H25" s="346"/>
      <c r="I25" s="347"/>
      <c r="J25" s="234"/>
      <c r="K25" s="73"/>
      <c r="L25" s="71"/>
      <c r="M25" s="73"/>
      <c r="N25" s="1153">
        <v>43125</v>
      </c>
      <c r="O25" s="835">
        <v>50</v>
      </c>
      <c r="P25" s="71"/>
      <c r="Q25" s="73"/>
      <c r="R25" s="71"/>
      <c r="S25" s="73"/>
      <c r="T25" s="894">
        <v>43101</v>
      </c>
      <c r="U25" s="1199" t="s">
        <v>953</v>
      </c>
      <c r="V25" s="73">
        <v>20.2</v>
      </c>
      <c r="W25" s="894">
        <v>43251</v>
      </c>
      <c r="X25" s="1199" t="s">
        <v>945</v>
      </c>
      <c r="Y25" s="73">
        <v>40</v>
      </c>
      <c r="Z25" s="894">
        <v>43101</v>
      </c>
      <c r="AA25" s="1199" t="s">
        <v>953</v>
      </c>
      <c r="AB25" s="73">
        <v>64.31</v>
      </c>
      <c r="AC25" s="894"/>
      <c r="AD25" s="1199"/>
      <c r="AE25" s="73"/>
      <c r="AF25" s="1112">
        <v>0.21</v>
      </c>
      <c r="AG25" s="1113">
        <v>6.78</v>
      </c>
      <c r="AH25" s="1110">
        <v>0</v>
      </c>
      <c r="AI25" s="238">
        <v>51.99</v>
      </c>
      <c r="AJ25" s="838"/>
      <c r="AK25" s="839"/>
      <c r="AL25" s="51" t="e">
        <f t="shared" si="0"/>
        <v>#DIV/0!</v>
      </c>
      <c r="AM25" s="51" t="e">
        <f t="shared" si="1"/>
        <v>#DIV/0!</v>
      </c>
    </row>
    <row r="26" spans="1:39" x14ac:dyDescent="0.25">
      <c r="A26" s="71">
        <v>43159</v>
      </c>
      <c r="B26" s="72">
        <v>47.06</v>
      </c>
      <c r="C26" s="73">
        <v>55.85</v>
      </c>
      <c r="D26" s="147">
        <v>43241</v>
      </c>
      <c r="E26" s="75" t="s">
        <v>374</v>
      </c>
      <c r="F26" s="73">
        <v>211.43</v>
      </c>
      <c r="G26" s="147"/>
      <c r="H26" s="75"/>
      <c r="I26" s="73"/>
      <c r="J26" s="234"/>
      <c r="K26" s="73"/>
      <c r="L26" s="71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20.2</v>
      </c>
      <c r="W26" s="894"/>
      <c r="X26" s="1199"/>
      <c r="Y26" s="73"/>
      <c r="Z26" s="894">
        <v>43191</v>
      </c>
      <c r="AA26" s="1199" t="s">
        <v>954</v>
      </c>
      <c r="AB26" s="73">
        <v>64.31</v>
      </c>
      <c r="AC26" s="894"/>
      <c r="AD26" s="1199"/>
      <c r="AE26" s="73"/>
      <c r="AF26" s="1112">
        <v>0.21</v>
      </c>
      <c r="AG26" s="1113">
        <v>6.79</v>
      </c>
      <c r="AH26" s="1110">
        <v>688</v>
      </c>
      <c r="AI26" s="238">
        <v>53.15</v>
      </c>
      <c r="AJ26" s="838"/>
      <c r="AK26" s="839"/>
      <c r="AL26" s="51">
        <f t="shared" si="0"/>
        <v>1.1867828304292392</v>
      </c>
      <c r="AM26" s="51">
        <f t="shared" si="1"/>
        <v>1.1633881553650527E-2</v>
      </c>
    </row>
    <row r="27" spans="1:39" x14ac:dyDescent="0.25">
      <c r="A27" s="71">
        <v>43190</v>
      </c>
      <c r="B27" s="72">
        <v>1.68</v>
      </c>
      <c r="C27" s="73">
        <v>1.99</v>
      </c>
      <c r="D27" s="147">
        <v>43160</v>
      </c>
      <c r="E27" s="75" t="s">
        <v>213</v>
      </c>
      <c r="F27" s="73">
        <v>80</v>
      </c>
      <c r="G27" s="147"/>
      <c r="H27" s="75"/>
      <c r="I27" s="73"/>
      <c r="J27" s="234"/>
      <c r="K27" s="73"/>
      <c r="L27" s="71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20.2</v>
      </c>
      <c r="W27" s="945"/>
      <c r="X27" s="1201"/>
      <c r="Y27" s="347"/>
      <c r="Z27" s="894">
        <v>43282</v>
      </c>
      <c r="AA27" s="1199" t="s">
        <v>955</v>
      </c>
      <c r="AB27" s="73">
        <v>64.31</v>
      </c>
      <c r="AC27" s="894"/>
      <c r="AD27" s="1199"/>
      <c r="AE27" s="73"/>
      <c r="AF27" s="1112">
        <v>0.18</v>
      </c>
      <c r="AG27" s="1113">
        <v>6.79</v>
      </c>
      <c r="AH27" s="1110">
        <v>21</v>
      </c>
      <c r="AI27" s="238">
        <v>51.47</v>
      </c>
      <c r="AJ27" s="838"/>
      <c r="AK27" s="839"/>
      <c r="AL27" s="51">
        <f t="shared" si="0"/>
        <v>1.1845238095238095</v>
      </c>
      <c r="AM27" s="51">
        <f t="shared" si="1"/>
        <v>9.3748606482209063E-3</v>
      </c>
    </row>
    <row r="28" spans="1:39" x14ac:dyDescent="0.25">
      <c r="A28" s="71">
        <v>43220</v>
      </c>
      <c r="B28" s="72">
        <v>40.700000000000003</v>
      </c>
      <c r="C28" s="73">
        <v>48.66</v>
      </c>
      <c r="D28" s="147"/>
      <c r="E28" s="75"/>
      <c r="F28" s="73"/>
      <c r="G28" s="147"/>
      <c r="H28" s="75"/>
      <c r="I28" s="73"/>
      <c r="J28" s="234"/>
      <c r="K28" s="73"/>
      <c r="L28" s="71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20.2</v>
      </c>
      <c r="W28" s="894"/>
      <c r="X28" s="1199"/>
      <c r="Y28" s="73"/>
      <c r="Z28" s="894">
        <v>43374</v>
      </c>
      <c r="AA28" s="1199" t="s">
        <v>956</v>
      </c>
      <c r="AB28" s="73">
        <v>64.31</v>
      </c>
      <c r="AC28" s="894"/>
      <c r="AD28" s="1199"/>
      <c r="AE28" s="73"/>
      <c r="AF28" s="1112">
        <v>0.18</v>
      </c>
      <c r="AG28" s="1113">
        <v>6.79</v>
      </c>
      <c r="AH28" s="1110">
        <v>592</v>
      </c>
      <c r="AI28" s="238">
        <v>51.91</v>
      </c>
      <c r="AJ28" s="838"/>
      <c r="AK28" s="839"/>
      <c r="AL28" s="51">
        <f t="shared" si="0"/>
        <v>1.1955773955773954</v>
      </c>
      <c r="AM28" s="51">
        <f t="shared" si="1"/>
        <v>2.0428446701806768E-2</v>
      </c>
    </row>
    <row r="29" spans="1:39" x14ac:dyDescent="0.25">
      <c r="A29" s="71">
        <v>43251</v>
      </c>
      <c r="B29" s="72">
        <v>92.4</v>
      </c>
      <c r="C29" s="73">
        <v>120.82</v>
      </c>
      <c r="D29" s="147"/>
      <c r="E29" s="75"/>
      <c r="F29" s="73"/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0.18</v>
      </c>
      <c r="AG29" s="1113">
        <v>6.79</v>
      </c>
      <c r="AH29" s="1110">
        <v>1344</v>
      </c>
      <c r="AI29" s="238">
        <v>40.409999999999997</v>
      </c>
      <c r="AJ29" s="838"/>
      <c r="AK29" s="839"/>
      <c r="AL29" s="51">
        <f t="shared" si="0"/>
        <v>1.3075757575757574</v>
      </c>
      <c r="AM29" s="51">
        <f t="shared" si="1"/>
        <v>0.13242680870016876</v>
      </c>
    </row>
    <row r="30" spans="1:39" x14ac:dyDescent="0.25">
      <c r="A30" s="71">
        <v>43281</v>
      </c>
      <c r="B30" s="72">
        <v>62.06</v>
      </c>
      <c r="C30" s="73">
        <v>79.930000000000007</v>
      </c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0.18</v>
      </c>
      <c r="AG30" s="1113">
        <v>6.79</v>
      </c>
      <c r="AH30" s="1110">
        <v>902</v>
      </c>
      <c r="AI30" s="238">
        <v>23.29</v>
      </c>
      <c r="AJ30" s="838"/>
      <c r="AK30" s="839"/>
      <c r="AL30" s="51">
        <f t="shared" si="0"/>
        <v>1.2879471479213664</v>
      </c>
      <c r="AM30" s="51">
        <f t="shared" si="1"/>
        <v>0.11279819904577781</v>
      </c>
    </row>
    <row r="31" spans="1:39" x14ac:dyDescent="0.25">
      <c r="A31" s="71">
        <v>43312</v>
      </c>
      <c r="B31" s="72">
        <v>0</v>
      </c>
      <c r="C31" s="73">
        <v>0</v>
      </c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0.18</v>
      </c>
      <c r="AG31" s="1113">
        <v>6.79</v>
      </c>
      <c r="AH31" s="1110">
        <v>0</v>
      </c>
      <c r="AI31" s="238">
        <v>23.29</v>
      </c>
      <c r="AJ31" s="838"/>
      <c r="AK31" s="839"/>
      <c r="AL31" s="51" t="e">
        <f t="shared" si="0"/>
        <v>#DIV/0!</v>
      </c>
      <c r="AM31" s="51" t="e">
        <f t="shared" si="1"/>
        <v>#DIV/0!</v>
      </c>
    </row>
    <row r="32" spans="1:39" x14ac:dyDescent="0.25">
      <c r="A32" s="71">
        <v>43343</v>
      </c>
      <c r="B32" s="72">
        <v>2.56</v>
      </c>
      <c r="C32" s="73">
        <v>3.3</v>
      </c>
      <c r="D32" s="528"/>
      <c r="E32" s="516"/>
      <c r="F32" s="380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0.18</v>
      </c>
      <c r="AG32" s="1113">
        <v>6.79</v>
      </c>
      <c r="AH32" s="1110">
        <v>32</v>
      </c>
      <c r="AI32" s="238">
        <v>20.73</v>
      </c>
      <c r="AJ32" s="838"/>
      <c r="AK32" s="839"/>
      <c r="AL32" s="51">
        <f t="shared" si="0"/>
        <v>1.2890625</v>
      </c>
      <c r="AM32" s="51">
        <f t="shared" si="1"/>
        <v>0.11391355112441137</v>
      </c>
    </row>
    <row r="33" spans="1:39" x14ac:dyDescent="0.25">
      <c r="A33" s="71">
        <v>43373</v>
      </c>
      <c r="B33" s="72">
        <v>20.729999999999997</v>
      </c>
      <c r="C33" s="73">
        <v>26.700000000000003</v>
      </c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0.18</v>
      </c>
      <c r="AG33" s="1113">
        <v>6.78</v>
      </c>
      <c r="AH33" s="1110">
        <v>405</v>
      </c>
      <c r="AI33" s="238">
        <v>1</v>
      </c>
      <c r="AJ33" s="838"/>
      <c r="AK33" s="839"/>
      <c r="AL33" s="51">
        <f t="shared" si="0"/>
        <v>1.2879884225759772</v>
      </c>
      <c r="AM33" s="51">
        <f t="shared" si="1"/>
        <v>0.1128394737003886</v>
      </c>
    </row>
    <row r="34" spans="1:39" x14ac:dyDescent="0.25">
      <c r="A34" s="71">
        <v>43404</v>
      </c>
      <c r="B34" s="72">
        <v>0</v>
      </c>
      <c r="C34" s="73">
        <v>0</v>
      </c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0.18</v>
      </c>
      <c r="AG34" s="1113">
        <v>6.78</v>
      </c>
      <c r="AH34" s="1110">
        <v>0</v>
      </c>
      <c r="AI34" s="238">
        <v>1</v>
      </c>
      <c r="AJ34" s="838"/>
      <c r="AK34" s="839"/>
      <c r="AL34" s="51" t="e">
        <f t="shared" si="0"/>
        <v>#DIV/0!</v>
      </c>
      <c r="AM34" s="51" t="e">
        <f t="shared" si="1"/>
        <v>#DIV/0!</v>
      </c>
    </row>
    <row r="35" spans="1:39" x14ac:dyDescent="0.25">
      <c r="A35" s="71">
        <v>43434</v>
      </c>
      <c r="B35" s="72">
        <v>86.91</v>
      </c>
      <c r="C35" s="73">
        <v>113.87</v>
      </c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0.18</v>
      </c>
      <c r="AG35" s="1113">
        <v>6.78</v>
      </c>
      <c r="AH35" s="1110">
        <v>1262</v>
      </c>
      <c r="AI35" s="238">
        <v>2.11</v>
      </c>
      <c r="AJ35" s="838"/>
      <c r="AK35" s="839"/>
      <c r="AL35" s="51">
        <f t="shared" si="0"/>
        <v>1.3102059601887011</v>
      </c>
      <c r="AM35" s="51">
        <f t="shared" si="1"/>
        <v>0.13505701131311243</v>
      </c>
    </row>
    <row r="36" spans="1:39" x14ac:dyDescent="0.25">
      <c r="A36" s="71">
        <v>43465</v>
      </c>
      <c r="B36" s="72">
        <v>86.94</v>
      </c>
      <c r="C36" s="73">
        <v>105.94</v>
      </c>
      <c r="D36" s="147"/>
      <c r="E36" s="75"/>
      <c r="F36" s="73"/>
      <c r="G36" s="147"/>
      <c r="H36" s="75"/>
      <c r="I36" s="73"/>
      <c r="J36" s="234"/>
      <c r="K36" s="73"/>
      <c r="L36" s="71">
        <v>43480</v>
      </c>
      <c r="M36" s="73">
        <v>335.12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0.2</v>
      </c>
      <c r="AG36" s="1113">
        <v>6.79</v>
      </c>
      <c r="AH36" s="1110">
        <v>1243</v>
      </c>
      <c r="AI36" s="238">
        <v>55.15</v>
      </c>
      <c r="AJ36" s="838"/>
      <c r="AK36" s="839"/>
      <c r="AL36" s="51">
        <f t="shared" si="0"/>
        <v>1.218541522889349</v>
      </c>
      <c r="AM36" s="51">
        <f t="shared" si="1"/>
        <v>4.3392574013760399E-2</v>
      </c>
    </row>
    <row r="37" spans="1:39" x14ac:dyDescent="0.25">
      <c r="A37" s="71">
        <v>43496</v>
      </c>
      <c r="B37" s="72">
        <v>106.85</v>
      </c>
      <c r="C37" s="73">
        <v>128.72999999999999</v>
      </c>
      <c r="D37" s="147">
        <v>43479</v>
      </c>
      <c r="E37" s="75" t="s">
        <v>515</v>
      </c>
      <c r="F37" s="73">
        <v>615.72</v>
      </c>
      <c r="G37" s="147"/>
      <c r="H37" s="75"/>
      <c r="I37" s="73"/>
      <c r="J37" s="234"/>
      <c r="K37" s="73"/>
      <c r="L37" s="71">
        <v>43480</v>
      </c>
      <c r="M37" s="73">
        <v>8.4</v>
      </c>
      <c r="N37" s="894">
        <v>43475</v>
      </c>
      <c r="O37" s="73">
        <v>50</v>
      </c>
      <c r="P37" s="71"/>
      <c r="Q37" s="73"/>
      <c r="R37" s="71"/>
      <c r="S37" s="73"/>
      <c r="T37" s="894">
        <v>43466</v>
      </c>
      <c r="U37" s="1199" t="s">
        <v>957</v>
      </c>
      <c r="V37" s="73">
        <v>20.2</v>
      </c>
      <c r="W37" s="894">
        <v>43588</v>
      </c>
      <c r="X37" s="1199" t="s">
        <v>923</v>
      </c>
      <c r="Y37" s="73">
        <v>40</v>
      </c>
      <c r="Z37" s="894">
        <v>43466</v>
      </c>
      <c r="AA37" s="1199" t="s">
        <v>957</v>
      </c>
      <c r="AB37" s="73">
        <v>64.31</v>
      </c>
      <c r="AC37" s="894"/>
      <c r="AD37" s="1199"/>
      <c r="AE37" s="73"/>
      <c r="AF37" s="1112">
        <v>0.2</v>
      </c>
      <c r="AG37" s="1113">
        <v>6.75</v>
      </c>
      <c r="AH37" s="1110">
        <v>1863</v>
      </c>
      <c r="AI37" s="238">
        <v>53</v>
      </c>
      <c r="AJ37" s="838"/>
      <c r="AK37" s="839"/>
      <c r="AL37" s="51">
        <f t="shared" si="0"/>
        <v>1.2047730463266262</v>
      </c>
      <c r="AM37" s="51">
        <f t="shared" si="1"/>
        <v>2.9624097451037557E-2</v>
      </c>
    </row>
    <row r="38" spans="1:39" x14ac:dyDescent="0.25">
      <c r="A38" s="71">
        <v>43524</v>
      </c>
      <c r="B38" s="72">
        <v>92.5</v>
      </c>
      <c r="C38" s="73">
        <v>113.63</v>
      </c>
      <c r="D38" s="147">
        <v>43556</v>
      </c>
      <c r="E38" s="75" t="s">
        <v>619</v>
      </c>
      <c r="F38" s="73">
        <v>41.95</v>
      </c>
      <c r="G38" s="147"/>
      <c r="H38" s="75"/>
      <c r="I38" s="73"/>
      <c r="J38" s="234"/>
      <c r="K38" s="73"/>
      <c r="L38" s="71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20.2</v>
      </c>
      <c r="W38" s="894"/>
      <c r="X38" s="1199"/>
      <c r="Y38" s="73"/>
      <c r="Z38" s="894">
        <v>43556</v>
      </c>
      <c r="AA38" s="1199" t="s">
        <v>958</v>
      </c>
      <c r="AB38" s="73">
        <v>64.31</v>
      </c>
      <c r="AC38" s="894"/>
      <c r="AD38" s="1199"/>
      <c r="AE38" s="73"/>
      <c r="AF38" s="1112">
        <v>0.21</v>
      </c>
      <c r="AG38" s="1113">
        <v>6.72</v>
      </c>
      <c r="AH38" s="1110">
        <v>1623</v>
      </c>
      <c r="AI38" s="238">
        <v>53</v>
      </c>
      <c r="AJ38" s="838"/>
      <c r="AK38" s="839"/>
      <c r="AL38" s="51">
        <f t="shared" si="0"/>
        <v>1.2284324324324323</v>
      </c>
      <c r="AM38" s="51">
        <f t="shared" si="1"/>
        <v>5.3283483556843647E-2</v>
      </c>
    </row>
    <row r="39" spans="1:39" x14ac:dyDescent="0.25">
      <c r="A39" s="71">
        <v>43555</v>
      </c>
      <c r="B39" s="72">
        <v>84.98</v>
      </c>
      <c r="C39" s="73">
        <v>105.14</v>
      </c>
      <c r="D39" s="147">
        <v>43719</v>
      </c>
      <c r="E39" s="75" t="s">
        <v>688</v>
      </c>
      <c r="F39" s="73">
        <v>19.579999999999998</v>
      </c>
      <c r="G39" s="147"/>
      <c r="H39" s="75"/>
      <c r="I39" s="73"/>
      <c r="J39" s="234"/>
      <c r="K39" s="73"/>
      <c r="L39" s="71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20.02</v>
      </c>
      <c r="W39" s="894"/>
      <c r="X39" s="1199"/>
      <c r="Y39" s="73"/>
      <c r="Z39" s="894">
        <v>43647</v>
      </c>
      <c r="AA39" s="1199" t="s">
        <v>959</v>
      </c>
      <c r="AB39" s="73">
        <v>76.38</v>
      </c>
      <c r="AC39" s="894"/>
      <c r="AD39" s="1199"/>
      <c r="AE39" s="73"/>
      <c r="AF39" s="1112">
        <v>0.2</v>
      </c>
      <c r="AG39" s="1113">
        <v>6.69</v>
      </c>
      <c r="AH39" s="1110">
        <v>1536</v>
      </c>
      <c r="AI39" s="238">
        <v>53</v>
      </c>
      <c r="AJ39" s="838"/>
      <c r="AK39" s="839"/>
      <c r="AL39" s="51">
        <f t="shared" si="0"/>
        <v>1.2372322899505765</v>
      </c>
      <c r="AM39" s="51">
        <f t="shared" si="1"/>
        <v>6.2083341074987919E-2</v>
      </c>
    </row>
    <row r="40" spans="1:39" x14ac:dyDescent="0.25">
      <c r="A40" s="71">
        <v>43585</v>
      </c>
      <c r="B40" s="72">
        <v>149.72</v>
      </c>
      <c r="C40" s="73">
        <v>187.21</v>
      </c>
      <c r="D40" s="147">
        <v>43802</v>
      </c>
      <c r="E40" s="75" t="s">
        <v>722</v>
      </c>
      <c r="F40" s="73">
        <v>29.21</v>
      </c>
      <c r="G40" s="147"/>
      <c r="H40" s="75"/>
      <c r="I40" s="73"/>
      <c r="J40" s="234"/>
      <c r="K40" s="73"/>
      <c r="L40" s="71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20.02</v>
      </c>
      <c r="W40" s="894"/>
      <c r="X40" s="1199"/>
      <c r="Y40" s="73"/>
      <c r="Z40" s="894">
        <v>43739</v>
      </c>
      <c r="AA40" s="1199" t="s">
        <v>960</v>
      </c>
      <c r="AB40" s="73">
        <v>76.38</v>
      </c>
      <c r="AC40" s="894"/>
      <c r="AD40" s="1199"/>
      <c r="AE40" s="73"/>
      <c r="AF40" s="1112">
        <v>0.2</v>
      </c>
      <c r="AG40" s="1113">
        <v>6.65</v>
      </c>
      <c r="AH40" s="1110">
        <v>2626</v>
      </c>
      <c r="AI40" s="238">
        <v>53</v>
      </c>
      <c r="AJ40" s="838"/>
      <c r="AK40" s="839"/>
      <c r="AL40" s="51">
        <f t="shared" si="0"/>
        <v>1.250400748063051</v>
      </c>
      <c r="AM40" s="51">
        <f t="shared" si="1"/>
        <v>7.5251799187462387E-2</v>
      </c>
    </row>
    <row r="41" spans="1:39" x14ac:dyDescent="0.25">
      <c r="A41" s="71">
        <v>43616</v>
      </c>
      <c r="B41" s="72">
        <v>127.75</v>
      </c>
      <c r="C41" s="73">
        <v>162.18</v>
      </c>
      <c r="D41" s="147">
        <v>43811</v>
      </c>
      <c r="E41" s="75" t="s">
        <v>743</v>
      </c>
      <c r="F41" s="73">
        <v>54</v>
      </c>
      <c r="G41" s="147"/>
      <c r="H41" s="75"/>
      <c r="I41" s="73"/>
      <c r="J41" s="234"/>
      <c r="K41" s="73"/>
      <c r="L41" s="71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0.2</v>
      </c>
      <c r="AG41" s="1113">
        <v>6.58</v>
      </c>
      <c r="AH41" s="1110">
        <v>2556</v>
      </c>
      <c r="AI41" s="238">
        <v>45</v>
      </c>
      <c r="AJ41" s="838"/>
      <c r="AK41" s="839"/>
      <c r="AL41" s="51">
        <f t="shared" si="0"/>
        <v>1.2695107632093934</v>
      </c>
      <c r="AM41" s="51">
        <f t="shared" si="1"/>
        <v>9.436181433380475E-2</v>
      </c>
    </row>
    <row r="42" spans="1:39" x14ac:dyDescent="0.25">
      <c r="A42" s="71">
        <v>43646</v>
      </c>
      <c r="B42" s="72">
        <v>243.04</v>
      </c>
      <c r="C42" s="73">
        <v>294.75</v>
      </c>
      <c r="D42" s="147">
        <v>43755</v>
      </c>
      <c r="E42" s="75" t="s">
        <v>790</v>
      </c>
      <c r="F42" s="73">
        <v>981.73</v>
      </c>
      <c r="G42" s="147"/>
      <c r="H42" s="75"/>
      <c r="I42" s="73"/>
      <c r="J42" s="234"/>
      <c r="K42" s="73"/>
      <c r="L42" s="71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0.19</v>
      </c>
      <c r="AG42" s="1113">
        <v>6.5</v>
      </c>
      <c r="AH42" s="1110">
        <v>4538</v>
      </c>
      <c r="AI42" s="238">
        <v>53</v>
      </c>
      <c r="AJ42" s="838"/>
      <c r="AK42" s="839"/>
      <c r="AL42" s="51">
        <f t="shared" si="0"/>
        <v>1.2127633311389072</v>
      </c>
      <c r="AM42" s="51">
        <f t="shared" si="1"/>
        <v>3.7614382263318591E-2</v>
      </c>
    </row>
    <row r="43" spans="1:39" x14ac:dyDescent="0.25">
      <c r="A43" s="71">
        <v>43677</v>
      </c>
      <c r="B43" s="72">
        <v>40.01</v>
      </c>
      <c r="C43" s="73">
        <v>48.72</v>
      </c>
      <c r="D43" s="147">
        <v>43752</v>
      </c>
      <c r="E43" s="75" t="s">
        <v>822</v>
      </c>
      <c r="F43" s="73">
        <v>41.95</v>
      </c>
      <c r="G43" s="147"/>
      <c r="H43" s="75"/>
      <c r="I43" s="73"/>
      <c r="J43" s="234"/>
      <c r="K43" s="73"/>
      <c r="L43" s="71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0.19</v>
      </c>
      <c r="AG43" s="1113">
        <v>6.5</v>
      </c>
      <c r="AH43" s="1110">
        <v>549</v>
      </c>
      <c r="AI43" s="238">
        <v>53</v>
      </c>
      <c r="AJ43" s="838"/>
      <c r="AK43" s="839"/>
      <c r="AL43" s="51">
        <f t="shared" si="0"/>
        <v>1.2176955761059736</v>
      </c>
      <c r="AM43" s="51">
        <f t="shared" si="1"/>
        <v>4.2546627230384937E-2</v>
      </c>
    </row>
    <row r="44" spans="1:39" x14ac:dyDescent="0.25">
      <c r="A44" s="71">
        <v>43708</v>
      </c>
      <c r="B44" s="72">
        <v>21.37</v>
      </c>
      <c r="C44" s="73">
        <v>25.91</v>
      </c>
      <c r="D44" s="147"/>
      <c r="E44" s="75"/>
      <c r="F44" s="73"/>
      <c r="G44" s="147"/>
      <c r="H44" s="75"/>
      <c r="I44" s="73"/>
      <c r="J44" s="234"/>
      <c r="K44" s="73"/>
      <c r="L44" s="71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0.2</v>
      </c>
      <c r="AG44" s="1113">
        <v>6.51</v>
      </c>
      <c r="AH44" s="1110">
        <v>232</v>
      </c>
      <c r="AI44" s="238">
        <v>53</v>
      </c>
      <c r="AJ44" s="838"/>
      <c r="AK44" s="839"/>
      <c r="AL44" s="51">
        <f t="shared" si="0"/>
        <v>1.2124473561066915</v>
      </c>
      <c r="AM44" s="51">
        <f t="shared" si="1"/>
        <v>3.7298407231102892E-2</v>
      </c>
    </row>
    <row r="45" spans="1:39" x14ac:dyDescent="0.25">
      <c r="A45" s="71">
        <v>43738</v>
      </c>
      <c r="B45" s="72">
        <v>318.02</v>
      </c>
      <c r="C45" s="73">
        <v>391.98</v>
      </c>
      <c r="D45" s="147"/>
      <c r="E45" s="75"/>
      <c r="F45" s="73"/>
      <c r="G45" s="147"/>
      <c r="H45" s="75"/>
      <c r="I45" s="73"/>
      <c r="J45" s="234"/>
      <c r="K45" s="73"/>
      <c r="L45" s="71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0.19</v>
      </c>
      <c r="AG45" s="1113">
        <v>6.5</v>
      </c>
      <c r="AH45" s="1110">
        <v>5081</v>
      </c>
      <c r="AI45" s="238">
        <v>7</v>
      </c>
      <c r="AJ45" s="838"/>
      <c r="AK45" s="839"/>
      <c r="AL45" s="51">
        <f t="shared" si="0"/>
        <v>1.2325639896861833</v>
      </c>
      <c r="AM45" s="51">
        <f t="shared" si="1"/>
        <v>5.7415040810594675E-2</v>
      </c>
    </row>
    <row r="46" spans="1:39" x14ac:dyDescent="0.25">
      <c r="A46" s="71">
        <v>43769</v>
      </c>
      <c r="B46" s="72">
        <v>174.85</v>
      </c>
      <c r="C46" s="73">
        <v>217.26</v>
      </c>
      <c r="D46" s="147"/>
      <c r="E46" s="75"/>
      <c r="F46" s="73"/>
      <c r="G46" s="147"/>
      <c r="H46" s="75"/>
      <c r="I46" s="73"/>
      <c r="J46" s="234"/>
      <c r="K46" s="73"/>
      <c r="L46" s="71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0.19</v>
      </c>
      <c r="AG46" s="1113">
        <v>6.48</v>
      </c>
      <c r="AH46" s="1110">
        <v>2864</v>
      </c>
      <c r="AI46" s="238">
        <v>53</v>
      </c>
      <c r="AJ46" s="838"/>
      <c r="AK46" s="839"/>
      <c r="AL46" s="51">
        <f t="shared" si="0"/>
        <v>1.2425507577923935</v>
      </c>
      <c r="AM46" s="51">
        <f t="shared" si="1"/>
        <v>6.7401808916804917E-2</v>
      </c>
    </row>
    <row r="47" spans="1:39" x14ac:dyDescent="0.25">
      <c r="A47" s="71">
        <v>43799</v>
      </c>
      <c r="B47" s="72">
        <v>239.76</v>
      </c>
      <c r="C47" s="73">
        <v>296.68</v>
      </c>
      <c r="D47" s="147"/>
      <c r="E47" s="75"/>
      <c r="F47" s="73"/>
      <c r="G47" s="147"/>
      <c r="H47" s="75"/>
      <c r="I47" s="73"/>
      <c r="J47" s="234"/>
      <c r="K47" s="73"/>
      <c r="L47" s="71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0.18</v>
      </c>
      <c r="AG47" s="1113">
        <v>6.45</v>
      </c>
      <c r="AH47" s="1110">
        <v>4082</v>
      </c>
      <c r="AI47" s="238">
        <v>53</v>
      </c>
      <c r="AJ47" s="838"/>
      <c r="AK47" s="839"/>
      <c r="AL47" s="51">
        <f t="shared" si="0"/>
        <v>1.2374040707374041</v>
      </c>
      <c r="AM47" s="51">
        <f t="shared" si="1"/>
        <v>6.2255121861815477E-2</v>
      </c>
    </row>
    <row r="48" spans="1:39" x14ac:dyDescent="0.25">
      <c r="A48" s="71">
        <v>43830</v>
      </c>
      <c r="B48" s="72">
        <v>175.58</v>
      </c>
      <c r="C48" s="73">
        <v>216.99</v>
      </c>
      <c r="D48" s="147"/>
      <c r="E48" s="75"/>
      <c r="F48" s="73"/>
      <c r="G48" s="147"/>
      <c r="H48" s="75"/>
      <c r="I48" s="73"/>
      <c r="J48" s="234"/>
      <c r="K48" s="73"/>
      <c r="L48" s="71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0.19</v>
      </c>
      <c r="AG48" s="1113">
        <v>6.44</v>
      </c>
      <c r="AH48" s="1110">
        <v>2897</v>
      </c>
      <c r="AI48" s="238">
        <v>53</v>
      </c>
      <c r="AJ48" s="838"/>
      <c r="AK48" s="839"/>
      <c r="AL48" s="51">
        <f t="shared" si="0"/>
        <v>1.2358469073926415</v>
      </c>
      <c r="AM48" s="51">
        <f t="shared" si="1"/>
        <v>6.0697958517052841E-2</v>
      </c>
    </row>
    <row r="49" spans="1:39" x14ac:dyDescent="0.25">
      <c r="A49" s="71">
        <v>43861</v>
      </c>
      <c r="B49" s="72">
        <v>117.65</v>
      </c>
      <c r="C49" s="73">
        <v>145.41</v>
      </c>
      <c r="D49" s="147">
        <v>43847</v>
      </c>
      <c r="E49" s="75" t="s">
        <v>851</v>
      </c>
      <c r="F49" s="73">
        <v>31.73</v>
      </c>
      <c r="G49" s="147">
        <v>43872</v>
      </c>
      <c r="H49" s="75" t="s">
        <v>510</v>
      </c>
      <c r="I49" s="73">
        <f>4.2+4.2+4.2+4.4+4.4+2.5+4.4</f>
        <v>28.299999999999997</v>
      </c>
      <c r="J49" s="234"/>
      <c r="K49" s="73"/>
      <c r="L49" s="71">
        <v>43861</v>
      </c>
      <c r="M49" s="73">
        <v>8.4</v>
      </c>
      <c r="N49" s="894">
        <v>43845</v>
      </c>
      <c r="O49" s="73">
        <v>50</v>
      </c>
      <c r="P49" s="71"/>
      <c r="Q49" s="73"/>
      <c r="R49" s="71"/>
      <c r="S49" s="73"/>
      <c r="T49" s="894">
        <v>43808</v>
      </c>
      <c r="U49" s="1199" t="s">
        <v>961</v>
      </c>
      <c r="V49" s="73">
        <v>20.02</v>
      </c>
      <c r="W49" s="894">
        <v>43942</v>
      </c>
      <c r="X49" s="1199" t="s">
        <v>1079</v>
      </c>
      <c r="Y49" s="73">
        <v>40</v>
      </c>
      <c r="Z49" s="894">
        <v>43810</v>
      </c>
      <c r="AA49" s="1199" t="s">
        <v>961</v>
      </c>
      <c r="AB49" s="73">
        <v>76.38</v>
      </c>
      <c r="AC49" s="894"/>
      <c r="AD49" s="1199"/>
      <c r="AE49" s="73"/>
      <c r="AF49" s="1112">
        <v>0.2</v>
      </c>
      <c r="AG49" s="1113">
        <v>6.43</v>
      </c>
      <c r="AH49" s="1110">
        <v>1929</v>
      </c>
      <c r="AI49" s="238">
        <v>53</v>
      </c>
      <c r="AJ49" s="838"/>
      <c r="AK49" s="839"/>
      <c r="AL49" s="51">
        <f t="shared" si="0"/>
        <v>1.2359541011474713</v>
      </c>
      <c r="AM49" s="51">
        <f t="shared" si="1"/>
        <v>6.0805152271882656E-2</v>
      </c>
    </row>
    <row r="50" spans="1:39" x14ac:dyDescent="0.25">
      <c r="A50" s="71">
        <v>43890</v>
      </c>
      <c r="B50" s="72">
        <v>185.24</v>
      </c>
      <c r="C50" s="73">
        <v>222.43</v>
      </c>
      <c r="D50" s="147">
        <v>43878</v>
      </c>
      <c r="E50" s="75" t="s">
        <v>975</v>
      </c>
      <c r="F50" s="73">
        <v>40.61</v>
      </c>
      <c r="G50" s="147">
        <v>43985</v>
      </c>
      <c r="H50" s="75" t="s">
        <v>510</v>
      </c>
      <c r="I50" s="73">
        <v>4.5999999999999996</v>
      </c>
      <c r="J50" s="234"/>
      <c r="K50" s="73"/>
      <c r="L50" s="71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20.02</v>
      </c>
      <c r="W50" s="894"/>
      <c r="X50" s="1199"/>
      <c r="Y50" s="73"/>
      <c r="Z50" s="894">
        <v>43922</v>
      </c>
      <c r="AA50" s="1199" t="s">
        <v>1008</v>
      </c>
      <c r="AB50" s="73">
        <v>76.38</v>
      </c>
      <c r="AC50" s="894"/>
      <c r="AD50" s="1199"/>
      <c r="AE50" s="73"/>
      <c r="AF50" s="1112">
        <v>0.2</v>
      </c>
      <c r="AG50" s="1113">
        <v>6.39</v>
      </c>
      <c r="AH50" s="1110">
        <v>3398</v>
      </c>
      <c r="AI50" s="238">
        <v>53</v>
      </c>
      <c r="AJ50" s="838"/>
      <c r="AK50" s="839"/>
      <c r="AL50" s="51">
        <f t="shared" si="0"/>
        <v>1.200766573094364</v>
      </c>
      <c r="AM50" s="51">
        <f t="shared" si="1"/>
        <v>2.5617624218775337E-2</v>
      </c>
    </row>
    <row r="51" spans="1:39" x14ac:dyDescent="0.25">
      <c r="A51" s="71">
        <v>43921</v>
      </c>
      <c r="B51" s="72">
        <v>0</v>
      </c>
      <c r="C51" s="73">
        <v>0</v>
      </c>
      <c r="D51" s="147">
        <v>43944</v>
      </c>
      <c r="E51" s="75" t="s">
        <v>1125</v>
      </c>
      <c r="F51" s="73">
        <v>41.95</v>
      </c>
      <c r="G51" s="147">
        <v>44043</v>
      </c>
      <c r="H51" s="75" t="s">
        <v>510</v>
      </c>
      <c r="I51" s="73">
        <f>19.86+3.2+6.02</f>
        <v>29.08</v>
      </c>
      <c r="J51" s="234"/>
      <c r="K51" s="73"/>
      <c r="L51" s="71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20.02</v>
      </c>
      <c r="W51" s="894"/>
      <c r="X51" s="1199"/>
      <c r="Y51" s="73"/>
      <c r="Z51" s="894">
        <v>44007</v>
      </c>
      <c r="AA51" s="1199" t="s">
        <v>1223</v>
      </c>
      <c r="AB51" s="73">
        <v>76.38</v>
      </c>
      <c r="AC51" s="894"/>
      <c r="AD51" s="1199"/>
      <c r="AE51" s="73"/>
      <c r="AF51" s="1112">
        <v>0.2</v>
      </c>
      <c r="AG51" s="1113">
        <v>6.39</v>
      </c>
      <c r="AH51" s="1110">
        <v>45</v>
      </c>
      <c r="AI51" s="238">
        <v>53</v>
      </c>
      <c r="AJ51" s="838"/>
      <c r="AK51" s="839"/>
      <c r="AL51" s="51" t="e">
        <f t="shared" si="0"/>
        <v>#DIV/0!</v>
      </c>
      <c r="AM51" s="51" t="e">
        <f t="shared" si="1"/>
        <v>#DIV/0!</v>
      </c>
    </row>
    <row r="52" spans="1:39" x14ac:dyDescent="0.25">
      <c r="A52" s="71">
        <v>43951</v>
      </c>
      <c r="B52" s="72">
        <v>17.899999999999999</v>
      </c>
      <c r="C52" s="73">
        <v>20.65</v>
      </c>
      <c r="D52" s="528">
        <v>44123</v>
      </c>
      <c r="E52" s="516" t="s">
        <v>1242</v>
      </c>
      <c r="F52" s="380">
        <v>642.54</v>
      </c>
      <c r="G52" s="147">
        <v>44561</v>
      </c>
      <c r="H52" s="75" t="s">
        <v>510</v>
      </c>
      <c r="I52" s="73">
        <v>9</v>
      </c>
      <c r="J52" s="234"/>
      <c r="K52" s="73"/>
      <c r="L52" s="71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20.02</v>
      </c>
      <c r="W52" s="894"/>
      <c r="X52" s="1199"/>
      <c r="Y52" s="73"/>
      <c r="Z52" s="894">
        <v>44091</v>
      </c>
      <c r="AA52" s="1199" t="s">
        <v>1222</v>
      </c>
      <c r="AB52" s="73">
        <v>76.38</v>
      </c>
      <c r="AC52" s="894"/>
      <c r="AD52" s="1199"/>
      <c r="AE52" s="73"/>
      <c r="AF52" s="1112">
        <v>0.2</v>
      </c>
      <c r="AG52" s="1113">
        <v>6.39</v>
      </c>
      <c r="AH52" s="1110">
        <v>203</v>
      </c>
      <c r="AI52" s="238">
        <v>53</v>
      </c>
      <c r="AJ52" s="838"/>
      <c r="AK52" s="839"/>
      <c r="AL52" s="51">
        <f t="shared" si="0"/>
        <v>1.1536312849162011</v>
      </c>
      <c r="AM52" s="51">
        <f t="shared" si="1"/>
        <v>-2.1517663959387479E-2</v>
      </c>
    </row>
    <row r="53" spans="1:39" x14ac:dyDescent="0.25">
      <c r="A53" s="71">
        <v>43982</v>
      </c>
      <c r="B53" s="72">
        <v>13</v>
      </c>
      <c r="C53" s="73">
        <v>15</v>
      </c>
      <c r="D53" s="147"/>
      <c r="E53" s="75"/>
      <c r="F53" s="73"/>
      <c r="G53" s="147"/>
      <c r="H53" s="75"/>
      <c r="I53" s="73"/>
      <c r="J53" s="234"/>
      <c r="K53" s="73"/>
      <c r="L53" s="71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0.2</v>
      </c>
      <c r="AG53" s="1113">
        <v>6.39</v>
      </c>
      <c r="AH53" s="1110">
        <v>196</v>
      </c>
      <c r="AI53" s="238">
        <v>40</v>
      </c>
      <c r="AJ53" s="838"/>
      <c r="AK53" s="839"/>
      <c r="AL53" s="51">
        <f t="shared" si="0"/>
        <v>1.1538461538461537</v>
      </c>
      <c r="AM53" s="51">
        <f t="shared" si="1"/>
        <v>-2.1302795029434884E-2</v>
      </c>
    </row>
    <row r="54" spans="1:39" x14ac:dyDescent="0.25">
      <c r="A54" s="71">
        <v>44012</v>
      </c>
      <c r="B54" s="72">
        <v>5</v>
      </c>
      <c r="C54" s="73">
        <v>5.77</v>
      </c>
      <c r="D54" s="147"/>
      <c r="E54" s="75"/>
      <c r="F54" s="73"/>
      <c r="G54" s="147"/>
      <c r="H54" s="75"/>
      <c r="I54" s="73"/>
      <c r="J54" s="234"/>
      <c r="K54" s="73"/>
      <c r="L54" s="71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0.2</v>
      </c>
      <c r="AG54" s="1113">
        <v>6.39</v>
      </c>
      <c r="AH54" s="1110">
        <v>66</v>
      </c>
      <c r="AI54" s="238">
        <v>35</v>
      </c>
      <c r="AJ54" s="838"/>
      <c r="AK54" s="839"/>
      <c r="AL54" s="51">
        <f t="shared" si="0"/>
        <v>1.1539999999999999</v>
      </c>
      <c r="AM54" s="51">
        <f t="shared" si="1"/>
        <v>-2.1148948875588713E-2</v>
      </c>
    </row>
    <row r="55" spans="1:39" x14ac:dyDescent="0.25">
      <c r="A55" s="71">
        <v>44043</v>
      </c>
      <c r="B55" s="72">
        <v>18</v>
      </c>
      <c r="C55" s="73">
        <v>20.76</v>
      </c>
      <c r="D55" s="147"/>
      <c r="E55" s="75"/>
      <c r="F55" s="73"/>
      <c r="G55" s="147"/>
      <c r="H55" s="75"/>
      <c r="I55" s="73"/>
      <c r="J55" s="234"/>
      <c r="K55" s="73"/>
      <c r="L55" s="71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0.2</v>
      </c>
      <c r="AG55" s="1113">
        <v>6.39</v>
      </c>
      <c r="AH55" s="1110">
        <v>247</v>
      </c>
      <c r="AI55" s="238">
        <v>17</v>
      </c>
      <c r="AJ55" s="838"/>
      <c r="AK55" s="839"/>
      <c r="AL55" s="51">
        <f t="shared" si="0"/>
        <v>1.1533333333333333</v>
      </c>
      <c r="AM55" s="51">
        <f t="shared" si="1"/>
        <v>-2.1815615542255307E-2</v>
      </c>
    </row>
    <row r="56" spans="1:39" x14ac:dyDescent="0.25">
      <c r="A56" s="71">
        <v>44074</v>
      </c>
      <c r="B56" s="72">
        <v>8.81</v>
      </c>
      <c r="C56" s="73">
        <v>9.4499999999999993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0.2</v>
      </c>
      <c r="AG56" s="1113">
        <v>6.36</v>
      </c>
      <c r="AH56" s="1110">
        <v>109</v>
      </c>
      <c r="AI56" s="238">
        <v>49</v>
      </c>
      <c r="AJ56" s="838"/>
      <c r="AK56" s="839"/>
      <c r="AL56" s="51">
        <f t="shared" si="0"/>
        <v>1.0726447219069237</v>
      </c>
      <c r="AM56" s="51">
        <f t="shared" si="1"/>
        <v>-0.1025042269686649</v>
      </c>
    </row>
    <row r="57" spans="1:39" x14ac:dyDescent="0.25">
      <c r="A57" s="71">
        <v>44104</v>
      </c>
      <c r="B57" s="72">
        <v>67.83</v>
      </c>
      <c r="C57" s="73">
        <v>70.489999999999995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0.2</v>
      </c>
      <c r="AG57" s="1113">
        <v>6.38</v>
      </c>
      <c r="AH57" s="1110">
        <v>1135</v>
      </c>
      <c r="AI57" s="238">
        <v>53</v>
      </c>
      <c r="AJ57" s="838"/>
      <c r="AK57" s="839"/>
      <c r="AL57" s="51">
        <f t="shared" si="0"/>
        <v>1.0392156862745097</v>
      </c>
      <c r="AM57" s="51">
        <f t="shared" si="1"/>
        <v>-0.13593326260107896</v>
      </c>
    </row>
    <row r="58" spans="1:39" x14ac:dyDescent="0.25">
      <c r="A58" s="71">
        <v>44135</v>
      </c>
      <c r="B58" s="72">
        <v>10</v>
      </c>
      <c r="C58" s="73">
        <v>10.39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0.21</v>
      </c>
      <c r="AG58" s="1113">
        <v>6.39</v>
      </c>
      <c r="AH58" s="1110">
        <v>193</v>
      </c>
      <c r="AI58" s="238">
        <v>43</v>
      </c>
      <c r="AJ58" s="838"/>
      <c r="AK58" s="839"/>
      <c r="AL58" s="51">
        <f t="shared" si="0"/>
        <v>1.0390000000000001</v>
      </c>
      <c r="AM58" s="51">
        <f t="shared" si="1"/>
        <v>-0.13614894887558848</v>
      </c>
    </row>
    <row r="59" spans="1:39" x14ac:dyDescent="0.25">
      <c r="A59" s="71">
        <v>44165</v>
      </c>
      <c r="B59" s="72">
        <v>1</v>
      </c>
      <c r="C59" s="73">
        <v>1.04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0.21</v>
      </c>
      <c r="AG59" s="1113">
        <v>6.39</v>
      </c>
      <c r="AH59" s="1110">
        <v>10</v>
      </c>
      <c r="AI59" s="238">
        <v>42</v>
      </c>
      <c r="AJ59" s="838"/>
      <c r="AK59" s="839"/>
      <c r="AL59" s="51">
        <f t="shared" si="0"/>
        <v>1.04</v>
      </c>
      <c r="AM59" s="51">
        <f t="shared" si="1"/>
        <v>-0.13514894887558859</v>
      </c>
    </row>
    <row r="60" spans="1:39" x14ac:dyDescent="0.25">
      <c r="A60" s="71">
        <v>44561</v>
      </c>
      <c r="B60" s="72">
        <v>4</v>
      </c>
      <c r="C60" s="73">
        <v>4.16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0.22</v>
      </c>
      <c r="AG60" s="1113">
        <v>6.38</v>
      </c>
      <c r="AH60" s="1110">
        <v>14</v>
      </c>
      <c r="AI60" s="238">
        <v>38</v>
      </c>
      <c r="AJ60" s="838"/>
      <c r="AK60" s="839"/>
      <c r="AL60" s="51">
        <f t="shared" si="0"/>
        <v>1.04</v>
      </c>
      <c r="AM60" s="51">
        <f t="shared" si="1"/>
        <v>-0.13514894887558859</v>
      </c>
    </row>
    <row r="61" spans="1:39" x14ac:dyDescent="0.25">
      <c r="A61" s="71">
        <v>44227</v>
      </c>
      <c r="B61" s="72">
        <v>12.05</v>
      </c>
      <c r="C61" s="73">
        <v>12.82</v>
      </c>
      <c r="D61" s="528">
        <v>44250</v>
      </c>
      <c r="E61" s="516" t="s">
        <v>1272</v>
      </c>
      <c r="F61" s="380">
        <v>189.28</v>
      </c>
      <c r="G61" s="147"/>
      <c r="H61" s="75"/>
      <c r="I61" s="73"/>
      <c r="J61" s="234"/>
      <c r="K61" s="73"/>
      <c r="L61" s="1609">
        <v>44225</v>
      </c>
      <c r="M61" s="73">
        <v>8.4</v>
      </c>
      <c r="N61" s="894">
        <v>44223</v>
      </c>
      <c r="O61" s="73">
        <v>50</v>
      </c>
      <c r="P61" s="71"/>
      <c r="Q61" s="73"/>
      <c r="R61" s="71"/>
      <c r="S61" s="73"/>
      <c r="T61" s="894"/>
      <c r="U61" s="1199"/>
      <c r="V61" s="73"/>
      <c r="W61" s="894">
        <v>44312</v>
      </c>
      <c r="X61" s="1199" t="s">
        <v>1329</v>
      </c>
      <c r="Y61" s="73">
        <v>40</v>
      </c>
      <c r="Z61" s="894">
        <v>44197</v>
      </c>
      <c r="AA61" s="1199" t="s">
        <v>1517</v>
      </c>
      <c r="AB61" s="73">
        <v>76.38</v>
      </c>
      <c r="AC61" s="894"/>
      <c r="AD61" s="1199"/>
      <c r="AE61" s="73"/>
      <c r="AF61" s="1112">
        <v>0.22</v>
      </c>
      <c r="AG61" s="1113">
        <v>6.39</v>
      </c>
      <c r="AH61" s="1110">
        <v>11</v>
      </c>
      <c r="AI61" s="238">
        <v>53</v>
      </c>
      <c r="AJ61" s="838"/>
      <c r="AK61" s="839"/>
      <c r="AL61" s="51">
        <f t="shared" si="0"/>
        <v>1.0639004149377593</v>
      </c>
      <c r="AM61" s="51">
        <f t="shared" si="1"/>
        <v>-0.1112485339378293</v>
      </c>
    </row>
    <row r="62" spans="1:39" x14ac:dyDescent="0.25">
      <c r="A62" s="71">
        <v>44255</v>
      </c>
      <c r="B62" s="72">
        <v>5.76</v>
      </c>
      <c r="C62" s="73">
        <v>6.18</v>
      </c>
      <c r="D62" s="528">
        <v>44334</v>
      </c>
      <c r="E62" s="516" t="s">
        <v>1343</v>
      </c>
      <c r="F62" s="380">
        <v>1401.62</v>
      </c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>
        <v>44378</v>
      </c>
      <c r="U62" s="1199" t="s">
        <v>1402</v>
      </c>
      <c r="V62" s="73">
        <v>20.02</v>
      </c>
      <c r="W62" s="894"/>
      <c r="X62" s="1199"/>
      <c r="Y62" s="73"/>
      <c r="Z62" s="894">
        <v>44287</v>
      </c>
      <c r="AA62" s="1199" t="s">
        <v>1518</v>
      </c>
      <c r="AB62" s="73">
        <v>76.38</v>
      </c>
      <c r="AC62" s="894"/>
      <c r="AD62" s="1199"/>
      <c r="AE62" s="73"/>
      <c r="AF62" s="1112">
        <v>0.22</v>
      </c>
      <c r="AG62" s="1113">
        <v>6.4</v>
      </c>
      <c r="AH62" s="1110">
        <v>31</v>
      </c>
      <c r="AI62" s="238">
        <v>53</v>
      </c>
      <c r="AJ62" s="838"/>
      <c r="AK62" s="839"/>
      <c r="AL62" s="51">
        <f t="shared" si="0"/>
        <v>1.0729166666666667</v>
      </c>
      <c r="AM62" s="51">
        <f t="shared" si="1"/>
        <v>-0.10223228220892189</v>
      </c>
    </row>
    <row r="63" spans="1:39" x14ac:dyDescent="0.25">
      <c r="A63" s="71">
        <v>44286</v>
      </c>
      <c r="B63" s="72">
        <v>14.34</v>
      </c>
      <c r="C63" s="73">
        <v>15.66</v>
      </c>
      <c r="D63" s="528">
        <v>44368</v>
      </c>
      <c r="E63" s="516" t="s">
        <v>1399</v>
      </c>
      <c r="F63" s="380">
        <v>78.459999999999994</v>
      </c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>
        <v>44378</v>
      </c>
      <c r="AA63" s="1199" t="s">
        <v>1402</v>
      </c>
      <c r="AB63" s="73">
        <v>76.38</v>
      </c>
      <c r="AC63" s="894"/>
      <c r="AD63" s="1199"/>
      <c r="AE63" s="73"/>
      <c r="AF63" s="1112">
        <v>0.22</v>
      </c>
      <c r="AG63" s="1113">
        <v>6.4</v>
      </c>
      <c r="AH63" s="1110">
        <v>136</v>
      </c>
      <c r="AI63" s="238">
        <v>50</v>
      </c>
      <c r="AJ63" s="838"/>
      <c r="AK63" s="839"/>
      <c r="AL63" s="51">
        <f t="shared" si="0"/>
        <v>1.092050209205021</v>
      </c>
      <c r="AM63" s="51">
        <f t="shared" si="1"/>
        <v>-8.3098739670567578E-2</v>
      </c>
    </row>
    <row r="64" spans="1:39" x14ac:dyDescent="0.25">
      <c r="A64" s="71">
        <v>44316</v>
      </c>
      <c r="B64" s="72">
        <v>4</v>
      </c>
      <c r="C64" s="73">
        <v>4.37</v>
      </c>
      <c r="D64" s="528">
        <v>44397</v>
      </c>
      <c r="E64" s="516" t="s">
        <v>1405</v>
      </c>
      <c r="F64" s="380">
        <v>24.34</v>
      </c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>
        <v>44470</v>
      </c>
      <c r="AA64" s="1199" t="s">
        <v>1516</v>
      </c>
      <c r="AB64" s="73">
        <v>76.38</v>
      </c>
      <c r="AC64" s="894"/>
      <c r="AD64" s="1199"/>
      <c r="AE64" s="73"/>
      <c r="AF64" s="1112">
        <v>0.23</v>
      </c>
      <c r="AG64" s="1113">
        <v>6.41</v>
      </c>
      <c r="AH64" s="1110">
        <v>93</v>
      </c>
      <c r="AI64" s="238">
        <v>46</v>
      </c>
      <c r="AJ64" s="838"/>
      <c r="AK64" s="839"/>
      <c r="AL64" s="51">
        <f t="shared" si="0"/>
        <v>1.0925</v>
      </c>
      <c r="AM64" s="51">
        <f t="shared" si="1"/>
        <v>-8.2648948875588601E-2</v>
      </c>
    </row>
    <row r="65" spans="1:39" x14ac:dyDescent="0.25">
      <c r="A65" s="71">
        <v>44347</v>
      </c>
      <c r="B65" s="72">
        <v>27</v>
      </c>
      <c r="C65" s="73">
        <v>29.49</v>
      </c>
      <c r="D65" s="528">
        <v>44466</v>
      </c>
      <c r="E65" s="516" t="s">
        <v>1453</v>
      </c>
      <c r="F65" s="380">
        <v>732.07</v>
      </c>
      <c r="G65" s="147"/>
      <c r="H65" s="75"/>
      <c r="I65" s="73"/>
      <c r="J65" s="234"/>
      <c r="K65" s="73"/>
      <c r="L65" s="1609">
        <v>44320</v>
      </c>
      <c r="M65" s="73">
        <v>8.4</v>
      </c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0.23</v>
      </c>
      <c r="AG65" s="1113">
        <v>6.42</v>
      </c>
      <c r="AH65" s="1110">
        <v>248</v>
      </c>
      <c r="AI65" s="238">
        <v>19</v>
      </c>
      <c r="AJ65" s="838"/>
      <c r="AK65" s="839"/>
      <c r="AL65" s="51">
        <f t="shared" si="0"/>
        <v>1.0922222222222222</v>
      </c>
      <c r="AM65" s="51">
        <f t="shared" si="1"/>
        <v>-8.2926726653366423E-2</v>
      </c>
    </row>
    <row r="66" spans="1:39" x14ac:dyDescent="0.25">
      <c r="A66" s="71">
        <v>44377</v>
      </c>
      <c r="B66" s="72">
        <v>18.36</v>
      </c>
      <c r="C66" s="73">
        <v>21.58</v>
      </c>
      <c r="D66" s="528">
        <v>44508</v>
      </c>
      <c r="E66" s="516" t="s">
        <v>1467</v>
      </c>
      <c r="F66" s="380">
        <v>101.6</v>
      </c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0.23</v>
      </c>
      <c r="AG66" s="1113">
        <v>6.44</v>
      </c>
      <c r="AH66" s="1110">
        <v>177</v>
      </c>
      <c r="AI66" s="238">
        <v>47</v>
      </c>
      <c r="AJ66" s="838"/>
      <c r="AK66" s="839"/>
      <c r="AL66" s="51">
        <f t="shared" si="0"/>
        <v>1.1753812636165577</v>
      </c>
      <c r="AM66" s="51">
        <f t="shared" si="1"/>
        <v>2.3231474096907512E-4</v>
      </c>
    </row>
    <row r="67" spans="1:39" x14ac:dyDescent="0.25">
      <c r="A67" s="71"/>
      <c r="B67" s="72"/>
      <c r="C67" s="73"/>
      <c r="D67" s="147">
        <v>44545</v>
      </c>
      <c r="E67" s="75" t="s">
        <v>1511</v>
      </c>
      <c r="F67" s="73">
        <v>44</v>
      </c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ref="AF67:AF96" ca="1" si="2">$F$5</f>
        <v>0.24644553455404727</v>
      </c>
      <c r="AG67" s="1113">
        <f>SUM($B$9:B67)/($J$1-$B$4)*100</f>
        <v>6.4357585815355058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>
        <v>44545</v>
      </c>
      <c r="E68" s="75" t="s">
        <v>1511</v>
      </c>
      <c r="F68" s="73">
        <v>38</v>
      </c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0.24644553455404727</v>
      </c>
      <c r="AG68" s="1113">
        <f>SUM($B$9:B68)/($J$1-$B$4)*100</f>
        <v>6.4357585815355058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0.24644553455404727</v>
      </c>
      <c r="AG69" s="1113">
        <f>SUM($B$9:B69)/($J$1-$B$4)*100</f>
        <v>6.4357585815355058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0.24644553455404727</v>
      </c>
      <c r="AG70" s="1113">
        <f>SUM($B$9:B70)/($J$1-$B$4)*100</f>
        <v>6.4357585815355058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0.24644553455404727</v>
      </c>
      <c r="AG71" s="1113">
        <f>SUM($B$9:B71)/($J$1-$B$4)*100</f>
        <v>6.4357585815355058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0.24644553455404727</v>
      </c>
      <c r="AG72" s="1113">
        <f>SUM($B$9:B72)/($J$1-$B$4)*100</f>
        <v>6.4357585815355058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>
        <v>44562</v>
      </c>
      <c r="AA73" s="1199" t="s">
        <v>1541</v>
      </c>
      <c r="AB73" s="73">
        <v>76.38</v>
      </c>
      <c r="AC73" s="894"/>
      <c r="AD73" s="1199"/>
      <c r="AE73" s="73"/>
      <c r="AF73" s="1112">
        <f t="shared" ca="1" si="2"/>
        <v>0.24644553455404727</v>
      </c>
      <c r="AG73" s="1113">
        <f>SUM($B$9:B73)/($J$1-$B$4)*100</f>
        <v>6.4357585815355058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0.24644553455404727</v>
      </c>
      <c r="AG74" s="1113">
        <f>SUM($B$9:B74)/($J$1-$B$4)*100</f>
        <v>6.4357585815355058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0.24644553455404727</v>
      </c>
      <c r="AG75" s="1113">
        <f>SUM($B$9:B75)/($J$1-$B$4)*100</f>
        <v>6.4357585815355058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0.24644553455404727</v>
      </c>
      <c r="AG76" s="1113">
        <f>SUM($B$9:B76)/($J$1-$B$4)*100</f>
        <v>6.4357585815355058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0.24644553455404727</v>
      </c>
      <c r="AG77" s="1113">
        <f>SUM($B$9:B77)/($J$1-$B$4)*100</f>
        <v>6.4357585815355058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0.24644553455404727</v>
      </c>
      <c r="AG78" s="1113">
        <f>SUM($B$9:B78)/($J$1-$B$4)*100</f>
        <v>6.4357585815355058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0.24644553455404727</v>
      </c>
      <c r="AG79" s="1113">
        <f>SUM($B$9:B79)/($J$1-$B$4)*100</f>
        <v>6.4357585815355058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161"/>
      <c r="H80" s="831"/>
      <c r="I80" s="835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0.24644553455404727</v>
      </c>
      <c r="AG80" s="1113">
        <f>SUM($B$9:B80)/($J$1-$B$4)*100</f>
        <v>6.4357585815355058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0.24644553455404727</v>
      </c>
      <c r="AG81" s="1113">
        <f>SUM($B$9:B81)/($J$1-$B$4)*100</f>
        <v>6.4357585815355058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0.24644553455404727</v>
      </c>
      <c r="AG82" s="1113">
        <f>SUM($B$9:B82)/($J$1-$B$4)*100</f>
        <v>6.4357585815355058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0.24644553455404727</v>
      </c>
      <c r="AG83" s="1113">
        <f>SUM($B$9:B83)/($J$1-$B$4)*100</f>
        <v>6.4357585815355058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0.24644553455404727</v>
      </c>
      <c r="AG84" s="1113">
        <f>SUM($B$9:B84)/($J$1-$B$4)*100</f>
        <v>6.4357585815355058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0.24644553455404727</v>
      </c>
      <c r="AG85" s="1113">
        <f>SUM($B$9:B85)/($J$1-$B$4)*100</f>
        <v>6.4357585815355058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0.24644553455404727</v>
      </c>
      <c r="AG86" s="1113">
        <f>SUM($B$9:B86)/($J$1-$B$4)*100</f>
        <v>6.4357585815355058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0.24644553455404727</v>
      </c>
      <c r="AG87" s="1113">
        <f>SUM($B$9:B87)/($J$1-$B$4)*100</f>
        <v>6.4357585815355058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0.24644553455404727</v>
      </c>
      <c r="AG88" s="1113">
        <f>SUM($B$9:B88)/($J$1-$B$4)*100</f>
        <v>6.4357585815355058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0.24644553455404727</v>
      </c>
      <c r="AG89" s="1113">
        <f>SUM($B$9:B89)/($J$1-$B$4)*100</f>
        <v>6.4357585815355058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0.24644553455404727</v>
      </c>
      <c r="AG90" s="1113">
        <f>SUM($B$9:B90)/($J$1-$B$4)*100</f>
        <v>6.4357585815355058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0.24644553455404727</v>
      </c>
      <c r="AG91" s="1113">
        <f>SUM($B$9:B91)/($J$1-$B$4)*100</f>
        <v>6.4357585815355058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0.24644553455404727</v>
      </c>
      <c r="AG92" s="1113">
        <f>SUM($B$9:B92)/($J$1-$B$4)*100</f>
        <v>6.4357585815355058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0.24644553455404727</v>
      </c>
      <c r="AG93" s="1113">
        <f>SUM($B$9:B93)/($J$1-$B$4)*100</f>
        <v>6.4357585815355058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0.24644553455404727</v>
      </c>
      <c r="AG94" s="1113">
        <f>SUM($B$9:B94)/($J$1-$B$4)*100</f>
        <v>6.4357585815355058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0.24644553455404727</v>
      </c>
      <c r="AG95" s="1113">
        <f>SUM($B$9:B95)/($J$1-$B$4)*100</f>
        <v>6.4357585815355058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0.24644553455404727</v>
      </c>
      <c r="AG96" s="1113">
        <f>SUM($B$9:B96)/($J$1-$B$4)*100</f>
        <v>6.4357585815355058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0.19947006859797076</v>
      </c>
      <c r="AG98" s="1109">
        <f>AVERAGE(AG9:AG97)</f>
        <v>6.5346904255234639</v>
      </c>
      <c r="AH98" s="1228">
        <f ca="1">SUMIFS($AH$9:$AH$97,$A$9:$A$97,"&gt;="&amp;$C99,$A$9:$A$97,"&lt;="&amp;$D99)</f>
        <v>8241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0.67888434852493595</v>
      </c>
      <c r="G99" s="1208">
        <f ca="1">J4+C101+F101+I101+K101+M101+O101+Q101+S101+V101+Y101+AB101+AE101</f>
        <v>1.0000000000000002</v>
      </c>
      <c r="H99" s="1210" t="s">
        <v>962</v>
      </c>
      <c r="I99" s="1207">
        <f ca="1">F99-F5</f>
        <v>0.43243881397088868</v>
      </c>
      <c r="J99" s="1303">
        <f ca="1">(F99/F5)-1</f>
        <v>1.7547033860986909</v>
      </c>
      <c r="K99" s="2253">
        <f ca="1">((D99-C99)/(365.25/12)*F3)+C102+F102+I102+K102+M102+O102+Q102+S102+AE106</f>
        <v>8218.474253164557</v>
      </c>
      <c r="L99" s="2253"/>
      <c r="M99" s="1472" t="s">
        <v>1135</v>
      </c>
      <c r="N99" s="1470"/>
      <c r="O99" s="1471"/>
      <c r="P99" s="1189">
        <f ca="1">K99/AH98</f>
        <v>0.9972666245800943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7.2</v>
      </c>
      <c r="AH99" s="1226">
        <f>AVERAGE(AH9:AH97)</f>
        <v>1469.8888888888889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7.4705739594709372E-2</v>
      </c>
      <c r="D100" s="2252" t="s">
        <v>879</v>
      </c>
      <c r="E100" s="2246"/>
      <c r="F100" s="1180">
        <f ca="1">F102/$AH$98</f>
        <v>0.40846984589248875</v>
      </c>
      <c r="G100" s="2252" t="s">
        <v>881</v>
      </c>
      <c r="H100" s="2246"/>
      <c r="I100" s="1180">
        <f ca="1">I102/$AH$98</f>
        <v>8.6130323989807057E-3</v>
      </c>
      <c r="J100" s="1181" t="s">
        <v>898</v>
      </c>
      <c r="K100" s="1180">
        <f ca="1">K102/$AH$98</f>
        <v>7.8922460866399707E-4</v>
      </c>
      <c r="L100" s="1181" t="s">
        <v>883</v>
      </c>
      <c r="M100" s="1180">
        <f ca="1">M102/$AH$98</f>
        <v>2.6501638150709876E-2</v>
      </c>
      <c r="N100" s="1181" t="s">
        <v>908</v>
      </c>
      <c r="O100" s="1180">
        <f ca="1">O102/$AH$98</f>
        <v>1.2134449702705982E-2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9.7172673219269503E-3</v>
      </c>
      <c r="W100" s="2252" t="s">
        <v>912</v>
      </c>
      <c r="X100" s="2246"/>
      <c r="Y100" s="1180">
        <f ca="1">Y102/$AH$98</f>
        <v>9.7075597621647854E-3</v>
      </c>
      <c r="Z100" s="2252" t="s">
        <v>889</v>
      </c>
      <c r="AA100" s="2246"/>
      <c r="AB100" s="1180">
        <f ca="1">AB102/$AH$98</f>
        <v>7.4146341463414631E-2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6.4305302754520079</v>
      </c>
      <c r="C101" s="1183">
        <f ca="1">C100/$F$99</f>
        <v>0.1100419235721493</v>
      </c>
      <c r="D101" s="1184"/>
      <c r="E101" s="1185"/>
      <c r="F101" s="1183">
        <f ca="1">F100/$F$99</f>
        <v>0.60167810140269473</v>
      </c>
      <c r="G101" s="1184"/>
      <c r="H101" s="1185"/>
      <c r="I101" s="1183">
        <f ca="1">I100/$F$99</f>
        <v>1.2687039283929436E-2</v>
      </c>
      <c r="J101" s="1243">
        <f ca="1">COUNTIFS(J9:J97,"&gt;="&amp;$C$99,J9:J97,"&lt;=" &amp;$D$99)</f>
        <v>1</v>
      </c>
      <c r="K101" s="1183">
        <f ca="1">K100/$F$99</f>
        <v>1.1625317484175409E-3</v>
      </c>
      <c r="L101" s="1184"/>
      <c r="M101" s="1183">
        <f ca="1">M100/$F$99</f>
        <v>3.9037043950552131E-2</v>
      </c>
      <c r="N101" s="1184"/>
      <c r="O101" s="1183">
        <f ca="1">O100/$F$99</f>
        <v>1.7874104372963422E-2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1.4313582781869109E-2</v>
      </c>
      <c r="W101" s="1184"/>
      <c r="X101" s="1185"/>
      <c r="Y101" s="1183">
        <f ca="1">Y100/$F$99</f>
        <v>1.4299283498370738E-2</v>
      </c>
      <c r="Z101" s="1184"/>
      <c r="AA101" s="1185"/>
      <c r="AB101" s="1183">
        <f ca="1">AB100/$F$99</f>
        <v>0.10921792736055569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529.93999999999994</v>
      </c>
      <c r="C102" s="1197">
        <f ca="1">SUMIFS($C$9:$C$97,$A$9:$A$97,"&gt;="&amp;$C99,$A$9:$A$97,"&lt;="&amp;$D99)</f>
        <v>615.65</v>
      </c>
      <c r="D102" s="2251" t="s">
        <v>880</v>
      </c>
      <c r="E102" s="2250"/>
      <c r="F102" s="1197">
        <f ca="1">SUMIFS($F$9:$F$97,$D$9:$D$97,"&gt;="&amp;$C99,$D$9:$D$97,"&lt;="&amp;$D99)</f>
        <v>3366.2</v>
      </c>
      <c r="G102" s="2251" t="s">
        <v>882</v>
      </c>
      <c r="H102" s="2250"/>
      <c r="I102" s="1197">
        <f ca="1">SUMIFS($I$9:$I$97,$G$9:$G$97,"&gt;="&amp;$C99,$G$9:$G$97,"&lt;="&amp;$D99)</f>
        <v>70.97999999999999</v>
      </c>
      <c r="J102" s="1157" t="s">
        <v>899</v>
      </c>
      <c r="K102" s="1158">
        <f ca="1">SUMIFS(K9:K97,J9:J97,"&gt;="&amp;$C99,J9:J97,"&lt;="&amp;$D99)</f>
        <v>6.5039999999999996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80.08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611.04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-9.2400972837561324E-4</v>
      </c>
      <c r="D103" s="1205" t="s">
        <v>897</v>
      </c>
      <c r="E103" s="1195"/>
      <c r="F103" s="1206">
        <f ca="1">F100-F6</f>
        <v>0.32447372426999843</v>
      </c>
      <c r="G103" s="1204" t="s">
        <v>897</v>
      </c>
      <c r="H103" s="1195"/>
      <c r="I103" s="1203">
        <f ca="1">I100-I6</f>
        <v>7.618796396495116E-3</v>
      </c>
      <c r="J103" s="1205" t="s">
        <v>897</v>
      </c>
      <c r="K103" s="1206">
        <f ca="1">K100-K6</f>
        <v>3.9273014767276094E-4</v>
      </c>
      <c r="L103" s="1204" t="s">
        <v>897</v>
      </c>
      <c r="M103" s="1203">
        <f ca="1">M100-M6</f>
        <v>1.9491417233184333E-2</v>
      </c>
      <c r="N103" s="1205" t="s">
        <v>897</v>
      </c>
      <c r="O103" s="1206">
        <f ca="1">O100-O6</f>
        <v>9.991699697349107E-3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5.8352471372219014E-3</v>
      </c>
      <c r="W103" s="1205" t="s">
        <v>897</v>
      </c>
      <c r="X103" s="1195"/>
      <c r="Y103" s="1206">
        <f ca="1">Y100-Y6</f>
        <v>7.9933597578792856E-3</v>
      </c>
      <c r="Z103" s="1205" t="s">
        <v>897</v>
      </c>
      <c r="AA103" s="1195"/>
      <c r="AB103" s="1206">
        <f ca="1">AB100-AB6</f>
        <v>5.7565849059463395E-2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9.3571168547506356E-2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0.13783079364079553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771.11999999999989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x14ac:dyDescent="0.25">
      <c r="A108" s="478">
        <v>43185</v>
      </c>
      <c r="B108" s="6" t="s">
        <v>263</v>
      </c>
      <c r="C108" s="6"/>
      <c r="D108" s="6" t="s">
        <v>298</v>
      </c>
      <c r="E108" s="5">
        <v>220504</v>
      </c>
      <c r="F108" s="229">
        <v>928.63</v>
      </c>
      <c r="G108" s="6" t="s">
        <v>299</v>
      </c>
      <c r="I108" s="6"/>
      <c r="J108" s="1217"/>
      <c r="K108" s="1"/>
      <c r="L108" s="5"/>
      <c r="M108" s="61"/>
      <c r="N108" s="6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</row>
    <row r="109" spans="1:38" x14ac:dyDescent="0.25">
      <c r="A109" s="478">
        <v>43234</v>
      </c>
      <c r="B109" s="6" t="s">
        <v>263</v>
      </c>
      <c r="C109" s="6"/>
      <c r="D109" s="750" t="s">
        <v>375</v>
      </c>
      <c r="E109" s="5">
        <v>220525</v>
      </c>
      <c r="F109" s="764">
        <v>211.43</v>
      </c>
      <c r="G109" s="6" t="s">
        <v>358</v>
      </c>
      <c r="I109" s="6"/>
      <c r="J109" s="1217"/>
      <c r="K109" s="1"/>
      <c r="L109" s="5"/>
      <c r="M109" s="61"/>
      <c r="N109" s="6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  <c r="AK109" s="1"/>
    </row>
    <row r="110" spans="1:38" s="7" customFormat="1" x14ac:dyDescent="0.25">
      <c r="A110" s="799">
        <v>43479</v>
      </c>
      <c r="B110" s="750" t="s">
        <v>376</v>
      </c>
      <c r="C110" s="750"/>
      <c r="D110" s="750" t="s">
        <v>516</v>
      </c>
      <c r="E110" s="776">
        <v>226673</v>
      </c>
      <c r="F110" s="764">
        <v>615.72</v>
      </c>
      <c r="G110" s="750" t="s">
        <v>378</v>
      </c>
      <c r="I110" s="750"/>
      <c r="J110" s="918"/>
      <c r="L110" s="776"/>
      <c r="M110" s="909"/>
      <c r="N110" s="909"/>
    </row>
    <row r="111" spans="1:38" s="7" customFormat="1" x14ac:dyDescent="0.25">
      <c r="A111" s="799">
        <v>43556</v>
      </c>
      <c r="B111" s="750" t="s">
        <v>385</v>
      </c>
      <c r="C111" s="750"/>
      <c r="D111" s="750" t="s">
        <v>620</v>
      </c>
      <c r="E111" s="776">
        <v>231332</v>
      </c>
      <c r="F111" s="764">
        <v>41.95</v>
      </c>
      <c r="G111" s="750" t="s">
        <v>332</v>
      </c>
      <c r="I111" s="750"/>
      <c r="J111" s="918"/>
      <c r="L111" s="776"/>
      <c r="M111" s="909"/>
      <c r="N111" s="909"/>
    </row>
    <row r="112" spans="1:38" s="7" customFormat="1" x14ac:dyDescent="0.25">
      <c r="A112" s="799">
        <v>43719</v>
      </c>
      <c r="B112" s="750" t="s">
        <v>376</v>
      </c>
      <c r="C112" s="750"/>
      <c r="D112" s="750" t="s">
        <v>689</v>
      </c>
      <c r="E112" s="776">
        <v>243050</v>
      </c>
      <c r="F112" s="764">
        <v>19.579999999999998</v>
      </c>
      <c r="G112" s="750" t="s">
        <v>421</v>
      </c>
      <c r="I112" s="750"/>
      <c r="J112" s="918"/>
      <c r="L112" s="776"/>
      <c r="M112" s="909"/>
      <c r="N112" s="909"/>
    </row>
    <row r="113" spans="1:14" s="7" customFormat="1" x14ac:dyDescent="0.25">
      <c r="A113" s="799">
        <v>43802</v>
      </c>
      <c r="B113" s="750" t="s">
        <v>376</v>
      </c>
      <c r="C113" s="750"/>
      <c r="D113" s="750" t="s">
        <v>723</v>
      </c>
      <c r="E113" s="776">
        <v>253901</v>
      </c>
      <c r="F113" s="764">
        <v>29.21</v>
      </c>
      <c r="G113" s="750" t="s">
        <v>421</v>
      </c>
      <c r="I113" s="750"/>
      <c r="J113" s="918"/>
      <c r="L113" s="776"/>
      <c r="M113" s="909"/>
      <c r="N113" s="909"/>
    </row>
    <row r="114" spans="1:14" s="7" customFormat="1" x14ac:dyDescent="0.25">
      <c r="A114" s="799">
        <v>43811</v>
      </c>
      <c r="B114" s="750" t="s">
        <v>744</v>
      </c>
      <c r="C114" s="750"/>
      <c r="D114" s="750" t="s">
        <v>745</v>
      </c>
      <c r="E114" s="776">
        <v>254000</v>
      </c>
      <c r="F114" s="764">
        <v>54</v>
      </c>
      <c r="G114" s="750" t="s">
        <v>725</v>
      </c>
      <c r="I114" s="750"/>
      <c r="J114" s="918"/>
      <c r="L114" s="776"/>
      <c r="M114" s="909"/>
      <c r="N114" s="909"/>
    </row>
    <row r="115" spans="1:14" s="7" customFormat="1" x14ac:dyDescent="0.25">
      <c r="A115" s="799">
        <v>43847</v>
      </c>
      <c r="B115" s="750" t="s">
        <v>376</v>
      </c>
      <c r="C115" s="750"/>
      <c r="D115" s="750" t="s">
        <v>850</v>
      </c>
      <c r="E115" s="776">
        <v>257487</v>
      </c>
      <c r="F115" s="764">
        <v>31.73</v>
      </c>
      <c r="G115" s="750" t="s">
        <v>421</v>
      </c>
      <c r="J115" s="750"/>
      <c r="K115" s="918"/>
      <c r="L115" s="750" t="s">
        <v>849</v>
      </c>
      <c r="M115" s="909"/>
      <c r="N115" s="909"/>
    </row>
    <row r="116" spans="1:14" s="7" customFormat="1" x14ac:dyDescent="0.25">
      <c r="A116" s="799">
        <v>43760</v>
      </c>
      <c r="B116" s="750" t="s">
        <v>376</v>
      </c>
      <c r="C116" s="750"/>
      <c r="D116" s="750" t="s">
        <v>791</v>
      </c>
      <c r="E116" s="776">
        <v>247626</v>
      </c>
      <c r="F116" s="764">
        <v>981.73</v>
      </c>
      <c r="G116" s="750" t="s">
        <v>378</v>
      </c>
      <c r="J116" s="750"/>
      <c r="K116" s="918"/>
      <c r="L116" s="750"/>
      <c r="M116" s="909"/>
      <c r="N116" s="909"/>
    </row>
    <row r="117" spans="1:14" s="7" customFormat="1" x14ac:dyDescent="0.25">
      <c r="A117" s="799">
        <v>43752</v>
      </c>
      <c r="B117" s="750" t="s">
        <v>385</v>
      </c>
      <c r="C117" s="750"/>
      <c r="D117" s="750" t="s">
        <v>823</v>
      </c>
      <c r="E117" s="776">
        <v>247482</v>
      </c>
      <c r="F117" s="764">
        <v>41.95</v>
      </c>
      <c r="G117" s="750" t="s">
        <v>614</v>
      </c>
      <c r="J117" s="750"/>
      <c r="K117" s="918"/>
      <c r="L117" s="750"/>
      <c r="M117" s="909"/>
      <c r="N117" s="909"/>
    </row>
    <row r="118" spans="1:14" s="7" customFormat="1" x14ac:dyDescent="0.25">
      <c r="A118" s="799">
        <v>43878</v>
      </c>
      <c r="B118" s="750" t="s">
        <v>376</v>
      </c>
      <c r="C118" s="750"/>
      <c r="D118" s="750" t="s">
        <v>976</v>
      </c>
      <c r="E118" s="776">
        <v>261756</v>
      </c>
      <c r="F118" s="764">
        <v>40.61</v>
      </c>
      <c r="G118" s="750" t="s">
        <v>637</v>
      </c>
      <c r="J118" s="750"/>
      <c r="K118" s="918"/>
      <c r="L118" s="750" t="s">
        <v>977</v>
      </c>
      <c r="M118" s="909"/>
      <c r="N118" s="909"/>
    </row>
    <row r="119" spans="1:14" s="7" customFormat="1" x14ac:dyDescent="0.25">
      <c r="A119" s="799">
        <v>43944</v>
      </c>
      <c r="B119" s="750" t="s">
        <v>385</v>
      </c>
      <c r="C119" s="750"/>
      <c r="D119" s="750" t="s">
        <v>1124</v>
      </c>
      <c r="E119" s="776">
        <v>262242</v>
      </c>
      <c r="F119" s="764">
        <v>41.95</v>
      </c>
      <c r="G119" s="750" t="s">
        <v>614</v>
      </c>
      <c r="J119" s="750"/>
      <c r="K119" s="918"/>
      <c r="L119" s="750" t="s">
        <v>1123</v>
      </c>
      <c r="M119" s="909"/>
      <c r="N119" s="909"/>
    </row>
    <row r="120" spans="1:14" s="600" customFormat="1" x14ac:dyDescent="0.25">
      <c r="A120" s="827">
        <v>44123</v>
      </c>
      <c r="B120" s="537" t="s">
        <v>376</v>
      </c>
      <c r="C120" s="537"/>
      <c r="D120" s="537" t="s">
        <v>1241</v>
      </c>
      <c r="E120" s="596">
        <v>264254</v>
      </c>
      <c r="F120" s="618">
        <v>642.54</v>
      </c>
      <c r="G120" s="537" t="s">
        <v>378</v>
      </c>
      <c r="J120" s="537"/>
      <c r="K120" s="751"/>
      <c r="L120" s="537" t="s">
        <v>1243</v>
      </c>
      <c r="M120" s="597"/>
      <c r="N120" s="597"/>
    </row>
    <row r="121" spans="1:14" s="600" customFormat="1" x14ac:dyDescent="0.25">
      <c r="A121" s="827">
        <v>44250</v>
      </c>
      <c r="B121" s="537" t="s">
        <v>376</v>
      </c>
      <c r="C121" s="537"/>
      <c r="D121" s="537" t="s">
        <v>1271</v>
      </c>
      <c r="E121" s="596">
        <v>264313</v>
      </c>
      <c r="F121" s="618">
        <v>189.28</v>
      </c>
      <c r="G121" s="537" t="s">
        <v>1273</v>
      </c>
      <c r="J121" s="537"/>
      <c r="K121" s="751"/>
      <c r="L121" s="537" t="s">
        <v>1274</v>
      </c>
      <c r="M121" s="597"/>
      <c r="N121" s="597"/>
    </row>
    <row r="122" spans="1:14" s="600" customFormat="1" x14ac:dyDescent="0.25">
      <c r="A122" s="827">
        <v>44334</v>
      </c>
      <c r="B122" s="537" t="s">
        <v>376</v>
      </c>
      <c r="C122" s="537"/>
      <c r="D122" s="537" t="s">
        <v>1342</v>
      </c>
      <c r="E122" s="596">
        <v>264651</v>
      </c>
      <c r="F122" s="618">
        <v>189.28</v>
      </c>
      <c r="G122" s="537" t="s">
        <v>1344</v>
      </c>
      <c r="J122" s="537"/>
      <c r="K122" s="751"/>
      <c r="L122" s="537" t="s">
        <v>1345</v>
      </c>
      <c r="M122" s="597"/>
      <c r="N122" s="597"/>
    </row>
    <row r="123" spans="1:14" s="600" customFormat="1" x14ac:dyDescent="0.25">
      <c r="A123" s="827">
        <v>44368</v>
      </c>
      <c r="B123" s="537" t="s">
        <v>376</v>
      </c>
      <c r="C123" s="537"/>
      <c r="D123" s="537" t="s">
        <v>1398</v>
      </c>
      <c r="E123" s="596">
        <v>264950</v>
      </c>
      <c r="F123" s="618">
        <v>78.459999999999994</v>
      </c>
      <c r="G123" s="537" t="s">
        <v>1400</v>
      </c>
      <c r="J123" s="537"/>
      <c r="K123" s="751"/>
      <c r="L123" s="537" t="s">
        <v>1401</v>
      </c>
      <c r="M123" s="597"/>
      <c r="N123" s="597"/>
    </row>
    <row r="124" spans="1:14" s="600" customFormat="1" x14ac:dyDescent="0.25">
      <c r="A124" s="827">
        <v>44397</v>
      </c>
      <c r="B124" s="537" t="s">
        <v>376</v>
      </c>
      <c r="C124" s="537"/>
      <c r="D124" s="537" t="s">
        <v>1403</v>
      </c>
      <c r="E124" s="596">
        <v>265522</v>
      </c>
      <c r="F124" s="618">
        <v>24.34</v>
      </c>
      <c r="G124" s="537" t="s">
        <v>1400</v>
      </c>
      <c r="J124" s="537"/>
      <c r="K124" s="751"/>
      <c r="L124" s="537" t="s">
        <v>1404</v>
      </c>
      <c r="M124" s="597"/>
      <c r="N124" s="597"/>
    </row>
    <row r="125" spans="1:14" s="600" customFormat="1" x14ac:dyDescent="0.25">
      <c r="A125" s="827">
        <v>44466</v>
      </c>
      <c r="B125" s="537" t="s">
        <v>376</v>
      </c>
      <c r="C125" s="537"/>
      <c r="D125" s="537" t="s">
        <v>1455</v>
      </c>
      <c r="E125" s="596">
        <v>266137</v>
      </c>
      <c r="F125" s="618">
        <v>732.07</v>
      </c>
      <c r="G125" s="537" t="s">
        <v>1454</v>
      </c>
      <c r="J125" s="537"/>
      <c r="K125" s="751"/>
      <c r="L125" s="537" t="s">
        <v>1456</v>
      </c>
      <c r="M125" s="597"/>
      <c r="N125" s="597"/>
    </row>
    <row r="126" spans="1:14" s="600" customFormat="1" x14ac:dyDescent="0.25">
      <c r="A126" s="827">
        <v>44508</v>
      </c>
      <c r="B126" s="537" t="s">
        <v>376</v>
      </c>
      <c r="C126" s="537"/>
      <c r="D126" s="537" t="s">
        <v>1466</v>
      </c>
      <c r="E126" s="596">
        <v>266459</v>
      </c>
      <c r="F126" s="618">
        <v>101.6</v>
      </c>
      <c r="G126" s="537" t="s">
        <v>1468</v>
      </c>
      <c r="J126" s="537"/>
      <c r="K126" s="751"/>
      <c r="L126" s="537" t="s">
        <v>1469</v>
      </c>
      <c r="M126" s="597"/>
      <c r="N126" s="597"/>
    </row>
    <row r="127" spans="1:14" s="7" customFormat="1" x14ac:dyDescent="0.25">
      <c r="A127" s="799">
        <v>44545</v>
      </c>
      <c r="B127" s="750" t="s">
        <v>1511</v>
      </c>
      <c r="C127" s="750"/>
      <c r="D127" s="750"/>
      <c r="E127" s="776"/>
      <c r="F127" s="764">
        <v>44</v>
      </c>
      <c r="G127" s="750" t="s">
        <v>1512</v>
      </c>
      <c r="J127" s="750"/>
      <c r="K127" s="918"/>
      <c r="L127" s="750" t="s">
        <v>1513</v>
      </c>
      <c r="M127" s="909"/>
      <c r="N127" s="909"/>
    </row>
    <row r="128" spans="1:14" s="7" customFormat="1" x14ac:dyDescent="0.25">
      <c r="A128" s="799">
        <v>44545</v>
      </c>
      <c r="B128" s="750" t="s">
        <v>1511</v>
      </c>
      <c r="C128" s="750"/>
      <c r="D128" s="750"/>
      <c r="E128" s="776"/>
      <c r="F128" s="764">
        <v>38</v>
      </c>
      <c r="G128" s="750" t="s">
        <v>1514</v>
      </c>
      <c r="J128" s="750"/>
      <c r="K128" s="918"/>
      <c r="L128" s="750" t="s">
        <v>1515</v>
      </c>
      <c r="M128" s="909"/>
      <c r="N128" s="909"/>
    </row>
  </sheetData>
  <sortState ref="G9:I67">
    <sortCondition ref="G9:G67"/>
  </sortState>
  <mergeCells count="44"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8:AD8"/>
    <mergeCell ref="D100:E100"/>
    <mergeCell ref="G100:H100"/>
    <mergeCell ref="T100:U100"/>
    <mergeCell ref="W100:X100"/>
    <mergeCell ref="Z100:AA100"/>
    <mergeCell ref="K99:L99"/>
    <mergeCell ref="H1:I1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</mergeCells>
  <conditionalFormatting sqref="AM9:AM44 AM97:AM98">
    <cfRule type="cellIs" dxfId="221" priority="3" operator="greaterThan">
      <formula>0</formula>
    </cfRule>
    <cfRule type="cellIs" dxfId="220" priority="4" operator="lessThan">
      <formula>0</formula>
    </cfRule>
  </conditionalFormatting>
  <conditionalFormatting sqref="AF9:AF96">
    <cfRule type="cellIs" dxfId="219" priority="5" operator="lessThan">
      <formula>$AF$98</formula>
    </cfRule>
    <cfRule type="cellIs" dxfId="218" priority="6" operator="greaterThan">
      <formula>$AF$98</formula>
    </cfRule>
  </conditionalFormatting>
  <conditionalFormatting sqref="AG9:AG96">
    <cfRule type="cellIs" dxfId="217" priority="7" operator="equal">
      <formula>$AG$99</formula>
    </cfRule>
    <cfRule type="cellIs" dxfId="216" priority="8" operator="lessThan">
      <formula>$AG$98</formula>
    </cfRule>
    <cfRule type="cellIs" dxfId="215" priority="9" operator="greaterThan">
      <formula>$AG$98</formula>
    </cfRule>
  </conditionalFormatting>
  <conditionalFormatting sqref="AM45:AM96">
    <cfRule type="cellIs" dxfId="214" priority="1" operator="greaterThan">
      <formula>0</formula>
    </cfRule>
    <cfRule type="cellIs" dxfId="213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rgb="FF92D050"/>
  </sheetPr>
  <dimension ref="A1:AM122"/>
  <sheetViews>
    <sheetView workbookViewId="0">
      <pane xSplit="1" ySplit="8" topLeftCell="B70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6.5" style="51" customWidth="1"/>
    <col min="25" max="25" width="10.375" style="51" customWidth="1"/>
    <col min="26" max="26" width="9.125" style="478" customWidth="1"/>
    <col min="27" max="27" width="16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11</v>
      </c>
      <c r="B1" s="1569" t="s">
        <v>1</v>
      </c>
      <c r="C1" s="1569"/>
      <c r="D1" s="1569"/>
      <c r="E1" s="1569"/>
      <c r="F1" s="1569"/>
      <c r="G1" s="1569"/>
      <c r="H1" s="2243" t="s">
        <v>1163</v>
      </c>
      <c r="I1" s="2244"/>
      <c r="J1" s="1572">
        <v>107084</v>
      </c>
      <c r="K1" s="1573">
        <f>J1-B4</f>
        <v>25735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39484</v>
      </c>
      <c r="C2" s="1251">
        <v>39484</v>
      </c>
      <c r="D2" s="2263" t="s">
        <v>871</v>
      </c>
      <c r="E2" s="2264"/>
      <c r="F2" s="2264"/>
      <c r="G2" s="1168">
        <f ca="1">IF((TODAY()-B2)/365.25&lt;I2,I2,(TODAY()-B2)/365.25)</f>
        <v>14.026009582477755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20000</v>
      </c>
      <c r="C3" s="2264"/>
      <c r="D3" s="1398" t="s">
        <v>874</v>
      </c>
      <c r="E3" s="1169"/>
      <c r="F3" s="1175">
        <f ca="1">B3/G2/12</f>
        <v>118.82685926215107</v>
      </c>
      <c r="G3" s="2267" t="s">
        <v>875</v>
      </c>
      <c r="H3" s="2267"/>
      <c r="I3" s="1399">
        <f ca="1">F3/(F4/((TODAY()-C2)/365.25*12))</f>
        <v>0.18351654401644305</v>
      </c>
      <c r="J3" s="1171">
        <f ca="1">I3/$F$5</f>
        <v>0.43543521626103954</v>
      </c>
      <c r="K3" s="1375">
        <f ca="1">(B3/G2/365.25)/(F4/(TODAY()-C2))</f>
        <v>0.18351654401644307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3.792856367386821E-2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81349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108982</v>
      </c>
      <c r="G4" s="1172" t="s">
        <v>876</v>
      </c>
      <c r="H4" s="1376"/>
      <c r="I4" s="1377">
        <f>F4-B4</f>
        <v>27633</v>
      </c>
      <c r="J4" s="1378">
        <f ca="1">I3/F99</f>
        <v>0.26255598180092216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8.9994242286524487E-2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0.42145544770643106</v>
      </c>
      <c r="G5" s="1211">
        <f ca="1">J3+C7+F7+I7+K7+M7+O7+Q7+S7+V7+Y7+AB7+AE7</f>
        <v>0.99999999999999978</v>
      </c>
      <c r="H5" s="1380">
        <f>B3+C8+F8+I8+K8+M8+O8+Q8+S8+AE5</f>
        <v>26364.53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1048.0800000000002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0.11087235282688948</v>
      </c>
      <c r="D6" s="2252" t="s">
        <v>879</v>
      </c>
      <c r="E6" s="2246"/>
      <c r="F6" s="1180">
        <f>F8/$I$4</f>
        <v>5.9803495820214964E-2</v>
      </c>
      <c r="G6" s="2252" t="s">
        <v>881</v>
      </c>
      <c r="H6" s="2254"/>
      <c r="I6" s="1379">
        <f>I8/$I$4</f>
        <v>5.7713603300401694E-3</v>
      </c>
      <c r="J6" s="1184" t="s">
        <v>898</v>
      </c>
      <c r="K6" s="1180">
        <f>K8/$I$4</f>
        <v>0</v>
      </c>
      <c r="L6" s="1181" t="s">
        <v>883</v>
      </c>
      <c r="M6" s="1180">
        <f>M8/$I$4</f>
        <v>2.3563131038975109E-2</v>
      </c>
      <c r="N6" s="1181" t="s">
        <v>908</v>
      </c>
      <c r="O6" s="1180">
        <f>O8/$I$4</f>
        <v>0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1.358158723265661E-2</v>
      </c>
      <c r="W6" s="2252" t="s">
        <v>912</v>
      </c>
      <c r="X6" s="2246"/>
      <c r="Y6" s="1180">
        <f>Y8/$I$4</f>
        <v>7.8167408533275431E-3</v>
      </c>
      <c r="Z6" s="2255" t="s">
        <v>889</v>
      </c>
      <c r="AA6" s="2256"/>
      <c r="AB6" s="1180">
        <f>AB8/$I$4</f>
        <v>1.6530235587884051E-2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9.4439090732465516</v>
      </c>
      <c r="C7" s="1183">
        <f ca="1">C6/$F$5</f>
        <v>0.26307016181724313</v>
      </c>
      <c r="D7" s="1184"/>
      <c r="E7" s="1185"/>
      <c r="F7" s="1183">
        <f ca="1">F6/$F$5</f>
        <v>0.14189755084592401</v>
      </c>
      <c r="G7" s="1184"/>
      <c r="H7" s="1185"/>
      <c r="I7" s="1183">
        <f ca="1">I6/$F$5</f>
        <v>1.3693880009021183E-2</v>
      </c>
      <c r="J7" s="1243">
        <f>COUNT(J9:J97)</f>
        <v>0</v>
      </c>
      <c r="K7" s="1183">
        <f ca="1">K6/$F$5</f>
        <v>0</v>
      </c>
      <c r="L7" s="1184"/>
      <c r="M7" s="1183">
        <f ca="1">M6/$F$5</f>
        <v>5.5908948780247443E-2</v>
      </c>
      <c r="N7" s="1184"/>
      <c r="O7" s="1183">
        <f ca="1">O6/$F$5</f>
        <v>0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3.2225439976082591E-2</v>
      </c>
      <c r="W7" s="1184"/>
      <c r="X7" s="1185"/>
      <c r="Y7" s="1183">
        <f ca="1">Y6/$F$5</f>
        <v>1.8547015813572709E-2</v>
      </c>
      <c r="Z7" s="1184"/>
      <c r="AA7" s="1185"/>
      <c r="AB7" s="1183">
        <f ca="1">AB6/$F$5</f>
        <v>3.9221786496869179E-2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2430.39</v>
      </c>
      <c r="C8" s="1156">
        <f>SUM(C9:C97)</f>
        <v>2853.3000000000006</v>
      </c>
      <c r="D8" s="2251" t="s">
        <v>880</v>
      </c>
      <c r="E8" s="2250"/>
      <c r="F8" s="1158">
        <f>SUM(F9:F97)</f>
        <v>1652.5500000000002</v>
      </c>
      <c r="G8" s="2251" t="s">
        <v>882</v>
      </c>
      <c r="H8" s="2250"/>
      <c r="I8" s="1158">
        <f>SUM(I9:I97)</f>
        <v>159.47999999999999</v>
      </c>
      <c r="J8" s="1157" t="s">
        <v>899</v>
      </c>
      <c r="K8" s="1158">
        <f>SUM(K9:K97)</f>
        <v>0</v>
      </c>
      <c r="L8" s="1157" t="s">
        <v>884</v>
      </c>
      <c r="M8" s="1158">
        <f>SUM(M9:M97)</f>
        <v>651.11999999999921</v>
      </c>
      <c r="N8" s="1157" t="s">
        <v>909</v>
      </c>
      <c r="O8" s="1158">
        <f>SUM(O9:O97)</f>
        <v>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375.30000000000013</v>
      </c>
      <c r="W8" s="2251" t="s">
        <v>913</v>
      </c>
      <c r="X8" s="2250"/>
      <c r="Y8" s="1158">
        <f>SUM(Y9:Y97)</f>
        <v>216</v>
      </c>
      <c r="Z8" s="2251" t="s">
        <v>890</v>
      </c>
      <c r="AA8" s="2250"/>
      <c r="AB8" s="1158">
        <f>SUM(AB9:AB97)</f>
        <v>456.78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-13.35</v>
      </c>
      <c r="AK8" s="833">
        <f>SUM(AK9:AK97)</f>
        <v>0</v>
      </c>
      <c r="AL8" s="54">
        <f>SUM(C9:C97)/SUM(B9:B97)</f>
        <v>1.174009109649069</v>
      </c>
    </row>
    <row r="9" spans="1:39" x14ac:dyDescent="0.25">
      <c r="A9" s="64">
        <v>42643</v>
      </c>
      <c r="B9" s="65">
        <v>120</v>
      </c>
      <c r="C9" s="66">
        <v>128.44999999999999</v>
      </c>
      <c r="D9" s="67"/>
      <c r="E9" s="68"/>
      <c r="F9" s="66"/>
      <c r="G9" s="1355">
        <v>42716</v>
      </c>
      <c r="H9" s="1356" t="s">
        <v>99</v>
      </c>
      <c r="I9" s="1357">
        <v>21.82</v>
      </c>
      <c r="J9" s="69"/>
      <c r="K9" s="66"/>
      <c r="L9" s="64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20.92</v>
      </c>
      <c r="W9" s="1152"/>
      <c r="X9" s="1198"/>
      <c r="Y9" s="66"/>
      <c r="Z9" s="1152">
        <v>42684</v>
      </c>
      <c r="AA9" s="1198" t="s">
        <v>95</v>
      </c>
      <c r="AB9" s="66">
        <v>76.13</v>
      </c>
      <c r="AC9" s="1152"/>
      <c r="AD9" s="1198"/>
      <c r="AE9" s="66"/>
      <c r="AF9" s="1118">
        <v>0.1</v>
      </c>
      <c r="AG9" s="1119">
        <v>9.5399999999999991</v>
      </c>
      <c r="AH9" s="1117"/>
      <c r="AI9" s="237"/>
      <c r="AJ9" s="838"/>
      <c r="AK9" s="839"/>
      <c r="AL9" s="51">
        <f t="shared" ref="AL9:AL72" si="0">C9/B9</f>
        <v>1.0704166666666666</v>
      </c>
      <c r="AM9" s="51">
        <f t="shared" ref="AM9:AM72" si="1">AL9-$AL$8</f>
        <v>-0.10359244298240244</v>
      </c>
    </row>
    <row r="10" spans="1:39" x14ac:dyDescent="0.25">
      <c r="A10" s="71">
        <v>42674</v>
      </c>
      <c r="B10" s="72">
        <v>77</v>
      </c>
      <c r="C10" s="73">
        <v>84.85</v>
      </c>
      <c r="D10" s="345"/>
      <c r="E10" s="346"/>
      <c r="F10" s="347"/>
      <c r="G10" s="1162"/>
      <c r="H10" s="75"/>
      <c r="I10" s="73"/>
      <c r="J10" s="234"/>
      <c r="K10" s="73"/>
      <c r="L10" s="71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0.14000000000000001</v>
      </c>
      <c r="AG10" s="1113">
        <v>9.59</v>
      </c>
      <c r="AH10" s="1110"/>
      <c r="AI10" s="238"/>
      <c r="AJ10" s="838"/>
      <c r="AK10" s="839"/>
      <c r="AL10" s="51">
        <f t="shared" si="0"/>
        <v>1.1019480519480518</v>
      </c>
      <c r="AM10" s="51">
        <f t="shared" si="1"/>
        <v>-7.2061057701017228E-2</v>
      </c>
    </row>
    <row r="11" spans="1:39" x14ac:dyDescent="0.25">
      <c r="A11" s="71">
        <v>42704</v>
      </c>
      <c r="B11" s="72">
        <v>5</v>
      </c>
      <c r="C11" s="73">
        <v>5.42</v>
      </c>
      <c r="D11" s="345"/>
      <c r="E11" s="346"/>
      <c r="F11" s="347"/>
      <c r="G11" s="1162"/>
      <c r="H11" s="75"/>
      <c r="I11" s="73"/>
      <c r="J11" s="234"/>
      <c r="K11" s="73"/>
      <c r="L11" s="71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0.12</v>
      </c>
      <c r="AG11" s="1113">
        <v>7.32</v>
      </c>
      <c r="AH11" s="1110"/>
      <c r="AI11" s="238"/>
      <c r="AJ11" s="838"/>
      <c r="AK11" s="839"/>
      <c r="AL11" s="51">
        <f t="shared" si="0"/>
        <v>1.0840000000000001</v>
      </c>
      <c r="AM11" s="51">
        <f t="shared" si="1"/>
        <v>-9.0009109649068941E-2</v>
      </c>
    </row>
    <row r="12" spans="1:39" x14ac:dyDescent="0.25">
      <c r="A12" s="71">
        <v>42735</v>
      </c>
      <c r="B12" s="72">
        <v>63</v>
      </c>
      <c r="C12" s="73">
        <v>70.959999999999994</v>
      </c>
      <c r="D12" s="147"/>
      <c r="E12" s="75"/>
      <c r="F12" s="73"/>
      <c r="G12" s="1162"/>
      <c r="H12" s="75"/>
      <c r="I12" s="73"/>
      <c r="J12" s="234"/>
      <c r="K12" s="73"/>
      <c r="L12" s="71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0.12</v>
      </c>
      <c r="AG12" s="1113">
        <v>7.81</v>
      </c>
      <c r="AH12" s="1110"/>
      <c r="AI12" s="238"/>
      <c r="AJ12" s="838"/>
      <c r="AK12" s="839"/>
      <c r="AL12" s="51">
        <f t="shared" si="0"/>
        <v>1.1263492063492062</v>
      </c>
      <c r="AM12" s="51">
        <f t="shared" si="1"/>
        <v>-4.7659903299862805E-2</v>
      </c>
    </row>
    <row r="13" spans="1:39" x14ac:dyDescent="0.25">
      <c r="A13" s="71">
        <v>42766</v>
      </c>
      <c r="B13" s="72">
        <v>58</v>
      </c>
      <c r="C13" s="73">
        <v>66.48</v>
      </c>
      <c r="D13" s="147">
        <v>42815</v>
      </c>
      <c r="E13" s="75" t="s">
        <v>132</v>
      </c>
      <c r="F13" s="73">
        <v>16.62</v>
      </c>
      <c r="G13" s="147">
        <v>42815</v>
      </c>
      <c r="H13" s="75" t="s">
        <v>132</v>
      </c>
      <c r="I13" s="73">
        <v>16.62</v>
      </c>
      <c r="J13" s="234"/>
      <c r="K13" s="73"/>
      <c r="L13" s="71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20.92</v>
      </c>
      <c r="W13" s="894"/>
      <c r="X13" s="1199"/>
      <c r="Y13" s="73"/>
      <c r="Z13" s="147">
        <v>42736</v>
      </c>
      <c r="AA13" s="75"/>
      <c r="AB13" s="73">
        <v>76.13</v>
      </c>
      <c r="AC13" s="894"/>
      <c r="AD13" s="1199"/>
      <c r="AE13" s="73"/>
      <c r="AF13" s="1112">
        <v>0.12</v>
      </c>
      <c r="AG13" s="1113">
        <v>8.08</v>
      </c>
      <c r="AH13" s="1110">
        <v>604</v>
      </c>
      <c r="AI13" s="238">
        <v>54</v>
      </c>
      <c r="AJ13" s="838"/>
      <c r="AK13" s="839"/>
      <c r="AL13" s="51">
        <f t="shared" si="0"/>
        <v>1.1462068965517243</v>
      </c>
      <c r="AM13" s="51">
        <f t="shared" si="1"/>
        <v>-2.7802213097344763E-2</v>
      </c>
    </row>
    <row r="14" spans="1:39" x14ac:dyDescent="0.25">
      <c r="A14" s="71">
        <v>42794</v>
      </c>
      <c r="B14" s="72">
        <v>16</v>
      </c>
      <c r="C14" s="73">
        <v>18.72</v>
      </c>
      <c r="D14" s="147"/>
      <c r="E14" s="75"/>
      <c r="F14" s="73"/>
      <c r="G14" s="147"/>
      <c r="H14" s="75"/>
      <c r="I14" s="73"/>
      <c r="J14" s="234"/>
      <c r="K14" s="73"/>
      <c r="L14" s="71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20.92</v>
      </c>
      <c r="W14" s="894"/>
      <c r="X14" s="1199"/>
      <c r="Y14" s="73"/>
      <c r="Z14" s="894">
        <v>42809</v>
      </c>
      <c r="AA14" s="1199"/>
      <c r="AB14" s="73">
        <v>76.13</v>
      </c>
      <c r="AC14" s="894"/>
      <c r="AD14" s="1199"/>
      <c r="AE14" s="73"/>
      <c r="AF14" s="1112">
        <v>0.12</v>
      </c>
      <c r="AG14" s="1113">
        <v>8.15</v>
      </c>
      <c r="AH14" s="1110">
        <v>161</v>
      </c>
      <c r="AI14" s="238">
        <v>38</v>
      </c>
      <c r="AJ14" s="838"/>
      <c r="AK14" s="839"/>
      <c r="AL14" s="51">
        <f t="shared" si="0"/>
        <v>1.17</v>
      </c>
      <c r="AM14" s="51">
        <f t="shared" si="1"/>
        <v>-4.009109649069087E-3</v>
      </c>
    </row>
    <row r="15" spans="1:39" x14ac:dyDescent="0.25">
      <c r="A15" s="71">
        <v>42825</v>
      </c>
      <c r="B15" s="72">
        <v>31</v>
      </c>
      <c r="C15" s="73">
        <v>36.72</v>
      </c>
      <c r="D15" s="147"/>
      <c r="E15" s="75"/>
      <c r="F15" s="73"/>
      <c r="G15" s="147"/>
      <c r="H15" s="75"/>
      <c r="I15" s="73"/>
      <c r="J15" s="234"/>
      <c r="K15" s="73"/>
      <c r="L15" s="71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20.92</v>
      </c>
      <c r="W15" s="894"/>
      <c r="X15" s="1199"/>
      <c r="Y15" s="73"/>
      <c r="Z15" s="147">
        <v>42901</v>
      </c>
      <c r="AA15" s="75"/>
      <c r="AB15" s="73">
        <v>76.13</v>
      </c>
      <c r="AC15" s="894"/>
      <c r="AD15" s="1199"/>
      <c r="AE15" s="73"/>
      <c r="AF15" s="1112">
        <v>0.14000000000000001</v>
      </c>
      <c r="AG15" s="1113">
        <v>8.26</v>
      </c>
      <c r="AH15" s="1110">
        <v>322</v>
      </c>
      <c r="AI15" s="238">
        <v>47</v>
      </c>
      <c r="AJ15" s="838"/>
      <c r="AK15" s="839"/>
      <c r="AL15" s="51">
        <f t="shared" si="0"/>
        <v>1.1845161290322581</v>
      </c>
      <c r="AM15" s="51">
        <f t="shared" si="1"/>
        <v>1.0507019383189098E-2</v>
      </c>
    </row>
    <row r="16" spans="1:39" x14ac:dyDescent="0.25">
      <c r="A16" s="71">
        <v>42855</v>
      </c>
      <c r="B16" s="72">
        <v>59</v>
      </c>
      <c r="C16" s="73">
        <v>67.59</v>
      </c>
      <c r="D16" s="147"/>
      <c r="E16" s="75"/>
      <c r="F16" s="73"/>
      <c r="G16" s="147"/>
      <c r="H16" s="75"/>
      <c r="I16" s="73"/>
      <c r="J16" s="836"/>
      <c r="K16" s="835"/>
      <c r="L16" s="83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20.92</v>
      </c>
      <c r="W16" s="1153"/>
      <c r="X16" s="1200"/>
      <c r="Y16" s="835"/>
      <c r="Z16" s="894">
        <v>43008</v>
      </c>
      <c r="AA16" s="1199"/>
      <c r="AB16" s="73">
        <v>76.13</v>
      </c>
      <c r="AC16" s="1153"/>
      <c r="AD16" s="1200"/>
      <c r="AE16" s="835"/>
      <c r="AF16" s="1112">
        <v>0.14000000000000001</v>
      </c>
      <c r="AG16" s="1113">
        <v>8.41</v>
      </c>
      <c r="AH16" s="1110">
        <v>622</v>
      </c>
      <c r="AI16" s="238">
        <v>38</v>
      </c>
      <c r="AJ16" s="838"/>
      <c r="AK16" s="839"/>
      <c r="AL16" s="51">
        <f t="shared" si="0"/>
        <v>1.1455932203389831</v>
      </c>
      <c r="AM16" s="51">
        <f t="shared" si="1"/>
        <v>-2.8415889310085873E-2</v>
      </c>
    </row>
    <row r="17" spans="1:39" x14ac:dyDescent="0.25">
      <c r="A17" s="71">
        <v>42886</v>
      </c>
      <c r="B17" s="72">
        <v>232.21</v>
      </c>
      <c r="C17" s="73">
        <v>264.45999999999998</v>
      </c>
      <c r="D17" s="147"/>
      <c r="E17" s="75"/>
      <c r="F17" s="73"/>
      <c r="G17" s="147"/>
      <c r="H17" s="75"/>
      <c r="I17" s="73"/>
      <c r="J17" s="234"/>
      <c r="K17" s="73"/>
      <c r="L17" s="71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0.13</v>
      </c>
      <c r="AG17" s="1113">
        <v>8.76</v>
      </c>
      <c r="AH17" s="1110">
        <v>2447</v>
      </c>
      <c r="AI17" s="238">
        <v>50.79</v>
      </c>
      <c r="AJ17" s="838"/>
      <c r="AK17" s="839"/>
      <c r="AL17" s="51">
        <f t="shared" si="0"/>
        <v>1.1388829077128459</v>
      </c>
      <c r="AM17" s="51">
        <f t="shared" si="1"/>
        <v>-3.5126201936223067E-2</v>
      </c>
    </row>
    <row r="18" spans="1:39" x14ac:dyDescent="0.25">
      <c r="A18" s="71">
        <v>42916</v>
      </c>
      <c r="B18" s="72">
        <v>30.6</v>
      </c>
      <c r="C18" s="73">
        <v>34.25</v>
      </c>
      <c r="D18" s="147"/>
      <c r="E18" s="75"/>
      <c r="F18" s="73"/>
      <c r="G18" s="147"/>
      <c r="H18" s="75"/>
      <c r="I18" s="73"/>
      <c r="J18" s="431"/>
      <c r="K18" s="347"/>
      <c r="L18" s="1160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0.14000000000000001</v>
      </c>
      <c r="AG18" s="1113">
        <v>8.81</v>
      </c>
      <c r="AH18" s="1110">
        <v>300</v>
      </c>
      <c r="AI18" s="238">
        <v>40.19</v>
      </c>
      <c r="AJ18" s="838"/>
      <c r="AK18" s="839"/>
      <c r="AL18" s="51">
        <f t="shared" si="0"/>
        <v>1.119281045751634</v>
      </c>
      <c r="AM18" s="51">
        <f t="shared" si="1"/>
        <v>-5.4728063897435009E-2</v>
      </c>
    </row>
    <row r="19" spans="1:39" x14ac:dyDescent="0.25">
      <c r="A19" s="71">
        <v>42947</v>
      </c>
      <c r="B19" s="72">
        <v>52.28</v>
      </c>
      <c r="C19" s="73">
        <v>57.51</v>
      </c>
      <c r="D19" s="147"/>
      <c r="E19" s="75"/>
      <c r="F19" s="73"/>
      <c r="G19" s="147"/>
      <c r="H19" s="75"/>
      <c r="I19" s="73"/>
      <c r="J19" s="234"/>
      <c r="K19" s="73"/>
      <c r="L19" s="71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0.15</v>
      </c>
      <c r="AG19" s="1113">
        <v>9.16</v>
      </c>
      <c r="AH19" s="1110">
        <v>540</v>
      </c>
      <c r="AI19" s="238">
        <v>27.91</v>
      </c>
      <c r="AJ19" s="838"/>
      <c r="AK19" s="839"/>
      <c r="AL19" s="51">
        <f t="shared" si="0"/>
        <v>1.1000382555470543</v>
      </c>
      <c r="AM19" s="51">
        <f t="shared" si="1"/>
        <v>-7.397085410201476E-2</v>
      </c>
    </row>
    <row r="20" spans="1:39" x14ac:dyDescent="0.25">
      <c r="A20" s="71">
        <v>42978</v>
      </c>
      <c r="B20" s="72">
        <v>34.68</v>
      </c>
      <c r="C20" s="73">
        <v>37.950000000000003</v>
      </c>
      <c r="D20" s="147"/>
      <c r="E20" s="75"/>
      <c r="F20" s="73"/>
      <c r="G20" s="147"/>
      <c r="H20" s="75"/>
      <c r="I20" s="73"/>
      <c r="J20" s="234"/>
      <c r="K20" s="73"/>
      <c r="L20" s="71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0.14000000000000001</v>
      </c>
      <c r="AG20" s="1113">
        <v>8.92</v>
      </c>
      <c r="AH20" s="1110">
        <v>340</v>
      </c>
      <c r="AI20" s="238">
        <v>33.229999999999997</v>
      </c>
      <c r="AJ20" s="838"/>
      <c r="AK20" s="839"/>
      <c r="AL20" s="51">
        <f t="shared" si="0"/>
        <v>1.0942906574394464</v>
      </c>
      <c r="AM20" s="51">
        <f t="shared" si="1"/>
        <v>-7.9718452209622592E-2</v>
      </c>
    </row>
    <row r="21" spans="1:39" x14ac:dyDescent="0.25">
      <c r="A21" s="71">
        <v>43008</v>
      </c>
      <c r="B21" s="72">
        <v>21.22</v>
      </c>
      <c r="C21" s="73">
        <v>23.23</v>
      </c>
      <c r="D21" s="147"/>
      <c r="E21" s="75"/>
      <c r="F21" s="73"/>
      <c r="G21" s="147"/>
      <c r="H21" s="75"/>
      <c r="I21" s="73"/>
      <c r="J21" s="234"/>
      <c r="K21" s="73"/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0.14000000000000001</v>
      </c>
      <c r="AG21" s="1113">
        <v>8.9499999999999993</v>
      </c>
      <c r="AH21" s="1110">
        <v>208</v>
      </c>
      <c r="AI21" s="238">
        <v>12.01</v>
      </c>
      <c r="AJ21" s="838"/>
      <c r="AK21" s="839"/>
      <c r="AL21" s="51">
        <f t="shared" si="0"/>
        <v>1.0947219604147032</v>
      </c>
      <c r="AM21" s="51">
        <f t="shared" si="1"/>
        <v>-7.9287149234365861E-2</v>
      </c>
    </row>
    <row r="22" spans="1:39" x14ac:dyDescent="0.25">
      <c r="A22" s="71">
        <v>43039</v>
      </c>
      <c r="B22" s="72">
        <v>51.39</v>
      </c>
      <c r="C22" s="73">
        <v>58.81</v>
      </c>
      <c r="D22" s="147"/>
      <c r="E22" s="75"/>
      <c r="F22" s="73"/>
      <c r="G22" s="147"/>
      <c r="H22" s="75"/>
      <c r="I22" s="73"/>
      <c r="J22" s="234"/>
      <c r="K22" s="73"/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0.14000000000000001</v>
      </c>
      <c r="AG22" s="1113">
        <v>8.99</v>
      </c>
      <c r="AH22" s="1110">
        <v>533</v>
      </c>
      <c r="AI22" s="238">
        <v>60.62</v>
      </c>
      <c r="AJ22" s="838">
        <v>-13.35</v>
      </c>
      <c r="AK22" s="839"/>
      <c r="AL22" s="51">
        <f t="shared" si="0"/>
        <v>1.144386067328274</v>
      </c>
      <c r="AM22" s="51">
        <f t="shared" si="1"/>
        <v>-2.9623042320795046E-2</v>
      </c>
    </row>
    <row r="23" spans="1:39" x14ac:dyDescent="0.25">
      <c r="A23" s="71">
        <v>43069</v>
      </c>
      <c r="B23" s="72">
        <v>67.81</v>
      </c>
      <c r="C23" s="73">
        <v>79.33</v>
      </c>
      <c r="D23" s="147"/>
      <c r="E23" s="75"/>
      <c r="F23" s="73"/>
      <c r="G23" s="147"/>
      <c r="H23" s="75"/>
      <c r="I23" s="73"/>
      <c r="J23" s="431"/>
      <c r="K23" s="347"/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0.35</v>
      </c>
      <c r="AG23" s="1113">
        <v>9.0299999999999994</v>
      </c>
      <c r="AH23" s="1110">
        <v>704</v>
      </c>
      <c r="AI23" s="238">
        <v>52.81</v>
      </c>
      <c r="AJ23" s="838"/>
      <c r="AK23" s="839"/>
      <c r="AL23" s="51">
        <f t="shared" si="0"/>
        <v>1.1698864474266333</v>
      </c>
      <c r="AM23" s="51">
        <f t="shared" si="1"/>
        <v>-4.1226622224357357E-3</v>
      </c>
    </row>
    <row r="24" spans="1:39" x14ac:dyDescent="0.25">
      <c r="A24" s="71">
        <v>43100</v>
      </c>
      <c r="B24" s="72">
        <v>53.39</v>
      </c>
      <c r="C24" s="73">
        <v>62.19</v>
      </c>
      <c r="D24" s="147"/>
      <c r="E24" s="75"/>
      <c r="F24" s="73"/>
      <c r="G24" s="147"/>
      <c r="H24" s="75"/>
      <c r="I24" s="73"/>
      <c r="J24" s="234"/>
      <c r="K24" s="73"/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0.35</v>
      </c>
      <c r="AG24" s="1113">
        <v>9.07</v>
      </c>
      <c r="AH24" s="1110">
        <v>548</v>
      </c>
      <c r="AI24" s="238">
        <v>59.42</v>
      </c>
      <c r="AJ24" s="838"/>
      <c r="AK24" s="839"/>
      <c r="AL24" s="51">
        <f t="shared" si="0"/>
        <v>1.1648248735718298</v>
      </c>
      <c r="AM24" s="51">
        <f t="shared" si="1"/>
        <v>-9.1842360772391718E-3</v>
      </c>
    </row>
    <row r="25" spans="1:39" x14ac:dyDescent="0.25">
      <c r="A25" s="71">
        <v>43131</v>
      </c>
      <c r="B25" s="72">
        <v>5.71</v>
      </c>
      <c r="C25" s="73">
        <v>6.65</v>
      </c>
      <c r="D25" s="528">
        <v>43328</v>
      </c>
      <c r="E25" s="516" t="s">
        <v>384</v>
      </c>
      <c r="F25" s="380">
        <v>8.56</v>
      </c>
      <c r="G25" s="147">
        <v>43164</v>
      </c>
      <c r="H25" s="75" t="s">
        <v>297</v>
      </c>
      <c r="I25" s="73">
        <v>49.5</v>
      </c>
      <c r="J25" s="234"/>
      <c r="K25" s="73"/>
      <c r="L25" s="71"/>
      <c r="M25" s="73"/>
      <c r="N25" s="1153"/>
      <c r="O25" s="835"/>
      <c r="P25" s="71"/>
      <c r="Q25" s="73"/>
      <c r="R25" s="71"/>
      <c r="S25" s="73"/>
      <c r="T25" s="894">
        <v>43101</v>
      </c>
      <c r="U25" s="1199" t="s">
        <v>953</v>
      </c>
      <c r="V25" s="73">
        <v>20.92</v>
      </c>
      <c r="W25" s="894">
        <v>43251</v>
      </c>
      <c r="X25" s="1199" t="s">
        <v>945</v>
      </c>
      <c r="Y25" s="73">
        <v>54</v>
      </c>
      <c r="Z25" s="894">
        <v>43101</v>
      </c>
      <c r="AA25" s="1199" t="s">
        <v>953</v>
      </c>
      <c r="AB25" s="73">
        <v>76.13</v>
      </c>
      <c r="AC25" s="894"/>
      <c r="AD25" s="1199"/>
      <c r="AE25" s="73"/>
      <c r="AF25" s="1112">
        <v>0.36</v>
      </c>
      <c r="AG25" s="1113">
        <v>9.08</v>
      </c>
      <c r="AH25" s="1110">
        <v>56</v>
      </c>
      <c r="AI25" s="238">
        <v>53.52</v>
      </c>
      <c r="AJ25" s="838"/>
      <c r="AK25" s="839"/>
      <c r="AL25" s="51">
        <f t="shared" si="0"/>
        <v>1.1646234676007006</v>
      </c>
      <c r="AM25" s="51">
        <f t="shared" si="1"/>
        <v>-9.3856420483684477E-3</v>
      </c>
    </row>
    <row r="26" spans="1:39" x14ac:dyDescent="0.25">
      <c r="A26" s="71">
        <v>43159</v>
      </c>
      <c r="B26" s="72">
        <v>13.46</v>
      </c>
      <c r="C26" s="73">
        <v>15.68</v>
      </c>
      <c r="D26" s="147"/>
      <c r="E26" s="75"/>
      <c r="F26" s="73"/>
      <c r="G26" s="147"/>
      <c r="H26" s="75"/>
      <c r="I26" s="73"/>
      <c r="J26" s="234"/>
      <c r="K26" s="73"/>
      <c r="L26" s="71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20.92</v>
      </c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v>0.36</v>
      </c>
      <c r="AG26" s="1113">
        <v>9.09</v>
      </c>
      <c r="AH26" s="1110">
        <v>132</v>
      </c>
      <c r="AI26" s="238">
        <v>40.06</v>
      </c>
      <c r="AJ26" s="838"/>
      <c r="AK26" s="839"/>
      <c r="AL26" s="51">
        <f t="shared" si="0"/>
        <v>1.1649331352154531</v>
      </c>
      <c r="AM26" s="51">
        <f t="shared" si="1"/>
        <v>-9.0759744336159631E-3</v>
      </c>
    </row>
    <row r="27" spans="1:39" x14ac:dyDescent="0.25">
      <c r="A27" s="71">
        <v>43190</v>
      </c>
      <c r="B27" s="72">
        <v>38.64</v>
      </c>
      <c r="C27" s="73">
        <v>44.97</v>
      </c>
      <c r="D27" s="147"/>
      <c r="E27" s="75"/>
      <c r="F27" s="73"/>
      <c r="G27" s="147"/>
      <c r="H27" s="75"/>
      <c r="I27" s="73"/>
      <c r="J27" s="234"/>
      <c r="K27" s="73"/>
      <c r="L27" s="71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20.92</v>
      </c>
      <c r="W27" s="945"/>
      <c r="X27" s="1201"/>
      <c r="Y27" s="347"/>
      <c r="Z27" s="894"/>
      <c r="AA27" s="1199"/>
      <c r="AB27" s="73"/>
      <c r="AC27" s="894"/>
      <c r="AD27" s="1199"/>
      <c r="AE27" s="73"/>
      <c r="AF27" s="1112">
        <v>0.31</v>
      </c>
      <c r="AG27" s="1113">
        <v>9.11</v>
      </c>
      <c r="AH27" s="1110">
        <v>395</v>
      </c>
      <c r="AI27" s="238">
        <v>11.42</v>
      </c>
      <c r="AJ27" s="838"/>
      <c r="AK27" s="839"/>
      <c r="AL27" s="51">
        <f t="shared" si="0"/>
        <v>1.1638198757763976</v>
      </c>
      <c r="AM27" s="51">
        <f t="shared" si="1"/>
        <v>-1.0189233872671455E-2</v>
      </c>
    </row>
    <row r="28" spans="1:39" x14ac:dyDescent="0.25">
      <c r="A28" s="71">
        <v>43220</v>
      </c>
      <c r="B28" s="72">
        <v>97.29</v>
      </c>
      <c r="C28" s="73">
        <v>118.56</v>
      </c>
      <c r="D28" s="147"/>
      <c r="E28" s="75"/>
      <c r="F28" s="73"/>
      <c r="G28" s="345"/>
      <c r="H28" s="346"/>
      <c r="I28" s="347"/>
      <c r="J28" s="234"/>
      <c r="K28" s="73"/>
      <c r="L28" s="71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20.92</v>
      </c>
      <c r="W28" s="894"/>
      <c r="X28" s="1199"/>
      <c r="Y28" s="73"/>
      <c r="Z28" s="894"/>
      <c r="AA28" s="1199"/>
      <c r="AB28" s="73"/>
      <c r="AC28" s="894"/>
      <c r="AD28" s="1199"/>
      <c r="AE28" s="73"/>
      <c r="AF28" s="1112">
        <v>0.31</v>
      </c>
      <c r="AG28" s="1113">
        <v>9.15</v>
      </c>
      <c r="AH28" s="1110">
        <v>1024</v>
      </c>
      <c r="AI28" s="238">
        <v>59.13</v>
      </c>
      <c r="AJ28" s="838"/>
      <c r="AK28" s="839"/>
      <c r="AL28" s="51">
        <f t="shared" si="0"/>
        <v>1.2186247301880975</v>
      </c>
      <c r="AM28" s="51">
        <f t="shared" si="1"/>
        <v>4.4615620539028455E-2</v>
      </c>
    </row>
    <row r="29" spans="1:39" x14ac:dyDescent="0.25">
      <c r="A29" s="71">
        <v>43251</v>
      </c>
      <c r="B29" s="72">
        <v>180.06</v>
      </c>
      <c r="C29" s="73">
        <v>224.04</v>
      </c>
      <c r="D29" s="147"/>
      <c r="E29" s="75"/>
      <c r="F29" s="73"/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0.31</v>
      </c>
      <c r="AG29" s="1113">
        <v>9.1999999999999993</v>
      </c>
      <c r="AH29" s="1110">
        <v>1884</v>
      </c>
      <c r="AI29" s="238">
        <v>180.06</v>
      </c>
      <c r="AJ29" s="838"/>
      <c r="AK29" s="839"/>
      <c r="AL29" s="51">
        <f t="shared" si="0"/>
        <v>1.2442519160279906</v>
      </c>
      <c r="AM29" s="51">
        <f t="shared" si="1"/>
        <v>7.0242806378921552E-2</v>
      </c>
    </row>
    <row r="30" spans="1:39" x14ac:dyDescent="0.25">
      <c r="A30" s="71">
        <v>43281</v>
      </c>
      <c r="B30" s="72">
        <v>127.31</v>
      </c>
      <c r="C30" s="73">
        <v>163.29</v>
      </c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0.31</v>
      </c>
      <c r="AG30" s="1113">
        <v>9.23</v>
      </c>
      <c r="AH30" s="1110">
        <v>1329</v>
      </c>
      <c r="AI30" s="238">
        <v>53.76</v>
      </c>
      <c r="AJ30" s="838"/>
      <c r="AK30" s="839"/>
      <c r="AL30" s="51">
        <f t="shared" si="0"/>
        <v>1.2826172335244677</v>
      </c>
      <c r="AM30" s="51">
        <f t="shared" si="1"/>
        <v>0.10860812387539864</v>
      </c>
    </row>
    <row r="31" spans="1:39" x14ac:dyDescent="0.25">
      <c r="A31" s="71">
        <v>43312</v>
      </c>
      <c r="B31" s="72">
        <v>4.3899999999999997</v>
      </c>
      <c r="C31" s="73">
        <v>5.63</v>
      </c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0.31</v>
      </c>
      <c r="AG31" s="1113">
        <v>9.23</v>
      </c>
      <c r="AH31" s="1110">
        <v>43</v>
      </c>
      <c r="AI31" s="238">
        <v>49.37</v>
      </c>
      <c r="AJ31" s="838"/>
      <c r="AK31" s="839"/>
      <c r="AL31" s="51">
        <f t="shared" si="0"/>
        <v>1.2824601366742598</v>
      </c>
      <c r="AM31" s="51">
        <f t="shared" si="1"/>
        <v>0.10845102702519083</v>
      </c>
    </row>
    <row r="32" spans="1:39" x14ac:dyDescent="0.25">
      <c r="A32" s="71">
        <v>43343</v>
      </c>
      <c r="B32" s="72">
        <v>23.87</v>
      </c>
      <c r="C32" s="73">
        <v>30.61</v>
      </c>
      <c r="D32" s="528"/>
      <c r="E32" s="516"/>
      <c r="F32" s="380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0.31</v>
      </c>
      <c r="AG32" s="1113">
        <v>9.25</v>
      </c>
      <c r="AH32" s="1110">
        <v>234</v>
      </c>
      <c r="AI32" s="238">
        <v>25.5</v>
      </c>
      <c r="AJ32" s="838"/>
      <c r="AK32" s="839"/>
      <c r="AL32" s="51">
        <f t="shared" si="0"/>
        <v>1.2823627984918307</v>
      </c>
      <c r="AM32" s="51">
        <f t="shared" si="1"/>
        <v>0.10835368884276164</v>
      </c>
    </row>
    <row r="33" spans="1:39" x14ac:dyDescent="0.25">
      <c r="A33" s="71">
        <v>43373</v>
      </c>
      <c r="B33" s="72">
        <v>22.03</v>
      </c>
      <c r="C33" s="73">
        <v>28.22</v>
      </c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0.31</v>
      </c>
      <c r="AG33" s="1113">
        <v>9.26</v>
      </c>
      <c r="AH33" s="1110">
        <v>216</v>
      </c>
      <c r="AI33" s="238">
        <v>53.47</v>
      </c>
      <c r="AJ33" s="838"/>
      <c r="AK33" s="839"/>
      <c r="AL33" s="51">
        <f t="shared" si="0"/>
        <v>1.2809804811620515</v>
      </c>
      <c r="AM33" s="51">
        <f t="shared" si="1"/>
        <v>0.10697137151298253</v>
      </c>
    </row>
    <row r="34" spans="1:39" x14ac:dyDescent="0.25">
      <c r="A34" s="71">
        <v>43404</v>
      </c>
      <c r="B34" s="72">
        <v>25.7</v>
      </c>
      <c r="C34" s="73">
        <v>32.93</v>
      </c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0.31</v>
      </c>
      <c r="AG34" s="1113">
        <v>9.2799999999999994</v>
      </c>
      <c r="AH34" s="1110">
        <v>252</v>
      </c>
      <c r="AI34" s="238">
        <v>27.77</v>
      </c>
      <c r="AJ34" s="838"/>
      <c r="AK34" s="839"/>
      <c r="AL34" s="51">
        <f t="shared" si="0"/>
        <v>1.2813229571984437</v>
      </c>
      <c r="AM34" s="51">
        <f t="shared" si="1"/>
        <v>0.10731384754937467</v>
      </c>
    </row>
    <row r="35" spans="1:39" x14ac:dyDescent="0.25">
      <c r="A35" s="71">
        <v>43434</v>
      </c>
      <c r="B35" s="72">
        <v>28.63</v>
      </c>
      <c r="C35" s="73">
        <v>36.840000000000003</v>
      </c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0.31</v>
      </c>
      <c r="AG35" s="1113">
        <v>9.2899999999999991</v>
      </c>
      <c r="AH35" s="1110">
        <v>286</v>
      </c>
      <c r="AI35" s="238">
        <v>44.14</v>
      </c>
      <c r="AJ35" s="838"/>
      <c r="AK35" s="839"/>
      <c r="AL35" s="51">
        <f t="shared" si="0"/>
        <v>1.2867621376178835</v>
      </c>
      <c r="AM35" s="51">
        <f t="shared" si="1"/>
        <v>0.11275302796881448</v>
      </c>
    </row>
    <row r="36" spans="1:39" x14ac:dyDescent="0.25">
      <c r="A36" s="71">
        <v>43465</v>
      </c>
      <c r="B36" s="72">
        <v>22.03</v>
      </c>
      <c r="C36" s="73">
        <v>27.43</v>
      </c>
      <c r="D36" s="147"/>
      <c r="E36" s="75"/>
      <c r="F36" s="73"/>
      <c r="G36" s="147"/>
      <c r="H36" s="75"/>
      <c r="I36" s="73"/>
      <c r="J36" s="234"/>
      <c r="K36" s="73"/>
      <c r="L36" s="71">
        <v>43480</v>
      </c>
      <c r="M36" s="73">
        <v>331.92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0.31</v>
      </c>
      <c r="AG36" s="1113">
        <v>9.3000000000000007</v>
      </c>
      <c r="AH36" s="1110">
        <v>216</v>
      </c>
      <c r="AI36" s="238">
        <v>81.12</v>
      </c>
      <c r="AJ36" s="838"/>
      <c r="AK36" s="839"/>
      <c r="AL36" s="51">
        <f t="shared" si="0"/>
        <v>1.2451202905129368</v>
      </c>
      <c r="AM36" s="51">
        <f t="shared" si="1"/>
        <v>7.1111180863867807E-2</v>
      </c>
    </row>
    <row r="37" spans="1:39" x14ac:dyDescent="0.25">
      <c r="A37" s="71">
        <v>43496</v>
      </c>
      <c r="B37" s="72">
        <v>11.12</v>
      </c>
      <c r="C37" s="73">
        <v>13.8</v>
      </c>
      <c r="D37" s="147">
        <v>43528</v>
      </c>
      <c r="E37" s="75" t="s">
        <v>586</v>
      </c>
      <c r="F37" s="73">
        <v>22.7</v>
      </c>
      <c r="G37" s="147"/>
      <c r="H37" s="75"/>
      <c r="I37" s="73"/>
      <c r="J37" s="234"/>
      <c r="K37" s="73"/>
      <c r="L37" s="71">
        <v>43480</v>
      </c>
      <c r="M37" s="73">
        <v>8.4</v>
      </c>
      <c r="N37" s="894"/>
      <c r="O37" s="73"/>
      <c r="P37" s="71"/>
      <c r="Q37" s="73"/>
      <c r="R37" s="71"/>
      <c r="S37" s="73"/>
      <c r="T37" s="894">
        <v>43466</v>
      </c>
      <c r="U37" s="1199" t="s">
        <v>957</v>
      </c>
      <c r="V37" s="73">
        <v>20.92</v>
      </c>
      <c r="W37" s="894">
        <v>43588</v>
      </c>
      <c r="X37" s="1199" t="s">
        <v>923</v>
      </c>
      <c r="Y37" s="73">
        <v>54</v>
      </c>
      <c r="Z37" s="894"/>
      <c r="AA37" s="1199"/>
      <c r="AB37" s="73"/>
      <c r="AC37" s="894"/>
      <c r="AD37" s="1199"/>
      <c r="AE37" s="73"/>
      <c r="AF37" s="1112">
        <v>0.33</v>
      </c>
      <c r="AG37" s="1113">
        <v>9.33</v>
      </c>
      <c r="AH37" s="1110">
        <v>70</v>
      </c>
      <c r="AI37" s="238">
        <v>79</v>
      </c>
      <c r="AJ37" s="838"/>
      <c r="AK37" s="839"/>
      <c r="AL37" s="51">
        <f t="shared" si="0"/>
        <v>1.2410071942446044</v>
      </c>
      <c r="AM37" s="51">
        <f t="shared" si="1"/>
        <v>6.6998084595535357E-2</v>
      </c>
    </row>
    <row r="38" spans="1:39" x14ac:dyDescent="0.25">
      <c r="A38" s="71">
        <v>43524</v>
      </c>
      <c r="B38" s="72">
        <v>18</v>
      </c>
      <c r="C38" s="73">
        <v>22.33</v>
      </c>
      <c r="D38" s="147"/>
      <c r="E38" s="75"/>
      <c r="F38" s="73"/>
      <c r="G38" s="147"/>
      <c r="H38" s="75"/>
      <c r="I38" s="73"/>
      <c r="J38" s="234"/>
      <c r="K38" s="73"/>
      <c r="L38" s="71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20.92</v>
      </c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v>0.34</v>
      </c>
      <c r="AG38" s="1113">
        <v>9.33</v>
      </c>
      <c r="AH38" s="1110">
        <v>186</v>
      </c>
      <c r="AI38" s="238">
        <v>61</v>
      </c>
      <c r="AJ38" s="838"/>
      <c r="AK38" s="839"/>
      <c r="AL38" s="51">
        <f t="shared" si="0"/>
        <v>1.2405555555555554</v>
      </c>
      <c r="AM38" s="51">
        <f t="shared" si="1"/>
        <v>6.6546445906486396E-2</v>
      </c>
    </row>
    <row r="39" spans="1:39" x14ac:dyDescent="0.25">
      <c r="A39" s="71">
        <v>43555</v>
      </c>
      <c r="B39" s="72">
        <v>25</v>
      </c>
      <c r="C39" s="73">
        <v>31.02</v>
      </c>
      <c r="D39" s="147"/>
      <c r="E39" s="75"/>
      <c r="F39" s="73"/>
      <c r="G39" s="147"/>
      <c r="H39" s="75"/>
      <c r="I39" s="73"/>
      <c r="J39" s="234"/>
      <c r="K39" s="73"/>
      <c r="L39" s="71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20.74</v>
      </c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v>0.35</v>
      </c>
      <c r="AG39" s="1113">
        <v>9.35</v>
      </c>
      <c r="AH39" s="1110">
        <v>237</v>
      </c>
      <c r="AI39" s="238">
        <v>36</v>
      </c>
      <c r="AJ39" s="838"/>
      <c r="AK39" s="839"/>
      <c r="AL39" s="51">
        <f t="shared" si="0"/>
        <v>1.2407999999999999</v>
      </c>
      <c r="AM39" s="51">
        <f t="shared" si="1"/>
        <v>6.6790890350930887E-2</v>
      </c>
    </row>
    <row r="40" spans="1:39" x14ac:dyDescent="0.25">
      <c r="A40" s="71">
        <v>43585</v>
      </c>
      <c r="B40" s="72">
        <v>2</v>
      </c>
      <c r="C40" s="73">
        <v>2.48</v>
      </c>
      <c r="D40" s="147"/>
      <c r="E40" s="75"/>
      <c r="F40" s="73"/>
      <c r="G40" s="147"/>
      <c r="H40" s="75"/>
      <c r="I40" s="73"/>
      <c r="J40" s="234"/>
      <c r="K40" s="73"/>
      <c r="L40" s="71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20.74</v>
      </c>
      <c r="W40" s="894"/>
      <c r="X40" s="1199"/>
      <c r="Y40" s="73"/>
      <c r="Z40" s="894"/>
      <c r="AA40" s="1199"/>
      <c r="AB40" s="73"/>
      <c r="AC40" s="894"/>
      <c r="AD40" s="1199"/>
      <c r="AE40" s="73"/>
      <c r="AF40" s="1112">
        <v>0.35</v>
      </c>
      <c r="AG40" s="1113">
        <v>9.25</v>
      </c>
      <c r="AH40" s="1110">
        <v>215</v>
      </c>
      <c r="AI40" s="238">
        <v>34</v>
      </c>
      <c r="AJ40" s="838"/>
      <c r="AK40" s="839"/>
      <c r="AL40" s="51">
        <f t="shared" si="0"/>
        <v>1.24</v>
      </c>
      <c r="AM40" s="51">
        <f t="shared" si="1"/>
        <v>6.5990890350930975E-2</v>
      </c>
    </row>
    <row r="41" spans="1:39" x14ac:dyDescent="0.25">
      <c r="A41" s="71">
        <v>43616</v>
      </c>
      <c r="B41" s="72">
        <v>114.35</v>
      </c>
      <c r="C41" s="73">
        <v>144.18</v>
      </c>
      <c r="D41" s="147"/>
      <c r="E41" s="75"/>
      <c r="F41" s="73"/>
      <c r="G41" s="147"/>
      <c r="H41" s="75"/>
      <c r="I41" s="73"/>
      <c r="J41" s="234"/>
      <c r="K41" s="73"/>
      <c r="L41" s="71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0.35</v>
      </c>
      <c r="AG41" s="1113">
        <v>9.4</v>
      </c>
      <c r="AH41" s="1110">
        <v>922</v>
      </c>
      <c r="AI41" s="238">
        <v>79</v>
      </c>
      <c r="AJ41" s="838"/>
      <c r="AK41" s="839"/>
      <c r="AL41" s="51">
        <f t="shared" si="0"/>
        <v>1.260865763008308</v>
      </c>
      <c r="AM41" s="51">
        <f t="shared" si="1"/>
        <v>8.6856653359238978E-2</v>
      </c>
    </row>
    <row r="42" spans="1:39" x14ac:dyDescent="0.25">
      <c r="A42" s="71">
        <v>43646</v>
      </c>
      <c r="B42" s="72">
        <v>29.18</v>
      </c>
      <c r="C42" s="73">
        <v>36.4</v>
      </c>
      <c r="D42" s="147"/>
      <c r="E42" s="75"/>
      <c r="F42" s="73"/>
      <c r="G42" s="147"/>
      <c r="H42" s="75"/>
      <c r="I42" s="73"/>
      <c r="J42" s="234"/>
      <c r="K42" s="73"/>
      <c r="L42" s="71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0.35</v>
      </c>
      <c r="AG42" s="1113">
        <v>9.43</v>
      </c>
      <c r="AH42" s="1110">
        <v>251</v>
      </c>
      <c r="AI42" s="238">
        <v>79</v>
      </c>
      <c r="AJ42" s="838"/>
      <c r="AK42" s="839"/>
      <c r="AL42" s="51">
        <f t="shared" si="0"/>
        <v>1.2474297464016448</v>
      </c>
      <c r="AM42" s="51">
        <f t="shared" si="1"/>
        <v>7.3420636752575819E-2</v>
      </c>
    </row>
    <row r="43" spans="1:39" x14ac:dyDescent="0.25">
      <c r="A43" s="71">
        <v>43677</v>
      </c>
      <c r="B43" s="72">
        <v>80.73</v>
      </c>
      <c r="C43" s="73">
        <v>99.8</v>
      </c>
      <c r="D43" s="147"/>
      <c r="E43" s="75"/>
      <c r="F43" s="73"/>
      <c r="G43" s="1162"/>
      <c r="H43" s="75"/>
      <c r="I43" s="73"/>
      <c r="J43" s="234"/>
      <c r="K43" s="73"/>
      <c r="L43" s="71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0.35</v>
      </c>
      <c r="AG43" s="1113">
        <v>9.4499999999999993</v>
      </c>
      <c r="AH43" s="1110">
        <v>812</v>
      </c>
      <c r="AI43" s="238">
        <v>79</v>
      </c>
      <c r="AJ43" s="838"/>
      <c r="AK43" s="839"/>
      <c r="AL43" s="51">
        <f t="shared" si="0"/>
        <v>1.2362194970890623</v>
      </c>
      <c r="AM43" s="51">
        <f t="shared" si="1"/>
        <v>6.2210387439993298E-2</v>
      </c>
    </row>
    <row r="44" spans="1:39" x14ac:dyDescent="0.25">
      <c r="A44" s="71">
        <v>43708</v>
      </c>
      <c r="B44" s="72">
        <v>26.78</v>
      </c>
      <c r="C44" s="73">
        <v>32.86</v>
      </c>
      <c r="D44" s="147"/>
      <c r="E44" s="75"/>
      <c r="F44" s="73"/>
      <c r="G44" s="147"/>
      <c r="H44" s="75"/>
      <c r="I44" s="73"/>
      <c r="J44" s="234"/>
      <c r="K44" s="73"/>
      <c r="L44" s="71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0.35</v>
      </c>
      <c r="AG44" s="1113">
        <v>9.4700000000000006</v>
      </c>
      <c r="AH44" s="1110">
        <v>258</v>
      </c>
      <c r="AI44" s="238">
        <v>79</v>
      </c>
      <c r="AJ44" s="838"/>
      <c r="AK44" s="839"/>
      <c r="AL44" s="51">
        <f t="shared" si="0"/>
        <v>1.2270351008215086</v>
      </c>
      <c r="AM44" s="51">
        <f t="shared" si="1"/>
        <v>5.3025991172439557E-2</v>
      </c>
    </row>
    <row r="45" spans="1:39" x14ac:dyDescent="0.25">
      <c r="A45" s="71">
        <v>43738</v>
      </c>
      <c r="B45" s="72">
        <v>14.48</v>
      </c>
      <c r="C45" s="73">
        <v>17.8</v>
      </c>
      <c r="D45" s="147"/>
      <c r="E45" s="75"/>
      <c r="F45" s="73"/>
      <c r="G45" s="147"/>
      <c r="H45" s="75"/>
      <c r="I45" s="73"/>
      <c r="J45" s="234"/>
      <c r="K45" s="73"/>
      <c r="L45" s="71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0.35</v>
      </c>
      <c r="AG45" s="1113">
        <v>9.4700000000000006</v>
      </c>
      <c r="AH45" s="1110">
        <v>153</v>
      </c>
      <c r="AI45" s="238">
        <v>79</v>
      </c>
      <c r="AJ45" s="838"/>
      <c r="AK45" s="839"/>
      <c r="AL45" s="51">
        <f t="shared" si="0"/>
        <v>1.229281767955801</v>
      </c>
      <c r="AM45" s="51">
        <f t="shared" si="1"/>
        <v>5.5272658306732003E-2</v>
      </c>
    </row>
    <row r="46" spans="1:39" x14ac:dyDescent="0.25">
      <c r="A46" s="71">
        <v>43769</v>
      </c>
      <c r="B46" s="72">
        <v>28</v>
      </c>
      <c r="C46" s="73">
        <v>34.5</v>
      </c>
      <c r="D46" s="147"/>
      <c r="E46" s="75"/>
      <c r="F46" s="73"/>
      <c r="G46" s="147"/>
      <c r="H46" s="75"/>
      <c r="I46" s="73"/>
      <c r="J46" s="234"/>
      <c r="K46" s="73"/>
      <c r="L46" s="71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0.35</v>
      </c>
      <c r="AG46" s="1113">
        <v>9.4600000000000009</v>
      </c>
      <c r="AH46" s="1110">
        <v>320</v>
      </c>
      <c r="AI46" s="238">
        <v>79</v>
      </c>
      <c r="AJ46" s="838"/>
      <c r="AK46" s="839"/>
      <c r="AL46" s="51">
        <f t="shared" si="0"/>
        <v>1.2321428571428572</v>
      </c>
      <c r="AM46" s="51">
        <f t="shared" si="1"/>
        <v>5.813374749378819E-2</v>
      </c>
    </row>
    <row r="47" spans="1:39" x14ac:dyDescent="0.25">
      <c r="A47" s="71">
        <v>43799</v>
      </c>
      <c r="B47" s="72">
        <v>18.760000000000002</v>
      </c>
      <c r="C47" s="73">
        <v>23</v>
      </c>
      <c r="D47" s="147"/>
      <c r="E47" s="75"/>
      <c r="F47" s="73"/>
      <c r="G47" s="147"/>
      <c r="H47" s="75"/>
      <c r="I47" s="73"/>
      <c r="J47" s="234"/>
      <c r="K47" s="73"/>
      <c r="L47" s="71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0.35</v>
      </c>
      <c r="AG47" s="1113">
        <v>9.4600000000000009</v>
      </c>
      <c r="AH47" s="1110">
        <v>179</v>
      </c>
      <c r="AI47" s="238">
        <v>79</v>
      </c>
      <c r="AJ47" s="838"/>
      <c r="AK47" s="839"/>
      <c r="AL47" s="51">
        <f t="shared" si="0"/>
        <v>1.2260127931769722</v>
      </c>
      <c r="AM47" s="51">
        <f t="shared" si="1"/>
        <v>5.2003683527903188E-2</v>
      </c>
    </row>
    <row r="48" spans="1:39" x14ac:dyDescent="0.25">
      <c r="A48" s="71">
        <v>43830</v>
      </c>
      <c r="B48" s="72">
        <v>30.28</v>
      </c>
      <c r="C48" s="73">
        <v>37.17</v>
      </c>
      <c r="D48" s="147"/>
      <c r="E48" s="75"/>
      <c r="F48" s="73"/>
      <c r="G48" s="147"/>
      <c r="H48" s="75"/>
      <c r="I48" s="73"/>
      <c r="J48" s="234"/>
      <c r="K48" s="73"/>
      <c r="L48" s="71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0.35</v>
      </c>
      <c r="AG48" s="1113">
        <v>9.4600000000000009</v>
      </c>
      <c r="AH48" s="1110">
        <v>274</v>
      </c>
      <c r="AI48" s="238">
        <v>79</v>
      </c>
      <c r="AJ48" s="838"/>
      <c r="AK48" s="839"/>
      <c r="AL48" s="51">
        <f t="shared" si="0"/>
        <v>1.2275429326287979</v>
      </c>
      <c r="AM48" s="51">
        <f t="shared" si="1"/>
        <v>5.3533822979728862E-2</v>
      </c>
    </row>
    <row r="49" spans="1:39" x14ac:dyDescent="0.25">
      <c r="A49" s="71">
        <v>43861</v>
      </c>
      <c r="B49" s="72">
        <v>24.42</v>
      </c>
      <c r="C49" s="73">
        <v>29.85</v>
      </c>
      <c r="D49" s="147">
        <v>43887</v>
      </c>
      <c r="E49" s="75" t="s">
        <v>996</v>
      </c>
      <c r="F49" s="73">
        <v>1261.58</v>
      </c>
      <c r="G49" s="147">
        <v>43892</v>
      </c>
      <c r="H49" s="75" t="s">
        <v>1039</v>
      </c>
      <c r="I49" s="73">
        <v>49.5</v>
      </c>
      <c r="J49" s="234"/>
      <c r="K49" s="73"/>
      <c r="L49" s="71">
        <v>43861</v>
      </c>
      <c r="M49" s="73">
        <v>8.4</v>
      </c>
      <c r="N49" s="894"/>
      <c r="O49" s="73"/>
      <c r="P49" s="71"/>
      <c r="Q49" s="73"/>
      <c r="R49" s="71"/>
      <c r="S49" s="73"/>
      <c r="T49" s="894">
        <v>43808</v>
      </c>
      <c r="U49" s="1199" t="s">
        <v>961</v>
      </c>
      <c r="V49" s="73">
        <v>20.74</v>
      </c>
      <c r="W49" s="894">
        <v>43942</v>
      </c>
      <c r="X49" s="1199" t="s">
        <v>1079</v>
      </c>
      <c r="Y49" s="73">
        <v>54</v>
      </c>
      <c r="Z49" s="894"/>
      <c r="AA49" s="1199"/>
      <c r="AB49" s="73"/>
      <c r="AC49" s="894"/>
      <c r="AD49" s="1199"/>
      <c r="AE49" s="73"/>
      <c r="AF49" s="1112">
        <v>0.35</v>
      </c>
      <c r="AG49" s="1113">
        <v>9.4600000000000009</v>
      </c>
      <c r="AH49" s="1110">
        <v>120</v>
      </c>
      <c r="AI49" s="238">
        <v>70</v>
      </c>
      <c r="AJ49" s="838"/>
      <c r="AK49" s="839"/>
      <c r="AL49" s="51">
        <f t="shared" si="0"/>
        <v>1.2223587223587222</v>
      </c>
      <c r="AM49" s="51">
        <f t="shared" si="1"/>
        <v>4.8349612709653211E-2</v>
      </c>
    </row>
    <row r="50" spans="1:39" x14ac:dyDescent="0.25">
      <c r="A50" s="71">
        <v>43890</v>
      </c>
      <c r="B50" s="72">
        <v>22.35</v>
      </c>
      <c r="C50" s="73">
        <v>27.03</v>
      </c>
      <c r="D50" s="147">
        <v>43895</v>
      </c>
      <c r="E50" s="75" t="s">
        <v>863</v>
      </c>
      <c r="F50" s="73">
        <v>29.16</v>
      </c>
      <c r="G50" s="147">
        <v>44561</v>
      </c>
      <c r="H50" s="75" t="s">
        <v>510</v>
      </c>
      <c r="I50" s="73">
        <f>17.54+4.5</f>
        <v>22.04</v>
      </c>
      <c r="J50" s="234"/>
      <c r="K50" s="73"/>
      <c r="L50" s="71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20.74</v>
      </c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v>0.35</v>
      </c>
      <c r="AG50" s="1113">
        <v>9.4600000000000009</v>
      </c>
      <c r="AH50" s="1110">
        <v>308</v>
      </c>
      <c r="AI50" s="238">
        <v>79</v>
      </c>
      <c r="AJ50" s="838"/>
      <c r="AK50" s="839"/>
      <c r="AL50" s="51">
        <f t="shared" si="0"/>
        <v>1.2093959731543624</v>
      </c>
      <c r="AM50" s="51">
        <f t="shared" si="1"/>
        <v>3.5386863505293409E-2</v>
      </c>
    </row>
    <row r="51" spans="1:39" x14ac:dyDescent="0.25">
      <c r="A51" s="71">
        <v>43921</v>
      </c>
      <c r="B51" s="72">
        <v>17.05</v>
      </c>
      <c r="C51" s="73">
        <v>20.22</v>
      </c>
      <c r="D51" s="147"/>
      <c r="E51" s="75"/>
      <c r="F51" s="73"/>
      <c r="G51" s="147"/>
      <c r="H51" s="75"/>
      <c r="I51" s="73"/>
      <c r="J51" s="234"/>
      <c r="K51" s="73"/>
      <c r="L51" s="71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20.74</v>
      </c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v>0.44</v>
      </c>
      <c r="AG51" s="1113">
        <v>9.5299999999999994</v>
      </c>
      <c r="AH51" s="1110">
        <v>137</v>
      </c>
      <c r="AI51" s="238">
        <v>79</v>
      </c>
      <c r="AJ51" s="838"/>
      <c r="AK51" s="839"/>
      <c r="AL51" s="51">
        <f t="shared" si="0"/>
        <v>1.185923753665689</v>
      </c>
      <c r="AM51" s="51">
        <f t="shared" si="1"/>
        <v>1.1914644016620013E-2</v>
      </c>
    </row>
    <row r="52" spans="1:39" x14ac:dyDescent="0.25">
      <c r="A52" s="71">
        <v>43951</v>
      </c>
      <c r="B52" s="72">
        <v>9.39</v>
      </c>
      <c r="C52" s="73">
        <v>10.97</v>
      </c>
      <c r="D52" s="147"/>
      <c r="E52" s="75"/>
      <c r="F52" s="73"/>
      <c r="G52" s="147"/>
      <c r="H52" s="75"/>
      <c r="I52" s="73"/>
      <c r="J52" s="234"/>
      <c r="K52" s="73"/>
      <c r="L52" s="71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20.74</v>
      </c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v>0.44</v>
      </c>
      <c r="AG52" s="1113">
        <v>9.5299999999999994</v>
      </c>
      <c r="AH52" s="1110">
        <v>99</v>
      </c>
      <c r="AI52" s="238">
        <v>79</v>
      </c>
      <c r="AJ52" s="838"/>
      <c r="AK52" s="839"/>
      <c r="AL52" s="51">
        <f t="shared" si="0"/>
        <v>1.1682641107561236</v>
      </c>
      <c r="AM52" s="51">
        <f t="shared" si="1"/>
        <v>-5.744998892945441E-3</v>
      </c>
    </row>
    <row r="53" spans="1:39" x14ac:dyDescent="0.25">
      <c r="A53" s="71">
        <v>43982</v>
      </c>
      <c r="B53" s="72">
        <v>14.28</v>
      </c>
      <c r="C53" s="73">
        <v>16.36</v>
      </c>
      <c r="D53" s="147"/>
      <c r="E53" s="75"/>
      <c r="F53" s="73"/>
      <c r="G53" s="147"/>
      <c r="H53" s="75"/>
      <c r="I53" s="73"/>
      <c r="J53" s="234"/>
      <c r="K53" s="73"/>
      <c r="L53" s="71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0.44</v>
      </c>
      <c r="AG53" s="1113">
        <v>9.52</v>
      </c>
      <c r="AH53" s="1110">
        <v>184</v>
      </c>
      <c r="AI53" s="238">
        <v>78</v>
      </c>
      <c r="AJ53" s="838"/>
      <c r="AK53" s="839"/>
      <c r="AL53" s="51">
        <f t="shared" si="0"/>
        <v>1.1456582633053221</v>
      </c>
      <c r="AM53" s="51">
        <f t="shared" si="1"/>
        <v>-2.835084634374696E-2</v>
      </c>
    </row>
    <row r="54" spans="1:39" x14ac:dyDescent="0.25">
      <c r="A54" s="71">
        <v>44012</v>
      </c>
      <c r="B54" s="72">
        <v>15.52</v>
      </c>
      <c r="C54" s="73">
        <v>17.5</v>
      </c>
      <c r="D54" s="147"/>
      <c r="E54" s="75"/>
      <c r="F54" s="73"/>
      <c r="G54" s="147"/>
      <c r="H54" s="75"/>
      <c r="I54" s="73"/>
      <c r="J54" s="234"/>
      <c r="K54" s="73"/>
      <c r="L54" s="71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0.44</v>
      </c>
      <c r="AG54" s="1113">
        <v>9.52</v>
      </c>
      <c r="AH54" s="1110">
        <v>157</v>
      </c>
      <c r="AI54" s="238">
        <v>79</v>
      </c>
      <c r="AJ54" s="838"/>
      <c r="AK54" s="839"/>
      <c r="AL54" s="51">
        <f t="shared" si="0"/>
        <v>1.1275773195876289</v>
      </c>
      <c r="AM54" s="51">
        <f t="shared" si="1"/>
        <v>-4.6431790061440159E-2</v>
      </c>
    </row>
    <row r="55" spans="1:39" x14ac:dyDescent="0.25">
      <c r="A55" s="71">
        <v>44043</v>
      </c>
      <c r="B55" s="72">
        <v>16</v>
      </c>
      <c r="C55" s="73">
        <v>17.88</v>
      </c>
      <c r="D55" s="147"/>
      <c r="E55" s="75"/>
      <c r="F55" s="73"/>
      <c r="G55" s="147"/>
      <c r="H55" s="75"/>
      <c r="I55" s="73"/>
      <c r="J55" s="234"/>
      <c r="K55" s="73"/>
      <c r="L55" s="71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0.44</v>
      </c>
      <c r="AG55" s="1113">
        <v>9.34</v>
      </c>
      <c r="AH55" s="1110">
        <v>195</v>
      </c>
      <c r="AI55" s="238">
        <v>73</v>
      </c>
      <c r="AJ55" s="838"/>
      <c r="AK55" s="839"/>
      <c r="AL55" s="51">
        <f t="shared" si="0"/>
        <v>1.1174999999999999</v>
      </c>
      <c r="AM55" s="51">
        <f t="shared" si="1"/>
        <v>-5.6509109649069078E-2</v>
      </c>
    </row>
    <row r="56" spans="1:39" x14ac:dyDescent="0.25">
      <c r="A56" s="71">
        <v>44074</v>
      </c>
      <c r="B56" s="72">
        <v>40</v>
      </c>
      <c r="C56" s="73">
        <v>43.52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0.44</v>
      </c>
      <c r="AG56" s="1113">
        <v>9.44</v>
      </c>
      <c r="AH56" s="1110">
        <v>448</v>
      </c>
      <c r="AI56" s="238">
        <v>77</v>
      </c>
      <c r="AJ56" s="838"/>
      <c r="AK56" s="839"/>
      <c r="AL56" s="51">
        <f t="shared" si="0"/>
        <v>1.0880000000000001</v>
      </c>
      <c r="AM56" s="51">
        <f t="shared" si="1"/>
        <v>-8.6009109649068938E-2</v>
      </c>
    </row>
    <row r="57" spans="1:39" x14ac:dyDescent="0.25">
      <c r="A57" s="71">
        <v>44104</v>
      </c>
      <c r="B57" s="72">
        <v>30</v>
      </c>
      <c r="C57" s="73">
        <v>32.049999999999997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0.43</v>
      </c>
      <c r="AG57" s="1113">
        <v>9.3800000000000008</v>
      </c>
      <c r="AH57" s="1110">
        <v>307</v>
      </c>
      <c r="AI57" s="238">
        <v>71</v>
      </c>
      <c r="AJ57" s="838"/>
      <c r="AK57" s="839"/>
      <c r="AL57" s="51">
        <f t="shared" si="0"/>
        <v>1.0683333333333331</v>
      </c>
      <c r="AM57" s="51">
        <f t="shared" si="1"/>
        <v>-0.10567577631573588</v>
      </c>
    </row>
    <row r="58" spans="1:39" x14ac:dyDescent="0.25">
      <c r="A58" s="71">
        <v>44135</v>
      </c>
      <c r="B58" s="72">
        <v>99</v>
      </c>
      <c r="C58" s="73">
        <v>102.39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0.43</v>
      </c>
      <c r="AG58" s="1113">
        <v>9.43</v>
      </c>
      <c r="AH58" s="1110">
        <v>1130</v>
      </c>
      <c r="AI58" s="238">
        <v>77</v>
      </c>
      <c r="AJ58" s="838"/>
      <c r="AK58" s="839"/>
      <c r="AL58" s="51">
        <f t="shared" si="0"/>
        <v>1.0342424242424242</v>
      </c>
      <c r="AM58" s="51">
        <f t="shared" si="1"/>
        <v>-0.13976668540664483</v>
      </c>
    </row>
    <row r="59" spans="1:39" x14ac:dyDescent="0.25">
      <c r="A59" s="71">
        <v>44165</v>
      </c>
      <c r="B59" s="72">
        <v>14</v>
      </c>
      <c r="C59" s="73">
        <v>14.51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0.43</v>
      </c>
      <c r="AG59" s="1113">
        <v>9.42</v>
      </c>
      <c r="AH59" s="1110">
        <v>95</v>
      </c>
      <c r="AI59" s="238">
        <v>74</v>
      </c>
      <c r="AJ59" s="838"/>
      <c r="AK59" s="839"/>
      <c r="AL59" s="51">
        <f t="shared" si="0"/>
        <v>1.0364285714285715</v>
      </c>
      <c r="AM59" s="51">
        <f t="shared" si="1"/>
        <v>-0.13758053822049754</v>
      </c>
    </row>
    <row r="60" spans="1:39" x14ac:dyDescent="0.25">
      <c r="A60" s="71">
        <v>44561</v>
      </c>
      <c r="B60" s="72">
        <v>18</v>
      </c>
      <c r="C60" s="73">
        <v>18.760000000000002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0.44</v>
      </c>
      <c r="AG60" s="1113">
        <v>9.33</v>
      </c>
      <c r="AH60" s="1110">
        <v>158</v>
      </c>
      <c r="AI60" s="238">
        <v>73</v>
      </c>
      <c r="AJ60" s="838"/>
      <c r="AK60" s="839"/>
      <c r="AL60" s="51">
        <f t="shared" si="0"/>
        <v>1.0422222222222224</v>
      </c>
      <c r="AM60" s="51">
        <f t="shared" si="1"/>
        <v>-0.13178688742684663</v>
      </c>
    </row>
    <row r="61" spans="1:39" x14ac:dyDescent="0.25">
      <c r="A61" s="71">
        <v>44227</v>
      </c>
      <c r="B61" s="72">
        <v>1</v>
      </c>
      <c r="C61" s="73">
        <v>1.04</v>
      </c>
      <c r="D61" s="528">
        <v>44270</v>
      </c>
      <c r="E61" s="516" t="s">
        <v>1306</v>
      </c>
      <c r="F61" s="380">
        <v>300.42</v>
      </c>
      <c r="G61" s="147"/>
      <c r="H61" s="75"/>
      <c r="I61" s="73"/>
      <c r="J61" s="234"/>
      <c r="K61" s="73"/>
      <c r="L61" s="1609">
        <v>44225</v>
      </c>
      <c r="M61" s="73">
        <v>8.4</v>
      </c>
      <c r="N61" s="894"/>
      <c r="O61" s="73"/>
      <c r="P61" s="71"/>
      <c r="Q61" s="73"/>
      <c r="R61" s="71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>
        <v>0.44</v>
      </c>
      <c r="AG61" s="1113">
        <v>9.31</v>
      </c>
      <c r="AH61" s="1110">
        <v>0</v>
      </c>
      <c r="AI61" s="238">
        <v>72</v>
      </c>
      <c r="AJ61" s="838"/>
      <c r="AK61" s="839"/>
      <c r="AL61" s="51">
        <f t="shared" si="0"/>
        <v>1.04</v>
      </c>
      <c r="AM61" s="51">
        <f t="shared" si="1"/>
        <v>-0.13400910964906898</v>
      </c>
    </row>
    <row r="62" spans="1:39" x14ac:dyDescent="0.25">
      <c r="A62" s="71">
        <v>44255</v>
      </c>
      <c r="B62" s="72">
        <v>4</v>
      </c>
      <c r="C62" s="73">
        <v>4.18</v>
      </c>
      <c r="D62" s="528">
        <v>44530</v>
      </c>
      <c r="E62" s="516" t="s">
        <v>1489</v>
      </c>
      <c r="F62" s="380">
        <v>13.51</v>
      </c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>
        <v>44378</v>
      </c>
      <c r="U62" s="1199" t="s">
        <v>1402</v>
      </c>
      <c r="V62" s="73">
        <v>20.74</v>
      </c>
      <c r="W62" s="894">
        <v>44312</v>
      </c>
      <c r="X62" s="1199" t="s">
        <v>1329</v>
      </c>
      <c r="Y62" s="73">
        <v>54</v>
      </c>
      <c r="Z62" s="894"/>
      <c r="AA62" s="1199"/>
      <c r="AB62" s="73"/>
      <c r="AC62" s="894"/>
      <c r="AD62" s="1199"/>
      <c r="AE62" s="73"/>
      <c r="AF62" s="1112">
        <v>0.44</v>
      </c>
      <c r="AG62" s="1113">
        <v>9.32</v>
      </c>
      <c r="AH62" s="1110">
        <v>18</v>
      </c>
      <c r="AI62" s="238">
        <v>70</v>
      </c>
      <c r="AJ62" s="838"/>
      <c r="AK62" s="839"/>
      <c r="AL62" s="51">
        <f t="shared" si="0"/>
        <v>1.0449999999999999</v>
      </c>
      <c r="AM62" s="51">
        <f t="shared" si="1"/>
        <v>-0.12900910964906909</v>
      </c>
    </row>
    <row r="63" spans="1:39" x14ac:dyDescent="0.25">
      <c r="A63" s="71">
        <v>44286</v>
      </c>
      <c r="B63" s="72">
        <v>13</v>
      </c>
      <c r="C63" s="73">
        <v>13.98</v>
      </c>
      <c r="D63" s="147"/>
      <c r="E63" s="75"/>
      <c r="F63" s="73"/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v>0.44</v>
      </c>
      <c r="AG63" s="1113">
        <v>9.36</v>
      </c>
      <c r="AH63" s="1110">
        <v>175</v>
      </c>
      <c r="AI63" s="238">
        <v>77</v>
      </c>
      <c r="AJ63" s="838"/>
      <c r="AK63" s="839"/>
      <c r="AL63" s="51">
        <f t="shared" si="0"/>
        <v>1.0753846153846154</v>
      </c>
      <c r="AM63" s="51">
        <f t="shared" si="1"/>
        <v>-9.8624494264453633E-2</v>
      </c>
    </row>
    <row r="64" spans="1:39" x14ac:dyDescent="0.25">
      <c r="A64" s="71">
        <v>44316</v>
      </c>
      <c r="B64" s="72">
        <v>22</v>
      </c>
      <c r="C64" s="73">
        <v>24.18</v>
      </c>
      <c r="D64" s="147"/>
      <c r="E64" s="75"/>
      <c r="F64" s="73"/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v>0.44</v>
      </c>
      <c r="AG64" s="1113">
        <v>9.4499999999999993</v>
      </c>
      <c r="AH64" s="1110">
        <v>227</v>
      </c>
      <c r="AI64" s="238">
        <v>78</v>
      </c>
      <c r="AJ64" s="838"/>
      <c r="AK64" s="839"/>
      <c r="AL64" s="51">
        <f t="shared" si="0"/>
        <v>1.0990909090909091</v>
      </c>
      <c r="AM64" s="51">
        <f t="shared" si="1"/>
        <v>-7.4918200558159898E-2</v>
      </c>
    </row>
    <row r="65" spans="1:39" x14ac:dyDescent="0.25">
      <c r="A65" s="71">
        <v>44347</v>
      </c>
      <c r="B65" s="72">
        <v>20</v>
      </c>
      <c r="C65" s="73">
        <v>23.13</v>
      </c>
      <c r="D65" s="147"/>
      <c r="E65" s="75"/>
      <c r="F65" s="73"/>
      <c r="G65" s="147"/>
      <c r="H65" s="75"/>
      <c r="I65" s="73"/>
      <c r="J65" s="234"/>
      <c r="K65" s="73"/>
      <c r="L65" s="1609">
        <v>44320</v>
      </c>
      <c r="M65" s="73">
        <v>8.4</v>
      </c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0.44</v>
      </c>
      <c r="AG65" s="1113">
        <v>9.44</v>
      </c>
      <c r="AH65" s="1110">
        <v>215</v>
      </c>
      <c r="AI65" s="238">
        <v>78</v>
      </c>
      <c r="AJ65" s="838"/>
      <c r="AK65" s="839"/>
      <c r="AL65" s="51">
        <f t="shared" si="0"/>
        <v>1.1564999999999999</v>
      </c>
      <c r="AM65" s="51">
        <f t="shared" si="1"/>
        <v>-1.7509109649069154E-2</v>
      </c>
    </row>
    <row r="66" spans="1:39" x14ac:dyDescent="0.25">
      <c r="A66" s="71">
        <v>44377</v>
      </c>
      <c r="B66" s="72">
        <v>90</v>
      </c>
      <c r="C66" s="73">
        <v>108.64</v>
      </c>
      <c r="D66" s="147"/>
      <c r="E66" s="75"/>
      <c r="F66" s="73"/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0.43</v>
      </c>
      <c r="AG66" s="1113">
        <v>9.44</v>
      </c>
      <c r="AH66" s="1110">
        <v>1094</v>
      </c>
      <c r="AI66" s="238">
        <v>79</v>
      </c>
      <c r="AJ66" s="838"/>
      <c r="AK66" s="839"/>
      <c r="AL66" s="51">
        <f t="shared" si="0"/>
        <v>1.207111111111111</v>
      </c>
      <c r="AM66" s="51">
        <f t="shared" si="1"/>
        <v>3.3102001462042008E-2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ref="AF67:AF96" ca="1" si="2">$F$5</f>
        <v>0.42145544770643106</v>
      </c>
      <c r="AG67" s="1113">
        <f>SUM($B$9:B67)/($J$1-$B$4)*100</f>
        <v>9.4439090732465516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0.42145544770643106</v>
      </c>
      <c r="AG68" s="1113">
        <f>SUM($B$9:B68)/($J$1-$B$4)*100</f>
        <v>9.4439090732465516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0.42145544770643106</v>
      </c>
      <c r="AG69" s="1113">
        <f>SUM($B$9:B69)/($J$1-$B$4)*100</f>
        <v>9.4439090732465516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0.42145544770643106</v>
      </c>
      <c r="AG70" s="1113">
        <f>SUM($B$9:B70)/($J$1-$B$4)*100</f>
        <v>9.4439090732465516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0.42145544770643106</v>
      </c>
      <c r="AG71" s="1113">
        <f>SUM($B$9:B71)/($J$1-$B$4)*100</f>
        <v>9.4439090732465516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0.42145544770643106</v>
      </c>
      <c r="AG72" s="1113">
        <f>SUM($B$9:B72)/($J$1-$B$4)*100</f>
        <v>9.4439090732465516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2"/>
        <v>0.42145544770643106</v>
      </c>
      <c r="AG73" s="1113">
        <f>SUM($B$9:B73)/($J$1-$B$4)*100</f>
        <v>9.4439090732465516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0.42145544770643106</v>
      </c>
      <c r="AG74" s="1113">
        <f>SUM($B$9:B74)/($J$1-$B$4)*100</f>
        <v>9.4439090732465516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0.42145544770643106</v>
      </c>
      <c r="AG75" s="1113">
        <f>SUM($B$9:B75)/($J$1-$B$4)*100</f>
        <v>9.4439090732465516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0.42145544770643106</v>
      </c>
      <c r="AG76" s="1113">
        <f>SUM($B$9:B76)/($J$1-$B$4)*100</f>
        <v>9.4439090732465516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0.42145544770643106</v>
      </c>
      <c r="AG77" s="1113">
        <f>SUM($B$9:B77)/($J$1-$B$4)*100</f>
        <v>9.4439090732465516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0.42145544770643106</v>
      </c>
      <c r="AG78" s="1113">
        <f>SUM($B$9:B78)/($J$1-$B$4)*100</f>
        <v>9.4439090732465516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0.42145544770643106</v>
      </c>
      <c r="AG79" s="1113">
        <f>SUM($B$9:B79)/($J$1-$B$4)*100</f>
        <v>9.4439090732465516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161"/>
      <c r="H80" s="831"/>
      <c r="I80" s="835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0.42145544770643106</v>
      </c>
      <c r="AG80" s="1113">
        <f>SUM($B$9:B80)/($J$1-$B$4)*100</f>
        <v>9.4439090732465516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0.42145544770643106</v>
      </c>
      <c r="AG81" s="1113">
        <f>SUM($B$9:B81)/($J$1-$B$4)*100</f>
        <v>9.4439090732465516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0.42145544770643106</v>
      </c>
      <c r="AG82" s="1113">
        <f>SUM($B$9:B82)/($J$1-$B$4)*100</f>
        <v>9.4439090732465516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0.42145544770643106</v>
      </c>
      <c r="AG83" s="1113">
        <f>SUM($B$9:B83)/($J$1-$B$4)*100</f>
        <v>9.4439090732465516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0.42145544770643106</v>
      </c>
      <c r="AG84" s="1113">
        <f>SUM($B$9:B84)/($J$1-$B$4)*100</f>
        <v>9.4439090732465516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0.42145544770643106</v>
      </c>
      <c r="AG85" s="1113">
        <f>SUM($B$9:B85)/($J$1-$B$4)*100</f>
        <v>9.4439090732465516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0.42145544770643106</v>
      </c>
      <c r="AG86" s="1113">
        <f>SUM($B$9:B86)/($J$1-$B$4)*100</f>
        <v>9.4439090732465516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0.42145544770643106</v>
      </c>
      <c r="AG87" s="1113">
        <f>SUM($B$9:B87)/($J$1-$B$4)*100</f>
        <v>9.4439090732465516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0.42145544770643106</v>
      </c>
      <c r="AG88" s="1113">
        <f>SUM($B$9:B88)/($J$1-$B$4)*100</f>
        <v>9.4439090732465516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0.42145544770643106</v>
      </c>
      <c r="AG89" s="1113">
        <f>SUM($B$9:B89)/($J$1-$B$4)*100</f>
        <v>9.4439090732465516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0.42145544770643106</v>
      </c>
      <c r="AG90" s="1113">
        <f>SUM($B$9:B90)/($J$1-$B$4)*100</f>
        <v>9.4439090732465516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0.42145544770643106</v>
      </c>
      <c r="AG91" s="1113">
        <f>SUM($B$9:B91)/($J$1-$B$4)*100</f>
        <v>9.4439090732465516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0.42145544770643106</v>
      </c>
      <c r="AG92" s="1113">
        <f>SUM($B$9:B92)/($J$1-$B$4)*100</f>
        <v>9.4439090732465516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0.42145544770643106</v>
      </c>
      <c r="AG93" s="1113">
        <f>SUM($B$9:B93)/($J$1-$B$4)*100</f>
        <v>9.4439090732465516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0.42145544770643106</v>
      </c>
      <c r="AG94" s="1113">
        <f>SUM($B$9:B94)/($J$1-$B$4)*100</f>
        <v>9.4439090732465516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0.42145544770643106</v>
      </c>
      <c r="AG95" s="1113">
        <f>SUM($B$9:B95)/($J$1-$B$4)*100</f>
        <v>9.4439090732465516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0.42145544770643106</v>
      </c>
      <c r="AG96" s="1113">
        <f>SUM($B$9:B96)/($J$1-$B$4)*100</f>
        <v>9.4439090732465516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0.35083708444537443</v>
      </c>
      <c r="AG98" s="1109">
        <f>AVERAGE(AG9:AG97)</f>
        <v>9.2633780931522391</v>
      </c>
      <c r="AH98" s="1228">
        <f ca="1">SUMIFS($AH$9:$AH$97,$A$9:$A$97,"&gt;="&amp;$C99,$A$9:$A$97,"&lt;="&amp;$D99)</f>
        <v>5067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0.69896158052719903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0.27750613282076797</v>
      </c>
      <c r="J99" s="1303">
        <f ca="1">(F99/F5)-1</f>
        <v>0.65844713677557576</v>
      </c>
      <c r="K99" s="2253">
        <f ca="1">((D99-C99)/(365.25/12)*F3)+C102+F102+I102+K102+M102+O102+Q102+S102+AE106</f>
        <v>5641.234917040797</v>
      </c>
      <c r="L99" s="2253"/>
      <c r="M99" s="1472" t="s">
        <v>1135</v>
      </c>
      <c r="N99" s="1470"/>
      <c r="O99" s="1471"/>
      <c r="P99" s="1189">
        <f ca="1">K99/AH98</f>
        <v>1.113328383074955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9.59</v>
      </c>
      <c r="AH99" s="1226">
        <f>AVERAGE(AH9:AH97)</f>
        <v>413.7037037037037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0.1038464574699033</v>
      </c>
      <c r="D100" s="2252" t="s">
        <v>879</v>
      </c>
      <c r="E100" s="2246"/>
      <c r="F100" s="1180">
        <f ca="1">F102/$AH$98</f>
        <v>0.31669034931912377</v>
      </c>
      <c r="G100" s="2252" t="s">
        <v>881</v>
      </c>
      <c r="H100" s="2246"/>
      <c r="I100" s="1180">
        <f ca="1">I102/$AH$98</f>
        <v>1.4118807973159659E-2</v>
      </c>
      <c r="J100" s="1181" t="s">
        <v>898</v>
      </c>
      <c r="K100" s="1180">
        <f ca="1">K102/$AH$98</f>
        <v>0</v>
      </c>
      <c r="L100" s="1181" t="s">
        <v>883</v>
      </c>
      <c r="M100" s="1180">
        <f ca="1">M102/$AH$98</f>
        <v>4.310242747187687E-2</v>
      </c>
      <c r="N100" s="1181" t="s">
        <v>908</v>
      </c>
      <c r="O100" s="1180">
        <f ca="1">O102/$AH$98</f>
        <v>0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1.6372607065324649E-2</v>
      </c>
      <c r="W100" s="2252" t="s">
        <v>912</v>
      </c>
      <c r="X100" s="2246"/>
      <c r="Y100" s="1180">
        <f ca="1">Y102/$AH$98</f>
        <v>2.1314387211367674E-2</v>
      </c>
      <c r="Z100" s="2252" t="s">
        <v>889</v>
      </c>
      <c r="AA100" s="2246"/>
      <c r="AB100" s="1180">
        <f ca="1">AB102/$AH$98</f>
        <v>0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9.2759029011249261</v>
      </c>
      <c r="C101" s="1183">
        <f ca="1">C100/$F$99</f>
        <v>0.14857248289895422</v>
      </c>
      <c r="D101" s="1184"/>
      <c r="E101" s="1185"/>
      <c r="F101" s="1183">
        <f ca="1">F100/$F$99</f>
        <v>0.45308691942732643</v>
      </c>
      <c r="G101" s="1184"/>
      <c r="H101" s="1185"/>
      <c r="I101" s="1183">
        <f ca="1">I100/$F$99</f>
        <v>2.0199691036681018E-2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6.1666375767558519E-2</v>
      </c>
      <c r="N101" s="1184"/>
      <c r="O101" s="1183">
        <f ca="1">O100/$F$99</f>
        <v>0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2.3424187425259396E-2</v>
      </c>
      <c r="W101" s="1184"/>
      <c r="X101" s="1185"/>
      <c r="Y101" s="1183">
        <f ca="1">Y100/$F$99</f>
        <v>3.0494361643298155E-2</v>
      </c>
      <c r="Z101" s="1184"/>
      <c r="AA101" s="1185"/>
      <c r="AB101" s="1183">
        <f ca="1">AB100/$F$99</f>
        <v>0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470.01</v>
      </c>
      <c r="C102" s="1197">
        <f ca="1">SUMIFS($C$9:$C$97,$A$9:$A$97,"&gt;="&amp;$C99,$A$9:$A$97,"&lt;="&amp;$D99)</f>
        <v>526.19000000000005</v>
      </c>
      <c r="D102" s="2251" t="s">
        <v>880</v>
      </c>
      <c r="E102" s="2250"/>
      <c r="F102" s="1197">
        <f ca="1">SUMIFS($F$9:$F$97,$D$9:$D$97,"&gt;="&amp;$C99,$D$9:$D$97,"&lt;="&amp;$D99)</f>
        <v>1604.67</v>
      </c>
      <c r="G102" s="2251" t="s">
        <v>882</v>
      </c>
      <c r="H102" s="2250"/>
      <c r="I102" s="1197">
        <f ca="1">SUMIFS($I$9:$I$97,$G$9:$G$97,"&gt;="&amp;$C99,$G$9:$G$97,"&lt;="&amp;$D99)</f>
        <v>71.539999999999992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82.96</v>
      </c>
      <c r="W102" s="2251" t="s">
        <v>913</v>
      </c>
      <c r="X102" s="2250"/>
      <c r="Y102" s="1158">
        <f ca="1">SUMIFS(Y9:Y97,W9:W97,"&gt;="&amp;$C99,W9:W97,"&lt;="&amp;$D99)</f>
        <v>108</v>
      </c>
      <c r="Z102" s="2251" t="s">
        <v>890</v>
      </c>
      <c r="AA102" s="2250"/>
      <c r="AB102" s="1158">
        <f ca="1">SUMIFS(AB9:AB97,Z9:Z97,"&gt;="&amp;$C99,Z9:Z97,"&lt;="&amp;$D99)</f>
        <v>0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-7.025895356986181E-3</v>
      </c>
      <c r="D103" s="1205" t="s">
        <v>897</v>
      </c>
      <c r="E103" s="1195"/>
      <c r="F103" s="1206">
        <f ca="1">F100-F6</f>
        <v>0.25688685349890883</v>
      </c>
      <c r="G103" s="1204" t="s">
        <v>897</v>
      </c>
      <c r="H103" s="1195"/>
      <c r="I103" s="1203">
        <f ca="1">I100-I6</f>
        <v>8.3474476431194891E-3</v>
      </c>
      <c r="J103" s="1205" t="s">
        <v>897</v>
      </c>
      <c r="K103" s="1206">
        <f ca="1">K100-K6</f>
        <v>0</v>
      </c>
      <c r="L103" s="1204" t="s">
        <v>897</v>
      </c>
      <c r="M103" s="1203">
        <f ca="1">M100-M6</f>
        <v>1.9539296432901761E-2</v>
      </c>
      <c r="N103" s="1205" t="s">
        <v>897</v>
      </c>
      <c r="O103" s="1206">
        <f ca="1">O100-O6</f>
        <v>0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2.7910198326680392E-3</v>
      </c>
      <c r="W103" s="1205" t="s">
        <v>897</v>
      </c>
      <c r="X103" s="1195"/>
      <c r="Y103" s="1206">
        <f ca="1">Y100-Y6</f>
        <v>1.3497646358040131E-2</v>
      </c>
      <c r="Z103" s="1205" t="s">
        <v>897</v>
      </c>
      <c r="AA103" s="1195"/>
      <c r="AB103" s="1206">
        <f ca="1">AB100-AB6</f>
        <v>-1.6530235587884051E-2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3.7686994276692316E-2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5.3918549068557545E-2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190.95999999999998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s="52" customFormat="1" x14ac:dyDescent="0.25">
      <c r="A108" s="478">
        <v>43328</v>
      </c>
      <c r="B108" s="6" t="s">
        <v>385</v>
      </c>
      <c r="C108" s="6"/>
      <c r="D108" s="6" t="s">
        <v>386</v>
      </c>
      <c r="E108" s="5">
        <v>96936</v>
      </c>
      <c r="F108" s="1217">
        <v>8.56</v>
      </c>
      <c r="G108" s="6" t="s">
        <v>493</v>
      </c>
      <c r="I108" s="6"/>
      <c r="J108" s="229"/>
      <c r="L108" s="433"/>
      <c r="M108" s="479"/>
      <c r="N108" s="479"/>
    </row>
    <row r="109" spans="1:38" s="52" customFormat="1" x14ac:dyDescent="0.25">
      <c r="A109" s="478">
        <v>43328</v>
      </c>
      <c r="B109" s="6" t="s">
        <v>385</v>
      </c>
      <c r="C109" s="6"/>
      <c r="D109" s="6" t="s">
        <v>587</v>
      </c>
      <c r="E109" s="5"/>
      <c r="F109" s="1217">
        <v>22.7</v>
      </c>
      <c r="G109" s="6" t="s">
        <v>493</v>
      </c>
      <c r="I109" s="6"/>
      <c r="J109" s="229"/>
      <c r="L109" s="433"/>
      <c r="M109" s="479"/>
      <c r="N109" s="479"/>
    </row>
    <row r="110" spans="1:38" s="800" customFormat="1" x14ac:dyDescent="0.25">
      <c r="A110" s="799">
        <v>43881</v>
      </c>
      <c r="B110" s="750" t="s">
        <v>376</v>
      </c>
      <c r="C110" s="750"/>
      <c r="D110" s="750" t="s">
        <v>997</v>
      </c>
      <c r="E110" s="776">
        <v>102403</v>
      </c>
      <c r="F110" s="918">
        <v>1261.58</v>
      </c>
      <c r="G110" s="750" t="s">
        <v>848</v>
      </c>
      <c r="I110" s="750" t="s">
        <v>998</v>
      </c>
      <c r="J110" s="764"/>
      <c r="L110" s="801"/>
      <c r="M110" s="802"/>
      <c r="N110" s="802"/>
    </row>
    <row r="111" spans="1:38" s="800" customFormat="1" x14ac:dyDescent="0.25">
      <c r="A111" s="799">
        <v>43892</v>
      </c>
      <c r="B111" s="750" t="s">
        <v>376</v>
      </c>
      <c r="C111" s="750"/>
      <c r="D111" s="750" t="s">
        <v>999</v>
      </c>
      <c r="E111" s="776">
        <v>102460</v>
      </c>
      <c r="F111" s="918">
        <v>29.16</v>
      </c>
      <c r="G111" s="750" t="s">
        <v>864</v>
      </c>
      <c r="I111" s="750" t="s">
        <v>1000</v>
      </c>
      <c r="J111" s="764"/>
      <c r="L111" s="801"/>
      <c r="M111" s="802"/>
      <c r="N111" s="802"/>
    </row>
    <row r="112" spans="1:38" s="600" customFormat="1" x14ac:dyDescent="0.25">
      <c r="A112" s="827">
        <v>44270</v>
      </c>
      <c r="B112" s="537" t="s">
        <v>376</v>
      </c>
      <c r="C112" s="537"/>
      <c r="D112" s="537" t="s">
        <v>1305</v>
      </c>
      <c r="E112" s="596">
        <v>105509</v>
      </c>
      <c r="F112" s="751">
        <v>300.42</v>
      </c>
      <c r="G112" s="537" t="s">
        <v>378</v>
      </c>
      <c r="I112" s="537" t="s">
        <v>1307</v>
      </c>
      <c r="J112" s="751"/>
      <c r="L112" s="596"/>
      <c r="M112" s="597"/>
      <c r="N112" s="597"/>
    </row>
    <row r="113" spans="1:37" s="600" customFormat="1" x14ac:dyDescent="0.25">
      <c r="A113" s="827">
        <v>44530</v>
      </c>
      <c r="B113" s="537" t="s">
        <v>385</v>
      </c>
      <c r="C113" s="537"/>
      <c r="D113" s="537" t="s">
        <v>1488</v>
      </c>
      <c r="E113" s="596">
        <v>107084</v>
      </c>
      <c r="F113" s="751">
        <v>13.51</v>
      </c>
      <c r="G113" s="537" t="s">
        <v>493</v>
      </c>
      <c r="I113" s="537" t="s">
        <v>1490</v>
      </c>
      <c r="J113" s="751"/>
      <c r="L113" s="596"/>
      <c r="M113" s="597"/>
      <c r="N113" s="597"/>
    </row>
    <row r="114" spans="1:37" s="969" customFormat="1" x14ac:dyDescent="0.25">
      <c r="A114" s="968"/>
      <c r="B114" s="844"/>
      <c r="C114" s="844"/>
      <c r="D114" s="844"/>
      <c r="E114" s="845"/>
      <c r="F114" s="1092"/>
      <c r="G114" s="844"/>
      <c r="H114" s="844"/>
      <c r="I114" s="844"/>
      <c r="J114" s="846"/>
      <c r="L114" s="970"/>
      <c r="M114" s="971"/>
      <c r="N114" s="971"/>
    </row>
    <row r="115" spans="1:37" s="7" customFormat="1" x14ac:dyDescent="0.25">
      <c r="A115" s="799"/>
      <c r="B115" s="750"/>
      <c r="C115" s="750"/>
      <c r="D115" s="750"/>
      <c r="E115" s="776"/>
      <c r="F115" s="918"/>
      <c r="G115" s="750"/>
      <c r="I115" s="750"/>
      <c r="J115" s="918"/>
      <c r="L115" s="776"/>
      <c r="M115" s="909"/>
      <c r="N115" s="909"/>
      <c r="O115" s="909"/>
    </row>
    <row r="116" spans="1:37" s="969" customFormat="1" x14ac:dyDescent="0.25">
      <c r="A116" s="968"/>
      <c r="B116" s="844"/>
      <c r="C116" s="844"/>
      <c r="D116" s="844"/>
      <c r="E116" s="845"/>
      <c r="F116" s="1092"/>
      <c r="G116" s="844"/>
      <c r="H116" s="844"/>
      <c r="I116" s="844"/>
      <c r="J116" s="846"/>
      <c r="L116" s="970"/>
      <c r="M116" s="971"/>
      <c r="N116" s="971"/>
    </row>
    <row r="117" spans="1:37" s="7" customFormat="1" x14ac:dyDescent="0.25">
      <c r="A117" s="799"/>
      <c r="B117" s="750"/>
      <c r="C117" s="750"/>
      <c r="D117" s="750"/>
      <c r="E117" s="776"/>
      <c r="F117" s="918"/>
      <c r="G117" s="750"/>
      <c r="I117" s="750"/>
      <c r="J117" s="918"/>
      <c r="L117" s="776"/>
      <c r="M117" s="909"/>
      <c r="N117" s="909"/>
    </row>
    <row r="118" spans="1:37" s="7" customFormat="1" x14ac:dyDescent="0.25">
      <c r="A118" s="799"/>
      <c r="B118" s="750"/>
      <c r="C118" s="750"/>
      <c r="D118" s="750"/>
      <c r="E118" s="776"/>
      <c r="F118" s="918"/>
      <c r="G118" s="750"/>
      <c r="I118" s="750"/>
      <c r="J118" s="918"/>
      <c r="L118" s="776"/>
      <c r="M118" s="909"/>
      <c r="N118" s="909"/>
      <c r="O118" s="909"/>
    </row>
    <row r="119" spans="1:37" x14ac:dyDescent="0.25">
      <c r="E119" s="57"/>
      <c r="F119" s="121"/>
      <c r="I119" s="6"/>
      <c r="J119" s="1217"/>
      <c r="K119" s="1"/>
      <c r="L119" s="5"/>
      <c r="M119" s="61"/>
      <c r="N119" s="6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H119" s="1"/>
      <c r="AI119" s="1"/>
      <c r="AJ119" s="1"/>
      <c r="AK119" s="1"/>
    </row>
    <row r="120" spans="1:37" x14ac:dyDescent="0.25">
      <c r="E120" s="57"/>
      <c r="I120" s="6"/>
      <c r="J120" s="1217"/>
      <c r="K120" s="1"/>
      <c r="L120" s="5"/>
      <c r="M120" s="61"/>
      <c r="N120" s="6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H120" s="1"/>
      <c r="AI120" s="1"/>
      <c r="AJ120" s="1"/>
      <c r="AK120" s="1"/>
    </row>
    <row r="121" spans="1:37" x14ac:dyDescent="0.25">
      <c r="E121" s="57"/>
      <c r="I121" s="6"/>
      <c r="J121" s="1217"/>
      <c r="K121" s="1"/>
      <c r="L121" s="5"/>
      <c r="M121" s="61"/>
      <c r="N121" s="6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H121" s="1"/>
      <c r="AI121" s="1"/>
      <c r="AJ121" s="1"/>
      <c r="AK121" s="1"/>
    </row>
    <row r="122" spans="1:37" x14ac:dyDescent="0.25">
      <c r="E122" s="57"/>
      <c r="I122" s="6"/>
      <c r="J122" s="1217"/>
      <c r="K122" s="1"/>
      <c r="L122" s="5"/>
      <c r="M122" s="61"/>
      <c r="N122" s="6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H122" s="1"/>
      <c r="AI122" s="1"/>
      <c r="AJ122" s="1"/>
      <c r="AK122" s="1"/>
    </row>
  </sheetData>
  <sortState ref="G9:I43">
    <sortCondition ref="G9:G43"/>
  </sortState>
  <mergeCells count="44"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  <mergeCell ref="AC8:AD8"/>
    <mergeCell ref="D100:E100"/>
    <mergeCell ref="G100:H100"/>
    <mergeCell ref="T100:U100"/>
    <mergeCell ref="W100:X100"/>
    <mergeCell ref="Z100:AA100"/>
    <mergeCell ref="K99:L99"/>
    <mergeCell ref="T5:AD5"/>
    <mergeCell ref="D6:E6"/>
    <mergeCell ref="G6:H6"/>
    <mergeCell ref="T6:U6"/>
    <mergeCell ref="W6:X6"/>
    <mergeCell ref="Z6:AA6"/>
    <mergeCell ref="H1:I1"/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</mergeCells>
  <conditionalFormatting sqref="AM9:AM44 AM97:AM98">
    <cfRule type="cellIs" dxfId="212" priority="3" operator="greaterThan">
      <formula>0</formula>
    </cfRule>
    <cfRule type="cellIs" dxfId="211" priority="4" operator="lessThan">
      <formula>0</formula>
    </cfRule>
  </conditionalFormatting>
  <conditionalFormatting sqref="AF9:AF96">
    <cfRule type="cellIs" dxfId="210" priority="5" operator="lessThan">
      <formula>$AF$98</formula>
    </cfRule>
    <cfRule type="cellIs" dxfId="209" priority="6" operator="greaterThan">
      <formula>$AF$98</formula>
    </cfRule>
  </conditionalFormatting>
  <conditionalFormatting sqref="AG9:AG96">
    <cfRule type="cellIs" dxfId="208" priority="7" operator="equal">
      <formula>$AG$99</formula>
    </cfRule>
    <cfRule type="cellIs" dxfId="207" priority="8" operator="lessThan">
      <formula>$AG$98</formula>
    </cfRule>
    <cfRule type="cellIs" dxfId="206" priority="9" operator="greaterThan">
      <formula>$AG$98</formula>
    </cfRule>
  </conditionalFormatting>
  <conditionalFormatting sqref="AM45:AM96">
    <cfRule type="cellIs" dxfId="205" priority="1" operator="greaterThan">
      <formula>0</formula>
    </cfRule>
    <cfRule type="cellIs" dxfId="204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>
    <tabColor rgb="FF92D050"/>
  </sheetPr>
  <dimension ref="A1:AM121"/>
  <sheetViews>
    <sheetView workbookViewId="0">
      <pane xSplit="1" ySplit="8" topLeftCell="O57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23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18</v>
      </c>
      <c r="B1" s="1569" t="s">
        <v>17</v>
      </c>
      <c r="C1" s="1569"/>
      <c r="D1" s="1569"/>
      <c r="E1" s="1569"/>
      <c r="F1" s="1569"/>
      <c r="G1" s="1569"/>
      <c r="H1" s="2243" t="s">
        <v>1163</v>
      </c>
      <c r="I1" s="2244"/>
      <c r="J1" s="1572">
        <v>161994</v>
      </c>
      <c r="K1" s="1573">
        <f>J1-B4</f>
        <v>137018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42356</v>
      </c>
      <c r="C2" s="1251">
        <v>42356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30000</v>
      </c>
      <c r="C3" s="2264"/>
      <c r="D3" s="1351" t="s">
        <v>874</v>
      </c>
      <c r="E3" s="1169"/>
      <c r="F3" s="1175">
        <f ca="1">B3/G2/12</f>
        <v>180.60225474683546</v>
      </c>
      <c r="G3" s="2267" t="s">
        <v>875</v>
      </c>
      <c r="H3" s="2267"/>
      <c r="I3" s="1350">
        <f ca="1">F3/(F4/((TODAY()-C2)/365.25*12))</f>
        <v>8.1095374789605962E-2</v>
      </c>
      <c r="J3" s="1171">
        <f ca="1">I3/$F$5</f>
        <v>0.36802687541805723</v>
      </c>
      <c r="K3" s="1375">
        <f ca="1">(B3/G2/365.25)/(F4/(TODAY()-C2))</f>
        <v>8.1095374789605962E-2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1.9606509976811421E-2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24976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164700</v>
      </c>
      <c r="G4" s="1172" t="s">
        <v>876</v>
      </c>
      <c r="H4" s="1173"/>
      <c r="I4" s="1224">
        <f>F4-B4</f>
        <v>139724</v>
      </c>
      <c r="J4" s="1227">
        <f ca="1">I3/F99</f>
        <v>0.15909278969707269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8.8978226234718835E-2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0.22035177375969162</v>
      </c>
      <c r="G5" s="1211">
        <f ca="1">J3+C7+F7+I7+K7+M7+O7+Q7+S7+V7+Y7+AB7+AE7</f>
        <v>0.99999999999999978</v>
      </c>
      <c r="H5" s="1380">
        <f>B3+C8+F8+I8+K8+M8+O8+Q8+S8+AE5</f>
        <v>49224.685999999994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2739.4999999999991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8.6021836547023015E-2</v>
      </c>
      <c r="D6" s="2252" t="s">
        <v>879</v>
      </c>
      <c r="E6" s="2246"/>
      <c r="F6" s="1180">
        <f>F8/$I$4</f>
        <v>2.550334946036472E-2</v>
      </c>
      <c r="G6" s="2252" t="s">
        <v>881</v>
      </c>
      <c r="H6" s="2246"/>
      <c r="I6" s="1180">
        <f>I8/$I$4</f>
        <v>1.0772666113194585E-3</v>
      </c>
      <c r="J6" s="1181" t="s">
        <v>898</v>
      </c>
      <c r="K6" s="1180">
        <f>K8/$I$4</f>
        <v>9.3309667630471526E-4</v>
      </c>
      <c r="L6" s="1181" t="s">
        <v>883</v>
      </c>
      <c r="M6" s="1180">
        <f>M8/$I$4</f>
        <v>4.6829463800062924E-3</v>
      </c>
      <c r="N6" s="1181" t="s">
        <v>908</v>
      </c>
      <c r="O6" s="1180">
        <f>O8/$I$4</f>
        <v>1.4313933182559903E-3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2.5932552746843768E-3</v>
      </c>
      <c r="W6" s="2252" t="s">
        <v>912</v>
      </c>
      <c r="X6" s="2246"/>
      <c r="Y6" s="1180">
        <f>Y8/$I$4</f>
        <v>1.1451146546047923E-3</v>
      </c>
      <c r="Z6" s="2255" t="s">
        <v>1152</v>
      </c>
      <c r="AA6" s="2256"/>
      <c r="AB6" s="1180">
        <f>AB8/$I$4</f>
        <v>1.5868140047522253E-2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6.4805937905968545</v>
      </c>
      <c r="C7" s="1183">
        <f ca="1">C6/$F$5</f>
        <v>0.39038413478275691</v>
      </c>
      <c r="D7" s="1184"/>
      <c r="E7" s="1185"/>
      <c r="F7" s="1183">
        <f ca="1">F6/$F$5</f>
        <v>0.11573925194801396</v>
      </c>
      <c r="G7" s="1184"/>
      <c r="H7" s="1185"/>
      <c r="I7" s="1183">
        <f ca="1">I6/$F$5</f>
        <v>4.8888492837561182E-3</v>
      </c>
      <c r="J7" s="1243">
        <f>COUNT(J9:J97)</f>
        <v>17</v>
      </c>
      <c r="K7" s="1183">
        <f ca="1">K6/$F$5</f>
        <v>4.2345775592545027E-3</v>
      </c>
      <c r="L7" s="1184"/>
      <c r="M7" s="1183">
        <f ca="1">M6/$F$5</f>
        <v>2.1252138342727205E-2</v>
      </c>
      <c r="N7" s="1184"/>
      <c r="O7" s="1183">
        <f ca="1">O6/$F$5</f>
        <v>6.4959464307150112E-3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1.1768706148526381E-2</v>
      </c>
      <c r="W7" s="1184"/>
      <c r="X7" s="1185"/>
      <c r="Y7" s="1183">
        <f ca="1">Y6/$F$5</f>
        <v>5.1967571445720086E-3</v>
      </c>
      <c r="Z7" s="1184"/>
      <c r="AA7" s="1185"/>
      <c r="AB7" s="1183">
        <f ca="1">AB6/$F$5</f>
        <v>7.2012762941620442E-2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8879.5799999999981</v>
      </c>
      <c r="C8" s="1156">
        <f>SUM(C9:C97)</f>
        <v>11786.539999999999</v>
      </c>
      <c r="D8" s="2251" t="s">
        <v>880</v>
      </c>
      <c r="E8" s="2250"/>
      <c r="F8" s="1158">
        <f>SUM(F9:F97)</f>
        <v>3563.4300000000003</v>
      </c>
      <c r="G8" s="2251" t="s">
        <v>882</v>
      </c>
      <c r="H8" s="2250"/>
      <c r="I8" s="1158">
        <f>SUM(I9:I97)</f>
        <v>150.52000000000001</v>
      </c>
      <c r="J8" s="1157" t="s">
        <v>899</v>
      </c>
      <c r="K8" s="1158">
        <f>SUM(K9:K97)</f>
        <v>130.37600000000003</v>
      </c>
      <c r="L8" s="1157" t="s">
        <v>884</v>
      </c>
      <c r="M8" s="1158">
        <f>SUM(M9:M97)</f>
        <v>654.31999999999914</v>
      </c>
      <c r="N8" s="1157" t="s">
        <v>909</v>
      </c>
      <c r="O8" s="1158">
        <f>SUM(O9:O97)</f>
        <v>200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362.33999999999986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2217.1599999999994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8.35</v>
      </c>
      <c r="AK8" s="833">
        <f>SUM(AK9:AK97)</f>
        <v>12.14</v>
      </c>
      <c r="AL8" s="54">
        <f>SUM(C9:C97)/SUM(B9:B97)</f>
        <v>1.3273758443529988</v>
      </c>
    </row>
    <row r="9" spans="1:39" x14ac:dyDescent="0.25">
      <c r="A9" s="64">
        <v>42643</v>
      </c>
      <c r="B9" s="65">
        <v>232.62</v>
      </c>
      <c r="C9" s="66">
        <v>282.93</v>
      </c>
      <c r="D9" s="67"/>
      <c r="E9" s="68"/>
      <c r="F9" s="66"/>
      <c r="G9" s="67">
        <v>42716</v>
      </c>
      <c r="H9" s="68" t="s">
        <v>99</v>
      </c>
      <c r="I9" s="66">
        <v>21.82</v>
      </c>
      <c r="J9" s="69">
        <v>43227</v>
      </c>
      <c r="K9" s="66">
        <v>5.3</v>
      </c>
      <c r="L9" s="1643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20.2</v>
      </c>
      <c r="W9" s="1152"/>
      <c r="X9" s="1198"/>
      <c r="Y9" s="66"/>
      <c r="Z9" s="1152">
        <v>42684</v>
      </c>
      <c r="AA9" s="1198" t="s">
        <v>95</v>
      </c>
      <c r="AB9" s="66">
        <v>97.71</v>
      </c>
      <c r="AC9" s="1152"/>
      <c r="AD9" s="1198"/>
      <c r="AE9" s="66"/>
      <c r="AF9" s="1118">
        <v>0.09</v>
      </c>
      <c r="AG9" s="1119">
        <v>7.2</v>
      </c>
      <c r="AH9" s="1117"/>
      <c r="AI9" s="237"/>
      <c r="AJ9" s="838"/>
      <c r="AK9" s="839"/>
      <c r="AL9" s="51">
        <f t="shared" ref="AL9:AL72" si="0">C9/B9</f>
        <v>1.2162754707247871</v>
      </c>
      <c r="AM9" s="51">
        <f t="shared" ref="AM9:AM72" si="1">AL9-$AL$8</f>
        <v>-0.11110037362821168</v>
      </c>
    </row>
    <row r="10" spans="1:39" x14ac:dyDescent="0.25">
      <c r="A10" s="71">
        <v>42674</v>
      </c>
      <c r="B10" s="72">
        <v>406.95</v>
      </c>
      <c r="C10" s="73">
        <v>493.78</v>
      </c>
      <c r="D10" s="345"/>
      <c r="E10" s="346"/>
      <c r="F10" s="347"/>
      <c r="G10" s="345"/>
      <c r="H10" s="346"/>
      <c r="I10" s="347"/>
      <c r="J10" s="234">
        <v>43404</v>
      </c>
      <c r="K10" s="73">
        <v>6.5039999999999996</v>
      </c>
      <c r="L10" s="1609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0.1</v>
      </c>
      <c r="AG10" s="1113">
        <v>6.95</v>
      </c>
      <c r="AH10" s="1110"/>
      <c r="AI10" s="238"/>
      <c r="AJ10" s="838"/>
      <c r="AK10" s="839"/>
      <c r="AL10" s="51">
        <f t="shared" si="0"/>
        <v>1.2133677355940533</v>
      </c>
      <c r="AM10" s="51">
        <f t="shared" si="1"/>
        <v>-0.11400810875894551</v>
      </c>
    </row>
    <row r="11" spans="1:39" x14ac:dyDescent="0.25">
      <c r="A11" s="71">
        <v>42704</v>
      </c>
      <c r="B11" s="72">
        <v>197.6</v>
      </c>
      <c r="C11" s="73">
        <v>238.8</v>
      </c>
      <c r="D11" s="345"/>
      <c r="E11" s="346"/>
      <c r="F11" s="347"/>
      <c r="G11" s="147"/>
      <c r="H11" s="75"/>
      <c r="I11" s="73"/>
      <c r="J11" s="234">
        <v>43475</v>
      </c>
      <c r="K11" s="73">
        <v>6.5039999999999996</v>
      </c>
      <c r="L11" s="1609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0.09</v>
      </c>
      <c r="AG11" s="1113">
        <v>7</v>
      </c>
      <c r="AH11" s="1110"/>
      <c r="AI11" s="238"/>
      <c r="AJ11" s="838"/>
      <c r="AK11" s="839"/>
      <c r="AL11" s="51">
        <f t="shared" si="0"/>
        <v>1.2085020242914981</v>
      </c>
      <c r="AM11" s="51">
        <f t="shared" si="1"/>
        <v>-0.11887382006150071</v>
      </c>
    </row>
    <row r="12" spans="1:39" x14ac:dyDescent="0.25">
      <c r="A12" s="71">
        <v>42735</v>
      </c>
      <c r="B12" s="72">
        <v>230.48</v>
      </c>
      <c r="C12" s="73">
        <v>290.45999999999998</v>
      </c>
      <c r="D12" s="147"/>
      <c r="E12" s="75"/>
      <c r="F12" s="73"/>
      <c r="G12" s="147"/>
      <c r="H12" s="75"/>
      <c r="I12" s="73"/>
      <c r="J12" s="234">
        <v>43514</v>
      </c>
      <c r="K12" s="73">
        <v>6.5039999999999996</v>
      </c>
      <c r="L12" s="1609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0.1</v>
      </c>
      <c r="AG12" s="1113">
        <v>7.04</v>
      </c>
      <c r="AH12" s="1110"/>
      <c r="AI12" s="238"/>
      <c r="AJ12" s="838"/>
      <c r="AK12" s="839"/>
      <c r="AL12" s="51">
        <f t="shared" si="0"/>
        <v>1.2602395001735509</v>
      </c>
      <c r="AM12" s="51">
        <f t="shared" si="1"/>
        <v>-6.7136344179447915E-2</v>
      </c>
    </row>
    <row r="13" spans="1:39" x14ac:dyDescent="0.25">
      <c r="A13" s="71">
        <v>42766</v>
      </c>
      <c r="B13" s="72">
        <v>123.81</v>
      </c>
      <c r="C13" s="73">
        <v>159.97999999999999</v>
      </c>
      <c r="D13" s="147">
        <v>42902</v>
      </c>
      <c r="E13" s="75" t="s">
        <v>141</v>
      </c>
      <c r="F13" s="73">
        <v>139.30000000000001</v>
      </c>
      <c r="G13" s="345">
        <v>42815</v>
      </c>
      <c r="H13" s="346" t="s">
        <v>132</v>
      </c>
      <c r="I13" s="347">
        <v>16.62</v>
      </c>
      <c r="J13" s="234">
        <v>43555</v>
      </c>
      <c r="K13" s="73">
        <v>13.007999999999999</v>
      </c>
      <c r="L13" s="1609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20.2</v>
      </c>
      <c r="W13" s="894"/>
      <c r="X13" s="1199"/>
      <c r="Y13" s="73"/>
      <c r="Z13" s="147">
        <v>42736</v>
      </c>
      <c r="AA13" s="75"/>
      <c r="AB13" s="73">
        <v>97.71</v>
      </c>
      <c r="AC13" s="894"/>
      <c r="AD13" s="1199"/>
      <c r="AE13" s="73"/>
      <c r="AF13" s="1112">
        <v>0.11</v>
      </c>
      <c r="AG13" s="1113">
        <v>7.86</v>
      </c>
      <c r="AH13" s="1110">
        <v>1658</v>
      </c>
      <c r="AI13" s="238">
        <v>48.84</v>
      </c>
      <c r="AJ13" s="838"/>
      <c r="AK13" s="839"/>
      <c r="AL13" s="51">
        <f t="shared" si="0"/>
        <v>1.2921411840723689</v>
      </c>
      <c r="AM13" s="51">
        <f t="shared" si="1"/>
        <v>-3.5234660280629937E-2</v>
      </c>
    </row>
    <row r="14" spans="1:39" x14ac:dyDescent="0.25">
      <c r="A14" s="71">
        <v>42794</v>
      </c>
      <c r="B14" s="72">
        <v>251.07</v>
      </c>
      <c r="C14" s="73">
        <v>328.04</v>
      </c>
      <c r="D14" s="147">
        <v>43085</v>
      </c>
      <c r="E14" s="75" t="s">
        <v>182</v>
      </c>
      <c r="F14" s="73">
        <v>207.1</v>
      </c>
      <c r="G14" s="147"/>
      <c r="H14" s="75"/>
      <c r="I14" s="73"/>
      <c r="J14" s="234">
        <v>43585</v>
      </c>
      <c r="K14" s="73">
        <v>6.5039999999999996</v>
      </c>
      <c r="L14" s="1609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20.2</v>
      </c>
      <c r="W14" s="894"/>
      <c r="X14" s="1199"/>
      <c r="Y14" s="73"/>
      <c r="Z14" s="894">
        <v>42809</v>
      </c>
      <c r="AA14" s="1199"/>
      <c r="AB14" s="73">
        <v>97.71</v>
      </c>
      <c r="AC14" s="894"/>
      <c r="AD14" s="1199"/>
      <c r="AE14" s="73"/>
      <c r="AF14" s="1112">
        <v>0.09</v>
      </c>
      <c r="AG14" s="1113">
        <v>7.08</v>
      </c>
      <c r="AH14" s="1110">
        <v>2585</v>
      </c>
      <c r="AI14" s="238">
        <v>41.77</v>
      </c>
      <c r="AJ14" s="838"/>
      <c r="AK14" s="839"/>
      <c r="AL14" s="51">
        <f t="shared" si="0"/>
        <v>1.306567889433226</v>
      </c>
      <c r="AM14" s="51">
        <f t="shared" si="1"/>
        <v>-2.0807954919772831E-2</v>
      </c>
    </row>
    <row r="15" spans="1:39" x14ac:dyDescent="0.25">
      <c r="A15" s="71">
        <v>42825</v>
      </c>
      <c r="B15" s="72">
        <v>208.76</v>
      </c>
      <c r="C15" s="73">
        <v>271.88</v>
      </c>
      <c r="D15" s="147"/>
      <c r="E15" s="75"/>
      <c r="F15" s="73"/>
      <c r="G15" s="147"/>
      <c r="H15" s="75"/>
      <c r="I15" s="73"/>
      <c r="J15" s="234">
        <v>43677</v>
      </c>
      <c r="K15" s="73">
        <v>8.0039999999999996</v>
      </c>
      <c r="L15" s="1609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20.2</v>
      </c>
      <c r="W15" s="894"/>
      <c r="X15" s="1199"/>
      <c r="Y15" s="73"/>
      <c r="Z15" s="147">
        <v>42901</v>
      </c>
      <c r="AA15" s="75"/>
      <c r="AB15" s="73">
        <v>97.71</v>
      </c>
      <c r="AC15" s="894"/>
      <c r="AD15" s="1199"/>
      <c r="AE15" s="73"/>
      <c r="AF15" s="1112">
        <v>0.1</v>
      </c>
      <c r="AG15" s="1113">
        <v>7.11</v>
      </c>
      <c r="AH15" s="1110">
        <v>2836</v>
      </c>
      <c r="AI15" s="238">
        <v>33.01</v>
      </c>
      <c r="AJ15" s="838"/>
      <c r="AK15" s="839"/>
      <c r="AL15" s="51">
        <f t="shared" si="0"/>
        <v>1.3023567733282237</v>
      </c>
      <c r="AM15" s="51">
        <f t="shared" si="1"/>
        <v>-2.5019071024775075E-2</v>
      </c>
    </row>
    <row r="16" spans="1:39" x14ac:dyDescent="0.25">
      <c r="A16" s="71">
        <v>42855</v>
      </c>
      <c r="B16" s="72">
        <v>234.48</v>
      </c>
      <c r="C16" s="73">
        <v>304.69</v>
      </c>
      <c r="D16" s="147"/>
      <c r="E16" s="75"/>
      <c r="F16" s="73"/>
      <c r="G16" s="147"/>
      <c r="H16" s="75"/>
      <c r="I16" s="73"/>
      <c r="J16" s="836">
        <v>43769</v>
      </c>
      <c r="K16" s="835">
        <v>8.0039999999999996</v>
      </c>
      <c r="L16" s="164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20.2</v>
      </c>
      <c r="W16" s="1153"/>
      <c r="X16" s="1200"/>
      <c r="Y16" s="835"/>
      <c r="Z16" s="894">
        <v>43008</v>
      </c>
      <c r="AA16" s="1199"/>
      <c r="AB16" s="73">
        <v>97.71</v>
      </c>
      <c r="AC16" s="1153"/>
      <c r="AD16" s="1200"/>
      <c r="AE16" s="835"/>
      <c r="AF16" s="1112">
        <v>0.1</v>
      </c>
      <c r="AG16" s="1113">
        <v>7.1</v>
      </c>
      <c r="AH16" s="1110">
        <v>3320</v>
      </c>
      <c r="AI16" s="238">
        <v>40.53</v>
      </c>
      <c r="AJ16" s="838"/>
      <c r="AK16" s="839"/>
      <c r="AL16" s="51">
        <f t="shared" si="0"/>
        <v>1.2994285226885023</v>
      </c>
      <c r="AM16" s="51">
        <f t="shared" si="1"/>
        <v>-2.7947321664496538E-2</v>
      </c>
    </row>
    <row r="17" spans="1:39" x14ac:dyDescent="0.25">
      <c r="A17" s="71">
        <v>42886</v>
      </c>
      <c r="B17" s="72">
        <v>389.32</v>
      </c>
      <c r="C17" s="73">
        <v>491.35</v>
      </c>
      <c r="D17" s="147"/>
      <c r="E17" s="75"/>
      <c r="F17" s="73"/>
      <c r="G17" s="1162"/>
      <c r="H17" s="75"/>
      <c r="I17" s="73"/>
      <c r="J17" s="234">
        <v>43799</v>
      </c>
      <c r="K17" s="73">
        <v>8.0039999999999996</v>
      </c>
      <c r="L17" s="1609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0.1</v>
      </c>
      <c r="AG17" s="1113">
        <v>7.07</v>
      </c>
      <c r="AH17" s="1110">
        <v>5655</v>
      </c>
      <c r="AI17" s="238">
        <v>50.21</v>
      </c>
      <c r="AJ17" s="838"/>
      <c r="AK17" s="839"/>
      <c r="AL17" s="51">
        <f t="shared" si="0"/>
        <v>1.2620723312442208</v>
      </c>
      <c r="AM17" s="51">
        <f t="shared" si="1"/>
        <v>-6.5303513108778022E-2</v>
      </c>
    </row>
    <row r="18" spans="1:39" x14ac:dyDescent="0.25">
      <c r="A18" s="71">
        <v>42916</v>
      </c>
      <c r="B18" s="72">
        <v>246.11</v>
      </c>
      <c r="C18" s="73">
        <v>303.74</v>
      </c>
      <c r="D18" s="147"/>
      <c r="E18" s="75"/>
      <c r="F18" s="73"/>
      <c r="G18" s="147"/>
      <c r="H18" s="75"/>
      <c r="I18" s="73"/>
      <c r="J18" s="431">
        <v>43830</v>
      </c>
      <c r="K18" s="347">
        <v>8.0039999999999996</v>
      </c>
      <c r="L18" s="1642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0.1</v>
      </c>
      <c r="AG18" s="1113">
        <v>7.06</v>
      </c>
      <c r="AH18" s="1110">
        <v>3525</v>
      </c>
      <c r="AI18" s="238">
        <v>64.099999999999994</v>
      </c>
      <c r="AJ18" s="838"/>
      <c r="AK18" s="839"/>
      <c r="AL18" s="51">
        <f t="shared" si="0"/>
        <v>1.2341635853886472</v>
      </c>
      <c r="AM18" s="51">
        <f t="shared" si="1"/>
        <v>-9.3212258964351591E-2</v>
      </c>
    </row>
    <row r="19" spans="1:39" x14ac:dyDescent="0.25">
      <c r="A19" s="71">
        <v>42947</v>
      </c>
      <c r="B19" s="72">
        <v>109.44</v>
      </c>
      <c r="C19" s="73">
        <v>133.63999999999999</v>
      </c>
      <c r="D19" s="147"/>
      <c r="E19" s="75"/>
      <c r="F19" s="73"/>
      <c r="G19" s="147"/>
      <c r="H19" s="75"/>
      <c r="I19" s="73"/>
      <c r="J19" s="234">
        <v>43851</v>
      </c>
      <c r="K19" s="1674">
        <v>8.0039999999999996</v>
      </c>
      <c r="L19" s="1609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0.1</v>
      </c>
      <c r="AG19" s="1113">
        <v>7.05</v>
      </c>
      <c r="AH19" s="1110">
        <v>1591</v>
      </c>
      <c r="AI19" s="238">
        <v>63.66</v>
      </c>
      <c r="AJ19" s="838"/>
      <c r="AK19" s="839"/>
      <c r="AL19" s="51">
        <f t="shared" si="0"/>
        <v>1.2211257309941519</v>
      </c>
      <c r="AM19" s="51">
        <f t="shared" si="1"/>
        <v>-0.10625011335884693</v>
      </c>
    </row>
    <row r="20" spans="1:39" x14ac:dyDescent="0.25">
      <c r="A20" s="71">
        <v>42978</v>
      </c>
      <c r="B20" s="72">
        <v>84.6</v>
      </c>
      <c r="C20" s="73">
        <v>103.65</v>
      </c>
      <c r="D20" s="147"/>
      <c r="E20" s="75"/>
      <c r="F20" s="73"/>
      <c r="G20" s="147"/>
      <c r="H20" s="75"/>
      <c r="I20" s="73"/>
      <c r="J20" s="234">
        <v>43949</v>
      </c>
      <c r="K20" s="1674">
        <f>6.68*1.2</f>
        <v>8.016</v>
      </c>
      <c r="L20" s="1609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0.1</v>
      </c>
      <c r="AG20" s="1113">
        <v>7.05</v>
      </c>
      <c r="AH20" s="1110">
        <v>1224</v>
      </c>
      <c r="AI20" s="238">
        <v>53.06</v>
      </c>
      <c r="AJ20" s="838"/>
      <c r="AK20" s="839"/>
      <c r="AL20" s="51">
        <f t="shared" si="0"/>
        <v>1.2251773049645391</v>
      </c>
      <c r="AM20" s="51">
        <f t="shared" si="1"/>
        <v>-0.10219853938845969</v>
      </c>
    </row>
    <row r="21" spans="1:39" x14ac:dyDescent="0.25">
      <c r="A21" s="71">
        <v>43008</v>
      </c>
      <c r="B21" s="72">
        <v>168.96</v>
      </c>
      <c r="C21" s="73">
        <v>212.44</v>
      </c>
      <c r="D21" s="147"/>
      <c r="E21" s="75"/>
      <c r="F21" s="73"/>
      <c r="G21" s="147"/>
      <c r="H21" s="75"/>
      <c r="I21" s="73"/>
      <c r="J21" s="234">
        <v>44013</v>
      </c>
      <c r="K21" s="1674">
        <f>6.67*1.2</f>
        <v>8.0039999999999996</v>
      </c>
      <c r="L21" s="1609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0.1</v>
      </c>
      <c r="AG21" s="1113">
        <v>7.03</v>
      </c>
      <c r="AH21" s="1110">
        <v>2471</v>
      </c>
      <c r="AI21" s="238">
        <v>61.1</v>
      </c>
      <c r="AJ21" s="838"/>
      <c r="AK21" s="839"/>
      <c r="AL21" s="51">
        <f t="shared" si="0"/>
        <v>1.2573390151515151</v>
      </c>
      <c r="AM21" s="51">
        <f t="shared" si="1"/>
        <v>-7.0036829201483686E-2</v>
      </c>
    </row>
    <row r="22" spans="1:39" x14ac:dyDescent="0.25">
      <c r="A22" s="71">
        <v>43039</v>
      </c>
      <c r="B22" s="72">
        <v>317.76</v>
      </c>
      <c r="C22" s="73">
        <v>405.13</v>
      </c>
      <c r="D22" s="147"/>
      <c r="E22" s="75"/>
      <c r="F22" s="73"/>
      <c r="G22" s="147"/>
      <c r="H22" s="75"/>
      <c r="I22" s="73"/>
      <c r="J22" s="234">
        <v>44035</v>
      </c>
      <c r="K22" s="1674">
        <f>6.67*1.2</f>
        <v>8.0039999999999996</v>
      </c>
      <c r="L22" s="1609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0.1</v>
      </c>
      <c r="AG22" s="1113">
        <v>7.01</v>
      </c>
      <c r="AH22" s="1110">
        <v>4650</v>
      </c>
      <c r="AI22" s="238">
        <v>43.08</v>
      </c>
      <c r="AJ22" s="838"/>
      <c r="AK22" s="839"/>
      <c r="AL22" s="51">
        <f t="shared" si="0"/>
        <v>1.274955941591138</v>
      </c>
      <c r="AM22" s="51">
        <f t="shared" si="1"/>
        <v>-5.2419902761860815E-2</v>
      </c>
    </row>
    <row r="23" spans="1:39" x14ac:dyDescent="0.25">
      <c r="A23" s="71">
        <v>43069</v>
      </c>
      <c r="B23" s="72">
        <v>309.74</v>
      </c>
      <c r="C23" s="73">
        <v>407.89</v>
      </c>
      <c r="D23" s="147"/>
      <c r="E23" s="75"/>
      <c r="F23" s="73"/>
      <c r="G23" s="147"/>
      <c r="H23" s="75"/>
      <c r="I23" s="73"/>
      <c r="J23" s="431">
        <v>44096</v>
      </c>
      <c r="K23" s="1675">
        <f>6.67*1.2</f>
        <v>8.0039999999999996</v>
      </c>
      <c r="L23" s="1642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0.3</v>
      </c>
      <c r="AG23" s="1113">
        <v>6.99</v>
      </c>
      <c r="AH23" s="1110">
        <v>4603</v>
      </c>
      <c r="AI23" s="238">
        <v>45.34</v>
      </c>
      <c r="AJ23" s="838"/>
      <c r="AK23" s="839"/>
      <c r="AL23" s="51">
        <f t="shared" si="0"/>
        <v>1.3168786724349453</v>
      </c>
      <c r="AM23" s="51">
        <f t="shared" si="1"/>
        <v>-1.0497171918053549E-2</v>
      </c>
    </row>
    <row r="24" spans="1:39" x14ac:dyDescent="0.25">
      <c r="A24" s="71">
        <v>43100</v>
      </c>
      <c r="B24" s="72">
        <v>241.22</v>
      </c>
      <c r="C24" s="73">
        <v>316.76</v>
      </c>
      <c r="D24" s="147"/>
      <c r="E24" s="75"/>
      <c r="F24" s="73"/>
      <c r="G24" s="147"/>
      <c r="H24" s="75"/>
      <c r="I24" s="73"/>
      <c r="J24" s="234"/>
      <c r="K24" s="73"/>
      <c r="L24" s="1609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0.3</v>
      </c>
      <c r="AG24" s="1113">
        <v>6.97</v>
      </c>
      <c r="AH24" s="1110">
        <v>3615</v>
      </c>
      <c r="AI24" s="238">
        <v>52.12</v>
      </c>
      <c r="AJ24" s="838"/>
      <c r="AK24" s="839"/>
      <c r="AL24" s="51">
        <f t="shared" si="0"/>
        <v>1.3131581129259597</v>
      </c>
      <c r="AM24" s="51">
        <f t="shared" si="1"/>
        <v>-1.4217731427039082E-2</v>
      </c>
    </row>
    <row r="25" spans="1:39" x14ac:dyDescent="0.25">
      <c r="A25" s="71">
        <v>43131</v>
      </c>
      <c r="B25" s="72">
        <v>177.44</v>
      </c>
      <c r="C25" s="73">
        <v>237.67</v>
      </c>
      <c r="D25" s="528">
        <v>43123</v>
      </c>
      <c r="E25" s="516" t="s">
        <v>197</v>
      </c>
      <c r="F25" s="380">
        <v>164.33</v>
      </c>
      <c r="G25" s="147">
        <v>43434</v>
      </c>
      <c r="H25" s="75" t="s">
        <v>510</v>
      </c>
      <c r="I25" s="73">
        <v>13.4</v>
      </c>
      <c r="J25" s="234"/>
      <c r="K25" s="73"/>
      <c r="L25" s="1609"/>
      <c r="M25" s="73"/>
      <c r="N25" s="1153">
        <v>43125</v>
      </c>
      <c r="O25" s="835">
        <v>50</v>
      </c>
      <c r="P25" s="71"/>
      <c r="Q25" s="73"/>
      <c r="R25" s="71"/>
      <c r="S25" s="73"/>
      <c r="T25" s="894">
        <v>43101</v>
      </c>
      <c r="U25" s="1199" t="s">
        <v>953</v>
      </c>
      <c r="V25" s="73">
        <v>20.2</v>
      </c>
      <c r="W25" s="894">
        <v>43251</v>
      </c>
      <c r="X25" s="1199" t="s">
        <v>945</v>
      </c>
      <c r="Y25" s="73">
        <v>40</v>
      </c>
      <c r="Z25" s="894">
        <v>43101</v>
      </c>
      <c r="AA25" s="1199" t="s">
        <v>953</v>
      </c>
      <c r="AB25" s="73">
        <v>97.71</v>
      </c>
      <c r="AC25" s="894"/>
      <c r="AD25" s="1199"/>
      <c r="AE25" s="73"/>
      <c r="AF25" s="1112">
        <v>0.31</v>
      </c>
      <c r="AG25" s="1113">
        <v>6.96</v>
      </c>
      <c r="AH25" s="1110">
        <v>2631</v>
      </c>
      <c r="AI25" s="238">
        <v>53.38</v>
      </c>
      <c r="AJ25" s="838"/>
      <c r="AK25" s="839"/>
      <c r="AL25" s="51">
        <f t="shared" si="0"/>
        <v>1.3394386834986474</v>
      </c>
      <c r="AM25" s="51">
        <f t="shared" si="1"/>
        <v>1.2062839145648541E-2</v>
      </c>
    </row>
    <row r="26" spans="1:39" x14ac:dyDescent="0.25">
      <c r="A26" s="71">
        <v>43159</v>
      </c>
      <c r="B26" s="72">
        <v>178.66</v>
      </c>
      <c r="C26" s="73">
        <v>235.41</v>
      </c>
      <c r="D26" s="147">
        <v>43417</v>
      </c>
      <c r="E26" s="75" t="s">
        <v>481</v>
      </c>
      <c r="F26" s="73">
        <v>356.03</v>
      </c>
      <c r="G26" s="147"/>
      <c r="H26" s="75"/>
      <c r="I26" s="73"/>
      <c r="J26" s="234"/>
      <c r="K26" s="73"/>
      <c r="L26" s="1609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20.2</v>
      </c>
      <c r="W26" s="894"/>
      <c r="X26" s="1199"/>
      <c r="Y26" s="73"/>
      <c r="Z26" s="894">
        <v>43191</v>
      </c>
      <c r="AA26" s="1199" t="s">
        <v>954</v>
      </c>
      <c r="AB26" s="73">
        <v>97.71</v>
      </c>
      <c r="AC26" s="894"/>
      <c r="AD26" s="1199"/>
      <c r="AE26" s="73"/>
      <c r="AF26" s="1112">
        <v>0.31</v>
      </c>
      <c r="AG26" s="1113">
        <v>6.95</v>
      </c>
      <c r="AH26" s="1110">
        <v>2635</v>
      </c>
      <c r="AI26" s="238">
        <v>43.24</v>
      </c>
      <c r="AJ26" s="838"/>
      <c r="AK26" s="839"/>
      <c r="AL26" s="51">
        <f t="shared" si="0"/>
        <v>1.3176424493451249</v>
      </c>
      <c r="AM26" s="51">
        <f t="shared" si="1"/>
        <v>-9.7333950078739573E-3</v>
      </c>
    </row>
    <row r="27" spans="1:39" x14ac:dyDescent="0.25">
      <c r="A27" s="71">
        <v>43190</v>
      </c>
      <c r="B27" s="72">
        <v>276.88</v>
      </c>
      <c r="C27" s="73">
        <v>364.38</v>
      </c>
      <c r="D27" s="147"/>
      <c r="E27" s="75"/>
      <c r="F27" s="73"/>
      <c r="G27" s="147"/>
      <c r="H27" s="75"/>
      <c r="I27" s="73"/>
      <c r="J27" s="234"/>
      <c r="K27" s="73"/>
      <c r="L27" s="1609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20.2</v>
      </c>
      <c r="W27" s="945"/>
      <c r="X27" s="1201"/>
      <c r="Y27" s="347"/>
      <c r="Z27" s="894">
        <v>43282</v>
      </c>
      <c r="AA27" s="1199" t="s">
        <v>955</v>
      </c>
      <c r="AB27" s="73">
        <v>97.71</v>
      </c>
      <c r="AC27" s="894"/>
      <c r="AD27" s="1199"/>
      <c r="AE27" s="73"/>
      <c r="AF27" s="1112">
        <v>0.18634339514779141</v>
      </c>
      <c r="AG27" s="1113">
        <v>6.93</v>
      </c>
      <c r="AH27" s="1110">
        <v>3560</v>
      </c>
      <c r="AI27" s="238">
        <v>66</v>
      </c>
      <c r="AJ27" s="838">
        <v>-3.36</v>
      </c>
      <c r="AK27" s="839">
        <v>-4.42</v>
      </c>
      <c r="AL27" s="51">
        <f t="shared" si="0"/>
        <v>1.3160213811037274</v>
      </c>
      <c r="AM27" s="51">
        <f t="shared" si="1"/>
        <v>-1.1354463249271474E-2</v>
      </c>
    </row>
    <row r="28" spans="1:39" x14ac:dyDescent="0.25">
      <c r="A28" s="71">
        <v>43220</v>
      </c>
      <c r="B28" s="72">
        <v>327.51</v>
      </c>
      <c r="C28" s="73">
        <v>439.85</v>
      </c>
      <c r="D28" s="147"/>
      <c r="E28" s="75"/>
      <c r="F28" s="73"/>
      <c r="G28" s="147"/>
      <c r="H28" s="75"/>
      <c r="I28" s="73"/>
      <c r="J28" s="234"/>
      <c r="K28" s="73"/>
      <c r="L28" s="1609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20.2</v>
      </c>
      <c r="W28" s="894"/>
      <c r="X28" s="1199"/>
      <c r="Y28" s="73"/>
      <c r="Z28" s="894">
        <v>43374</v>
      </c>
      <c r="AA28" s="1199" t="s">
        <v>956</v>
      </c>
      <c r="AB28" s="73">
        <v>97.71</v>
      </c>
      <c r="AC28" s="894"/>
      <c r="AD28" s="1199"/>
      <c r="AE28" s="73"/>
      <c r="AF28" s="1112">
        <v>0.16</v>
      </c>
      <c r="AG28" s="1113">
        <v>6.92</v>
      </c>
      <c r="AH28" s="1110">
        <v>4856</v>
      </c>
      <c r="AI28" s="238">
        <v>56.99</v>
      </c>
      <c r="AJ28" s="838"/>
      <c r="AK28" s="839"/>
      <c r="AL28" s="51">
        <f t="shared" si="0"/>
        <v>1.3430124271014627</v>
      </c>
      <c r="AM28" s="51">
        <f t="shared" si="1"/>
        <v>1.5636582748463912E-2</v>
      </c>
    </row>
    <row r="29" spans="1:39" x14ac:dyDescent="0.25">
      <c r="A29" s="71">
        <v>43251</v>
      </c>
      <c r="B29" s="72">
        <v>301.51</v>
      </c>
      <c r="C29" s="73">
        <v>420.23</v>
      </c>
      <c r="D29" s="147"/>
      <c r="E29" s="75"/>
      <c r="F29" s="73"/>
      <c r="G29" s="147"/>
      <c r="H29" s="75"/>
      <c r="I29" s="73"/>
      <c r="J29" s="234"/>
      <c r="K29" s="73"/>
      <c r="L29" s="1609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0.16</v>
      </c>
      <c r="AG29" s="1113">
        <v>6.91</v>
      </c>
      <c r="AH29" s="1110">
        <v>4493</v>
      </c>
      <c r="AI29" s="238">
        <v>56.98</v>
      </c>
      <c r="AJ29" s="838"/>
      <c r="AK29" s="839"/>
      <c r="AL29" s="51">
        <f t="shared" si="0"/>
        <v>1.3937514510298168</v>
      </c>
      <c r="AM29" s="51">
        <f t="shared" si="1"/>
        <v>6.6375606676817966E-2</v>
      </c>
    </row>
    <row r="30" spans="1:39" x14ac:dyDescent="0.25">
      <c r="A30" s="71">
        <v>43281</v>
      </c>
      <c r="B30" s="72">
        <v>362.48</v>
      </c>
      <c r="C30" s="73">
        <v>511.26</v>
      </c>
      <c r="D30" s="147"/>
      <c r="E30" s="75"/>
      <c r="F30" s="73"/>
      <c r="G30" s="147"/>
      <c r="H30" s="75"/>
      <c r="I30" s="73"/>
      <c r="J30" s="234"/>
      <c r="K30" s="73"/>
      <c r="L30" s="1609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0.16</v>
      </c>
      <c r="AG30" s="1113">
        <v>6.89</v>
      </c>
      <c r="AH30" s="1110">
        <v>5465</v>
      </c>
      <c r="AI30" s="238">
        <v>1</v>
      </c>
      <c r="AJ30" s="838">
        <v>2.4300000000000002</v>
      </c>
      <c r="AK30" s="839">
        <v>3.43</v>
      </c>
      <c r="AL30" s="51">
        <f t="shared" si="0"/>
        <v>1.4104502317369234</v>
      </c>
      <c r="AM30" s="51">
        <f t="shared" si="1"/>
        <v>8.3074387383924586E-2</v>
      </c>
    </row>
    <row r="31" spans="1:39" x14ac:dyDescent="0.25">
      <c r="A31" s="71">
        <v>43312</v>
      </c>
      <c r="B31" s="72">
        <v>147.1</v>
      </c>
      <c r="C31" s="73">
        <v>205.74</v>
      </c>
      <c r="D31" s="147"/>
      <c r="E31" s="75"/>
      <c r="F31" s="73"/>
      <c r="G31" s="1162"/>
      <c r="H31" s="75"/>
      <c r="I31" s="73"/>
      <c r="J31" s="234"/>
      <c r="K31" s="73"/>
      <c r="L31" s="1609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0.16</v>
      </c>
      <c r="AG31" s="1113">
        <v>6.89</v>
      </c>
      <c r="AH31" s="1110">
        <v>2180</v>
      </c>
      <c r="AI31" s="238">
        <v>2.8</v>
      </c>
      <c r="AJ31" s="838"/>
      <c r="AK31" s="839"/>
      <c r="AL31" s="51">
        <f t="shared" si="0"/>
        <v>1.398640380693406</v>
      </c>
      <c r="AM31" s="51">
        <f t="shared" si="1"/>
        <v>7.1264536340407192E-2</v>
      </c>
    </row>
    <row r="32" spans="1:39" x14ac:dyDescent="0.25">
      <c r="A32" s="71">
        <v>43343</v>
      </c>
      <c r="B32" s="72">
        <v>68.64</v>
      </c>
      <c r="C32" s="73">
        <v>96.45</v>
      </c>
      <c r="D32" s="528"/>
      <c r="E32" s="516"/>
      <c r="F32" s="380"/>
      <c r="G32" s="147"/>
      <c r="H32" s="75"/>
      <c r="I32" s="73"/>
      <c r="J32" s="234"/>
      <c r="K32" s="73"/>
      <c r="L32" s="1609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0.16</v>
      </c>
      <c r="AG32" s="1113">
        <v>6.88</v>
      </c>
      <c r="AH32" s="1110">
        <v>1032</v>
      </c>
      <c r="AI32" s="238">
        <v>1</v>
      </c>
      <c r="AJ32" s="838">
        <v>5.84</v>
      </c>
      <c r="AK32" s="839">
        <v>8.2100000000000009</v>
      </c>
      <c r="AL32" s="51">
        <f t="shared" si="0"/>
        <v>1.4051573426573427</v>
      </c>
      <c r="AM32" s="51">
        <f t="shared" si="1"/>
        <v>7.7781498304343888E-2</v>
      </c>
    </row>
    <row r="33" spans="1:39" x14ac:dyDescent="0.25">
      <c r="A33" s="71">
        <v>43373</v>
      </c>
      <c r="B33" s="72">
        <v>85.44</v>
      </c>
      <c r="C33" s="73">
        <v>122.47</v>
      </c>
      <c r="D33" s="147"/>
      <c r="E33" s="75"/>
      <c r="F33" s="73"/>
      <c r="G33" s="147"/>
      <c r="H33" s="75"/>
      <c r="I33" s="73"/>
      <c r="J33" s="234"/>
      <c r="K33" s="73"/>
      <c r="L33" s="1609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0.17</v>
      </c>
      <c r="AG33" s="1113">
        <v>6.89</v>
      </c>
      <c r="AH33" s="1110">
        <v>1211</v>
      </c>
      <c r="AI33" s="238">
        <v>1.57</v>
      </c>
      <c r="AJ33" s="838"/>
      <c r="AK33" s="839"/>
      <c r="AL33" s="51">
        <f t="shared" si="0"/>
        <v>1.4334035580524345</v>
      </c>
      <c r="AM33" s="51">
        <f t="shared" si="1"/>
        <v>0.10602771369943564</v>
      </c>
    </row>
    <row r="34" spans="1:39" x14ac:dyDescent="0.25">
      <c r="A34" s="71">
        <v>43404</v>
      </c>
      <c r="B34" s="72">
        <v>248.08</v>
      </c>
      <c r="C34" s="73">
        <v>362.86</v>
      </c>
      <c r="D34" s="147"/>
      <c r="E34" s="75"/>
      <c r="F34" s="73"/>
      <c r="G34" s="147"/>
      <c r="H34" s="75"/>
      <c r="I34" s="73"/>
      <c r="J34" s="234"/>
      <c r="K34" s="73"/>
      <c r="L34" s="1609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0.17</v>
      </c>
      <c r="AG34" s="1113">
        <v>6.88</v>
      </c>
      <c r="AH34" s="1110">
        <v>3715</v>
      </c>
      <c r="AI34" s="238">
        <v>2.95</v>
      </c>
      <c r="AJ34" s="838"/>
      <c r="AK34" s="839"/>
      <c r="AL34" s="51">
        <f t="shared" si="0"/>
        <v>1.4626733311834892</v>
      </c>
      <c r="AM34" s="51">
        <f t="shared" si="1"/>
        <v>0.13529748683049037</v>
      </c>
    </row>
    <row r="35" spans="1:39" x14ac:dyDescent="0.25">
      <c r="A35" s="71">
        <v>43434</v>
      </c>
      <c r="B35" s="72">
        <v>137.9</v>
      </c>
      <c r="C35" s="73">
        <v>197.42</v>
      </c>
      <c r="D35" s="147"/>
      <c r="E35" s="75"/>
      <c r="F35" s="73"/>
      <c r="G35" s="147"/>
      <c r="H35" s="75"/>
      <c r="I35" s="73"/>
      <c r="J35" s="234"/>
      <c r="K35" s="73"/>
      <c r="L35" s="1609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0.16</v>
      </c>
      <c r="AG35" s="1113">
        <v>6.87</v>
      </c>
      <c r="AH35" s="1110">
        <v>2083</v>
      </c>
      <c r="AI35" s="238">
        <v>1</v>
      </c>
      <c r="AJ35" s="838">
        <v>3.44</v>
      </c>
      <c r="AK35" s="839">
        <v>4.92</v>
      </c>
      <c r="AL35" s="51">
        <f t="shared" si="0"/>
        <v>1.4316171138506162</v>
      </c>
      <c r="AM35" s="51">
        <f t="shared" si="1"/>
        <v>0.10424126949761736</v>
      </c>
    </row>
    <row r="36" spans="1:39" x14ac:dyDescent="0.25">
      <c r="A36" s="71">
        <v>43465</v>
      </c>
      <c r="B36" s="72">
        <v>145.19999999999999</v>
      </c>
      <c r="C36" s="73">
        <v>198</v>
      </c>
      <c r="D36" s="147"/>
      <c r="E36" s="75"/>
      <c r="F36" s="73"/>
      <c r="G36" s="147"/>
      <c r="H36" s="75"/>
      <c r="I36" s="73"/>
      <c r="J36" s="234"/>
      <c r="K36" s="73"/>
      <c r="L36" s="1609">
        <v>43480</v>
      </c>
      <c r="M36" s="73">
        <v>335.12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0.17</v>
      </c>
      <c r="AG36" s="1113">
        <v>6.87</v>
      </c>
      <c r="AH36" s="1110">
        <v>2122</v>
      </c>
      <c r="AI36" s="238">
        <v>54.34</v>
      </c>
      <c r="AJ36" s="838"/>
      <c r="AK36" s="839"/>
      <c r="AL36" s="51">
        <f t="shared" si="0"/>
        <v>1.3636363636363638</v>
      </c>
      <c r="AM36" s="51">
        <f t="shared" si="1"/>
        <v>3.6260519283364934E-2</v>
      </c>
    </row>
    <row r="37" spans="1:39" x14ac:dyDescent="0.25">
      <c r="A37" s="71">
        <v>43496</v>
      </c>
      <c r="B37" s="72">
        <v>126.39</v>
      </c>
      <c r="C37" s="73">
        <v>170.27</v>
      </c>
      <c r="D37" s="147">
        <v>43482</v>
      </c>
      <c r="E37" s="75" t="s">
        <v>503</v>
      </c>
      <c r="F37" s="73">
        <v>723.52</v>
      </c>
      <c r="G37" s="147">
        <v>43524</v>
      </c>
      <c r="H37" s="75" t="s">
        <v>510</v>
      </c>
      <c r="I37" s="73">
        <v>4.4000000000000004</v>
      </c>
      <c r="J37" s="234"/>
      <c r="K37" s="73"/>
      <c r="L37" s="1609">
        <v>43480</v>
      </c>
      <c r="M37" s="73">
        <v>8.4</v>
      </c>
      <c r="N37" s="894">
        <v>43475</v>
      </c>
      <c r="O37" s="73">
        <v>50</v>
      </c>
      <c r="P37" s="71"/>
      <c r="Q37" s="73"/>
      <c r="R37" s="71"/>
      <c r="S37" s="73"/>
      <c r="T37" s="894">
        <v>43466</v>
      </c>
      <c r="U37" s="1199" t="s">
        <v>957</v>
      </c>
      <c r="V37" s="73">
        <v>20.2</v>
      </c>
      <c r="W37" s="894">
        <v>43588</v>
      </c>
      <c r="X37" s="1199" t="s">
        <v>923</v>
      </c>
      <c r="Y37" s="73">
        <v>40</v>
      </c>
      <c r="Z37" s="894">
        <v>43466</v>
      </c>
      <c r="AA37" s="1199" t="s">
        <v>957</v>
      </c>
      <c r="AB37" s="73">
        <v>97.71</v>
      </c>
      <c r="AC37" s="894"/>
      <c r="AD37" s="1199"/>
      <c r="AE37" s="73"/>
      <c r="AF37" s="1112">
        <v>0.18</v>
      </c>
      <c r="AG37" s="1113">
        <v>6.83</v>
      </c>
      <c r="AH37" s="1110">
        <v>2361</v>
      </c>
      <c r="AI37" s="238">
        <v>66</v>
      </c>
      <c r="AJ37" s="838"/>
      <c r="AK37" s="839"/>
      <c r="AL37" s="51">
        <f t="shared" si="0"/>
        <v>1.3471793654561279</v>
      </c>
      <c r="AM37" s="51">
        <f t="shared" si="1"/>
        <v>1.9803521103129107E-2</v>
      </c>
    </row>
    <row r="38" spans="1:39" x14ac:dyDescent="0.25">
      <c r="A38" s="71">
        <v>43524</v>
      </c>
      <c r="B38" s="72">
        <v>152.19</v>
      </c>
      <c r="C38" s="73">
        <v>208.43</v>
      </c>
      <c r="D38" s="147">
        <v>43551</v>
      </c>
      <c r="E38" s="75" t="s">
        <v>588</v>
      </c>
      <c r="F38" s="73">
        <v>275.24</v>
      </c>
      <c r="G38" s="147">
        <v>43539</v>
      </c>
      <c r="H38" s="75" t="s">
        <v>563</v>
      </c>
      <c r="I38" s="73">
        <v>8</v>
      </c>
      <c r="J38" s="234"/>
      <c r="K38" s="73"/>
      <c r="L38" s="1609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20.2</v>
      </c>
      <c r="W38" s="894"/>
      <c r="X38" s="1199"/>
      <c r="Y38" s="73"/>
      <c r="Z38" s="894">
        <v>43556</v>
      </c>
      <c r="AA38" s="1199" t="s">
        <v>958</v>
      </c>
      <c r="AB38" s="73">
        <v>97.71</v>
      </c>
      <c r="AC38" s="894"/>
      <c r="AD38" s="1199"/>
      <c r="AE38" s="73"/>
      <c r="AF38" s="1112">
        <v>0.19</v>
      </c>
      <c r="AG38" s="1113">
        <v>6.78</v>
      </c>
      <c r="AH38" s="1110">
        <v>2938</v>
      </c>
      <c r="AI38" s="238">
        <v>65</v>
      </c>
      <c r="AJ38" s="838"/>
      <c r="AK38" s="839"/>
      <c r="AL38" s="51">
        <f t="shared" si="0"/>
        <v>1.369538077403246</v>
      </c>
      <c r="AM38" s="51">
        <f t="shared" si="1"/>
        <v>4.2162233050247133E-2</v>
      </c>
    </row>
    <row r="39" spans="1:39" x14ac:dyDescent="0.25">
      <c r="A39" s="71">
        <v>43555</v>
      </c>
      <c r="B39" s="72">
        <v>120.06</v>
      </c>
      <c r="C39" s="73">
        <v>165.94</v>
      </c>
      <c r="D39" s="147">
        <v>43567</v>
      </c>
      <c r="E39" s="75" t="s">
        <v>650</v>
      </c>
      <c r="F39" s="73">
        <v>41.95</v>
      </c>
      <c r="G39" s="147">
        <v>43638</v>
      </c>
      <c r="H39" s="75" t="s">
        <v>510</v>
      </c>
      <c r="I39" s="73">
        <f>3*4.2</f>
        <v>12.600000000000001</v>
      </c>
      <c r="J39" s="234"/>
      <c r="K39" s="73"/>
      <c r="L39" s="1609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20.02</v>
      </c>
      <c r="W39" s="894"/>
      <c r="X39" s="1199"/>
      <c r="Y39" s="73"/>
      <c r="Z39" s="894">
        <v>43647</v>
      </c>
      <c r="AA39" s="1199" t="s">
        <v>959</v>
      </c>
      <c r="AB39" s="73">
        <v>103.85</v>
      </c>
      <c r="AC39" s="894"/>
      <c r="AD39" s="1199"/>
      <c r="AE39" s="73"/>
      <c r="AF39" s="1112">
        <v>0.19</v>
      </c>
      <c r="AG39" s="1113">
        <v>6.75</v>
      </c>
      <c r="AH39" s="1110">
        <v>2241</v>
      </c>
      <c r="AI39" s="238">
        <v>66</v>
      </c>
      <c r="AJ39" s="838"/>
      <c r="AK39" s="839"/>
      <c r="AL39" s="51">
        <f t="shared" si="0"/>
        <v>1.3821422622022321</v>
      </c>
      <c r="AM39" s="51">
        <f t="shared" si="1"/>
        <v>5.4766417849233306E-2</v>
      </c>
    </row>
    <row r="40" spans="1:39" x14ac:dyDescent="0.25">
      <c r="A40" s="71">
        <v>43585</v>
      </c>
      <c r="B40" s="72">
        <v>113.08</v>
      </c>
      <c r="C40" s="73">
        <v>157.24</v>
      </c>
      <c r="D40" s="147">
        <v>43811</v>
      </c>
      <c r="E40" s="75" t="s">
        <v>746</v>
      </c>
      <c r="F40" s="73">
        <v>49.5</v>
      </c>
      <c r="G40" s="147"/>
      <c r="H40" s="75"/>
      <c r="I40" s="73"/>
      <c r="J40" s="234"/>
      <c r="K40" s="73"/>
      <c r="L40" s="1609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20.02</v>
      </c>
      <c r="W40" s="894"/>
      <c r="X40" s="1199"/>
      <c r="Y40" s="73"/>
      <c r="Z40" s="894">
        <v>43739</v>
      </c>
      <c r="AA40" s="1199" t="s">
        <v>960</v>
      </c>
      <c r="AB40" s="73">
        <v>103.85</v>
      </c>
      <c r="AC40" s="894"/>
      <c r="AD40" s="1199"/>
      <c r="AE40" s="73"/>
      <c r="AF40" s="1112">
        <v>0.19</v>
      </c>
      <c r="AG40" s="1113">
        <v>6.72</v>
      </c>
      <c r="AH40" s="1110">
        <v>2106</v>
      </c>
      <c r="AI40" s="238">
        <v>66</v>
      </c>
      <c r="AJ40" s="838"/>
      <c r="AK40" s="839"/>
      <c r="AL40" s="51">
        <f t="shared" si="0"/>
        <v>1.3905199858507253</v>
      </c>
      <c r="AM40" s="51">
        <f t="shared" si="1"/>
        <v>6.3144141497726514E-2</v>
      </c>
    </row>
    <row r="41" spans="1:39" x14ac:dyDescent="0.25">
      <c r="A41" s="71">
        <v>43616</v>
      </c>
      <c r="B41" s="72">
        <v>251.83</v>
      </c>
      <c r="C41" s="73">
        <v>356.89</v>
      </c>
      <c r="D41" s="147">
        <v>43767</v>
      </c>
      <c r="E41" s="75" t="s">
        <v>752</v>
      </c>
      <c r="F41" s="73">
        <v>41.95</v>
      </c>
      <c r="G41" s="147"/>
      <c r="H41" s="75"/>
      <c r="I41" s="73"/>
      <c r="J41" s="234"/>
      <c r="K41" s="73"/>
      <c r="L41" s="1609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0.19</v>
      </c>
      <c r="AG41" s="1113">
        <v>6.69</v>
      </c>
      <c r="AH41" s="1110">
        <v>4243</v>
      </c>
      <c r="AI41" s="238">
        <v>51</v>
      </c>
      <c r="AJ41" s="838"/>
      <c r="AK41" s="839"/>
      <c r="AL41" s="51">
        <f t="shared" si="0"/>
        <v>1.417186197037684</v>
      </c>
      <c r="AM41" s="51">
        <f t="shared" si="1"/>
        <v>8.981035268468518E-2</v>
      </c>
    </row>
    <row r="42" spans="1:39" x14ac:dyDescent="0.25">
      <c r="A42" s="71">
        <v>43646</v>
      </c>
      <c r="B42" s="72">
        <v>242.36</v>
      </c>
      <c r="C42" s="73">
        <v>340.69</v>
      </c>
      <c r="D42" s="147">
        <v>43766</v>
      </c>
      <c r="E42" s="75" t="s">
        <v>800</v>
      </c>
      <c r="F42" s="73">
        <v>348.06</v>
      </c>
      <c r="G42" s="147"/>
      <c r="H42" s="75"/>
      <c r="I42" s="73"/>
      <c r="J42" s="234"/>
      <c r="K42" s="73"/>
      <c r="L42" s="1609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0.19</v>
      </c>
      <c r="AG42" s="1113">
        <v>6.63</v>
      </c>
      <c r="AH42" s="1110">
        <v>4514</v>
      </c>
      <c r="AI42" s="238">
        <v>65</v>
      </c>
      <c r="AJ42" s="838"/>
      <c r="AK42" s="839"/>
      <c r="AL42" s="51">
        <f t="shared" si="0"/>
        <v>1.4057187654728502</v>
      </c>
      <c r="AM42" s="51">
        <f t="shared" si="1"/>
        <v>7.8342921119851416E-2</v>
      </c>
    </row>
    <row r="43" spans="1:39" x14ac:dyDescent="0.25">
      <c r="A43" s="71">
        <v>43677</v>
      </c>
      <c r="B43" s="72">
        <v>10.39</v>
      </c>
      <c r="C43" s="73">
        <v>14.55</v>
      </c>
      <c r="D43" s="147"/>
      <c r="E43" s="75"/>
      <c r="F43" s="73"/>
      <c r="G43" s="147"/>
      <c r="H43" s="75"/>
      <c r="I43" s="73"/>
      <c r="J43" s="234"/>
      <c r="K43" s="73"/>
      <c r="L43" s="1609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0.19</v>
      </c>
      <c r="AG43" s="1113">
        <v>6.64</v>
      </c>
      <c r="AH43" s="1110">
        <v>96</v>
      </c>
      <c r="AI43" s="238">
        <v>65</v>
      </c>
      <c r="AJ43" s="838"/>
      <c r="AK43" s="839"/>
      <c r="AL43" s="51">
        <f t="shared" si="0"/>
        <v>1.4003849855630415</v>
      </c>
      <c r="AM43" s="51">
        <f t="shared" si="1"/>
        <v>7.300914121004265E-2</v>
      </c>
    </row>
    <row r="44" spans="1:39" x14ac:dyDescent="0.25">
      <c r="A44" s="71">
        <v>43708</v>
      </c>
      <c r="B44" s="72">
        <v>142.55000000000001</v>
      </c>
      <c r="C44" s="73">
        <v>194.82</v>
      </c>
      <c r="D44" s="147"/>
      <c r="E44" s="75"/>
      <c r="F44" s="73"/>
      <c r="G44" s="147"/>
      <c r="H44" s="75"/>
      <c r="I44" s="73"/>
      <c r="J44" s="234"/>
      <c r="K44" s="73"/>
      <c r="L44" s="1609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0.19</v>
      </c>
      <c r="AG44" s="1113">
        <v>6.61</v>
      </c>
      <c r="AH44" s="1110">
        <v>2608</v>
      </c>
      <c r="AI44" s="238">
        <v>59</v>
      </c>
      <c r="AJ44" s="838"/>
      <c r="AK44" s="839"/>
      <c r="AL44" s="51">
        <f t="shared" si="0"/>
        <v>1.3666783584707118</v>
      </c>
      <c r="AM44" s="51">
        <f t="shared" si="1"/>
        <v>3.9302514117713017E-2</v>
      </c>
    </row>
    <row r="45" spans="1:39" x14ac:dyDescent="0.25">
      <c r="A45" s="71">
        <v>43738</v>
      </c>
      <c r="B45" s="72">
        <v>270.42</v>
      </c>
      <c r="C45" s="73">
        <v>370.7</v>
      </c>
      <c r="D45" s="147"/>
      <c r="E45" s="75"/>
      <c r="F45" s="73"/>
      <c r="G45" s="147"/>
      <c r="H45" s="75"/>
      <c r="I45" s="73"/>
      <c r="J45" s="234"/>
      <c r="K45" s="73"/>
      <c r="L45" s="1609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0.18</v>
      </c>
      <c r="AG45" s="1113">
        <v>6.57</v>
      </c>
      <c r="AH45" s="1110">
        <v>4792</v>
      </c>
      <c r="AI45" s="238">
        <v>65</v>
      </c>
      <c r="AJ45" s="838"/>
      <c r="AK45" s="839"/>
      <c r="AL45" s="51">
        <f t="shared" si="0"/>
        <v>1.370830559869832</v>
      </c>
      <c r="AM45" s="51">
        <f t="shared" si="1"/>
        <v>4.345471551683322E-2</v>
      </c>
    </row>
    <row r="46" spans="1:39" x14ac:dyDescent="0.25">
      <c r="A46" s="71">
        <v>43769</v>
      </c>
      <c r="B46" s="72">
        <v>364.62</v>
      </c>
      <c r="C46" s="73">
        <v>505.89</v>
      </c>
      <c r="D46" s="147"/>
      <c r="E46" s="75"/>
      <c r="F46" s="73"/>
      <c r="G46" s="147"/>
      <c r="H46" s="75"/>
      <c r="I46" s="73"/>
      <c r="J46" s="234"/>
      <c r="K46" s="73"/>
      <c r="L46" s="1609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0.18</v>
      </c>
      <c r="AG46" s="1113">
        <v>6.52</v>
      </c>
      <c r="AH46" s="1110">
        <v>6472</v>
      </c>
      <c r="AI46" s="238">
        <v>65</v>
      </c>
      <c r="AJ46" s="838"/>
      <c r="AK46" s="839"/>
      <c r="AL46" s="51">
        <f t="shared" si="0"/>
        <v>1.3874444627283198</v>
      </c>
      <c r="AM46" s="51">
        <f t="shared" si="1"/>
        <v>6.0068618375320959E-2</v>
      </c>
    </row>
    <row r="47" spans="1:39" x14ac:dyDescent="0.25">
      <c r="A47" s="71">
        <v>43799</v>
      </c>
      <c r="B47" s="72">
        <v>197.19</v>
      </c>
      <c r="C47" s="73">
        <v>273.79000000000002</v>
      </c>
      <c r="D47" s="147"/>
      <c r="E47" s="75"/>
      <c r="F47" s="73"/>
      <c r="G47" s="147"/>
      <c r="H47" s="75"/>
      <c r="I47" s="73"/>
      <c r="J47" s="234"/>
      <c r="K47" s="73"/>
      <c r="L47" s="1609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0.18</v>
      </c>
      <c r="AG47" s="1113">
        <v>6.49</v>
      </c>
      <c r="AH47" s="1110">
        <v>3520</v>
      </c>
      <c r="AI47" s="238">
        <v>52</v>
      </c>
      <c r="AJ47" s="838"/>
      <c r="AK47" s="839"/>
      <c r="AL47" s="51">
        <f t="shared" si="0"/>
        <v>1.3884578325472896</v>
      </c>
      <c r="AM47" s="51">
        <f t="shared" si="1"/>
        <v>6.1081988194290782E-2</v>
      </c>
    </row>
    <row r="48" spans="1:39" x14ac:dyDescent="0.25">
      <c r="A48" s="71">
        <v>43830</v>
      </c>
      <c r="B48" s="72">
        <v>160.31</v>
      </c>
      <c r="C48" s="73">
        <v>222.33</v>
      </c>
      <c r="D48" s="147"/>
      <c r="E48" s="75"/>
      <c r="F48" s="73"/>
      <c r="G48" s="147"/>
      <c r="H48" s="75"/>
      <c r="I48" s="73"/>
      <c r="J48" s="234"/>
      <c r="K48" s="73"/>
      <c r="L48" s="1609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0.18</v>
      </c>
      <c r="AG48" s="1113">
        <v>6.48</v>
      </c>
      <c r="AH48" s="1110">
        <v>2693</v>
      </c>
      <c r="AI48" s="238">
        <v>65</v>
      </c>
      <c r="AJ48" s="838"/>
      <c r="AK48" s="839"/>
      <c r="AL48" s="51">
        <f t="shared" si="0"/>
        <v>1.3868754288565903</v>
      </c>
      <c r="AM48" s="51">
        <f t="shared" si="1"/>
        <v>5.9499584503591496E-2</v>
      </c>
    </row>
    <row r="49" spans="1:39" x14ac:dyDescent="0.25">
      <c r="A49" s="71">
        <v>43861</v>
      </c>
      <c r="B49" s="72">
        <v>77.88</v>
      </c>
      <c r="C49" s="73">
        <v>108.24</v>
      </c>
      <c r="D49" s="147">
        <v>43878</v>
      </c>
      <c r="E49" s="75" t="s">
        <v>972</v>
      </c>
      <c r="F49" s="73">
        <v>22.13</v>
      </c>
      <c r="G49" s="147">
        <v>43874</v>
      </c>
      <c r="H49" s="75" t="s">
        <v>510</v>
      </c>
      <c r="I49" s="73">
        <f>13.4+4.4+4.4</f>
        <v>22.200000000000003</v>
      </c>
      <c r="J49" s="234"/>
      <c r="K49" s="73"/>
      <c r="L49" s="1609">
        <v>43861</v>
      </c>
      <c r="M49" s="73">
        <v>8.4</v>
      </c>
      <c r="N49" s="894">
        <v>43845</v>
      </c>
      <c r="O49" s="73">
        <v>50</v>
      </c>
      <c r="P49" s="71"/>
      <c r="Q49" s="73"/>
      <c r="R49" s="71"/>
      <c r="S49" s="73"/>
      <c r="T49" s="894">
        <v>43831</v>
      </c>
      <c r="U49" s="1199" t="s">
        <v>961</v>
      </c>
      <c r="V49" s="73">
        <v>20.02</v>
      </c>
      <c r="W49" s="894">
        <v>43942</v>
      </c>
      <c r="X49" s="1199" t="s">
        <v>1079</v>
      </c>
      <c r="Y49" s="73">
        <v>40</v>
      </c>
      <c r="Z49" s="894">
        <v>43831</v>
      </c>
      <c r="AA49" s="1199" t="s">
        <v>961</v>
      </c>
      <c r="AB49" s="73">
        <v>103.85</v>
      </c>
      <c r="AC49" s="894"/>
      <c r="AD49" s="1199"/>
      <c r="AE49" s="73"/>
      <c r="AF49" s="1112">
        <v>0.19</v>
      </c>
      <c r="AG49" s="1113">
        <v>6.47</v>
      </c>
      <c r="AH49" s="1110">
        <v>1415</v>
      </c>
      <c r="AI49" s="238">
        <v>66</v>
      </c>
      <c r="AJ49" s="838"/>
      <c r="AK49" s="839"/>
      <c r="AL49" s="51">
        <f t="shared" si="0"/>
        <v>1.3898305084745763</v>
      </c>
      <c r="AM49" s="51">
        <f t="shared" si="1"/>
        <v>6.2454664121577519E-2</v>
      </c>
    </row>
    <row r="50" spans="1:39" x14ac:dyDescent="0.25">
      <c r="A50" s="71">
        <v>43890</v>
      </c>
      <c r="B50" s="72">
        <v>110.89</v>
      </c>
      <c r="C50" s="73">
        <v>150.97999999999999</v>
      </c>
      <c r="D50" s="528">
        <v>44127</v>
      </c>
      <c r="E50" s="516" t="s">
        <v>1252</v>
      </c>
      <c r="F50" s="380">
        <v>449.05</v>
      </c>
      <c r="G50" s="147">
        <v>44043</v>
      </c>
      <c r="H50" s="75" t="s">
        <v>510</v>
      </c>
      <c r="I50" s="73">
        <f>6.02+15.24</f>
        <v>21.259999999999998</v>
      </c>
      <c r="J50" s="234"/>
      <c r="K50" s="73"/>
      <c r="L50" s="1609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20.02</v>
      </c>
      <c r="W50" s="894"/>
      <c r="X50" s="1199"/>
      <c r="Y50" s="73"/>
      <c r="Z50" s="894">
        <v>43922</v>
      </c>
      <c r="AA50" s="1199" t="s">
        <v>1008</v>
      </c>
      <c r="AB50" s="73">
        <v>103.85</v>
      </c>
      <c r="AC50" s="894"/>
      <c r="AD50" s="1199"/>
      <c r="AE50" s="73"/>
      <c r="AF50" s="1112">
        <v>0.19</v>
      </c>
      <c r="AG50" s="1113">
        <v>6.46</v>
      </c>
      <c r="AH50" s="1110">
        <v>1955</v>
      </c>
      <c r="AI50" s="238">
        <v>64</v>
      </c>
      <c r="AJ50" s="838"/>
      <c r="AK50" s="839"/>
      <c r="AL50" s="51">
        <f t="shared" si="0"/>
        <v>1.3615294435927494</v>
      </c>
      <c r="AM50" s="51">
        <f t="shared" si="1"/>
        <v>3.4153599239750587E-2</v>
      </c>
    </row>
    <row r="51" spans="1:39" x14ac:dyDescent="0.25">
      <c r="A51" s="71">
        <v>43921</v>
      </c>
      <c r="B51" s="72">
        <v>5</v>
      </c>
      <c r="C51" s="73">
        <v>6.81</v>
      </c>
      <c r="D51" s="528">
        <v>44489</v>
      </c>
      <c r="E51" s="516" t="s">
        <v>1458</v>
      </c>
      <c r="F51" s="380">
        <v>312.48</v>
      </c>
      <c r="G51" s="147">
        <v>44196</v>
      </c>
      <c r="H51" s="75" t="s">
        <v>510</v>
      </c>
      <c r="I51" s="73">
        <f>12.86+12.86+4.5</f>
        <v>30.22</v>
      </c>
      <c r="J51" s="234"/>
      <c r="K51" s="73"/>
      <c r="L51" s="1609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20.02</v>
      </c>
      <c r="W51" s="894"/>
      <c r="X51" s="1199"/>
      <c r="Y51" s="73"/>
      <c r="Z51" s="894">
        <v>44007</v>
      </c>
      <c r="AA51" s="1199" t="s">
        <v>1223</v>
      </c>
      <c r="AB51" s="73">
        <v>103.85</v>
      </c>
      <c r="AC51" s="894"/>
      <c r="AD51" s="1199"/>
      <c r="AE51" s="73"/>
      <c r="AF51" s="1112">
        <v>0.19</v>
      </c>
      <c r="AG51" s="1113">
        <v>6.46</v>
      </c>
      <c r="AH51" s="1110">
        <v>56</v>
      </c>
      <c r="AI51" s="238">
        <v>59</v>
      </c>
      <c r="AJ51" s="838"/>
      <c r="AK51" s="839"/>
      <c r="AL51" s="51">
        <f t="shared" si="0"/>
        <v>1.3619999999999999</v>
      </c>
      <c r="AM51" s="51">
        <f t="shared" si="1"/>
        <v>3.4624155647001054E-2</v>
      </c>
    </row>
    <row r="52" spans="1:39" x14ac:dyDescent="0.25">
      <c r="A52" s="71">
        <v>43951</v>
      </c>
      <c r="B52" s="72">
        <v>3</v>
      </c>
      <c r="C52" s="73">
        <v>4.08</v>
      </c>
      <c r="D52" s="147">
        <v>44524</v>
      </c>
      <c r="E52" s="75" t="s">
        <v>1497</v>
      </c>
      <c r="F52" s="73">
        <v>41.95</v>
      </c>
      <c r="G52" s="147"/>
      <c r="H52" s="75"/>
      <c r="I52" s="73"/>
      <c r="J52" s="234"/>
      <c r="K52" s="73"/>
      <c r="L52" s="1609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20.02</v>
      </c>
      <c r="W52" s="894"/>
      <c r="X52" s="1199"/>
      <c r="Y52" s="73"/>
      <c r="Z52" s="894">
        <v>44091</v>
      </c>
      <c r="AA52" s="1199" t="s">
        <v>1222</v>
      </c>
      <c r="AB52" s="73">
        <v>103.85</v>
      </c>
      <c r="AC52" s="894"/>
      <c r="AD52" s="1199"/>
      <c r="AE52" s="73"/>
      <c r="AF52" s="1112">
        <v>0.19</v>
      </c>
      <c r="AG52" s="1113">
        <v>6.46</v>
      </c>
      <c r="AH52" s="1110">
        <v>22</v>
      </c>
      <c r="AI52" s="238">
        <v>56</v>
      </c>
      <c r="AJ52" s="838"/>
      <c r="AK52" s="839"/>
      <c r="AL52" s="51">
        <f t="shared" si="0"/>
        <v>1.36</v>
      </c>
      <c r="AM52" s="51">
        <f t="shared" si="1"/>
        <v>3.2624155647001274E-2</v>
      </c>
    </row>
    <row r="53" spans="1:39" x14ac:dyDescent="0.25">
      <c r="A53" s="71">
        <v>43982</v>
      </c>
      <c r="B53" s="72">
        <v>0</v>
      </c>
      <c r="C53" s="73">
        <v>0</v>
      </c>
      <c r="D53" s="147">
        <v>44545</v>
      </c>
      <c r="E53" s="75" t="s">
        <v>1511</v>
      </c>
      <c r="F53" s="73">
        <v>44</v>
      </c>
      <c r="G53" s="147"/>
      <c r="H53" s="75"/>
      <c r="I53" s="73"/>
      <c r="J53" s="234"/>
      <c r="K53" s="73"/>
      <c r="L53" s="1609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0.19</v>
      </c>
      <c r="AG53" s="1113">
        <v>6.46</v>
      </c>
      <c r="AH53" s="1110">
        <v>0</v>
      </c>
      <c r="AI53" s="238">
        <v>56</v>
      </c>
      <c r="AJ53" s="838"/>
      <c r="AK53" s="839"/>
      <c r="AL53" s="51" t="e">
        <f t="shared" si="0"/>
        <v>#DIV/0!</v>
      </c>
      <c r="AM53" s="51" t="e">
        <f t="shared" si="1"/>
        <v>#DIV/0!</v>
      </c>
    </row>
    <row r="54" spans="1:39" x14ac:dyDescent="0.25">
      <c r="A54" s="71">
        <v>44012</v>
      </c>
      <c r="B54" s="72">
        <v>1</v>
      </c>
      <c r="C54" s="73">
        <v>1.36</v>
      </c>
      <c r="D54" s="147">
        <v>44545</v>
      </c>
      <c r="E54" s="75" t="s">
        <v>1511</v>
      </c>
      <c r="F54" s="73">
        <v>38</v>
      </c>
      <c r="G54" s="147"/>
      <c r="H54" s="75"/>
      <c r="I54" s="73"/>
      <c r="J54" s="234"/>
      <c r="K54" s="73"/>
      <c r="L54" s="1609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0.2</v>
      </c>
      <c r="AG54" s="1113">
        <v>6.46</v>
      </c>
      <c r="AH54" s="1110">
        <v>0</v>
      </c>
      <c r="AI54" s="238">
        <v>55</v>
      </c>
      <c r="AJ54" s="838"/>
      <c r="AK54" s="839"/>
      <c r="AL54" s="51">
        <f t="shared" si="0"/>
        <v>1.36</v>
      </c>
      <c r="AM54" s="51">
        <f t="shared" si="1"/>
        <v>3.2624155647001274E-2</v>
      </c>
    </row>
    <row r="55" spans="1:39" x14ac:dyDescent="0.25">
      <c r="A55" s="71">
        <v>44043</v>
      </c>
      <c r="B55" s="72">
        <v>69.14</v>
      </c>
      <c r="C55" s="73">
        <v>88.92</v>
      </c>
      <c r="D55" s="147"/>
      <c r="E55" s="75"/>
      <c r="F55" s="73"/>
      <c r="G55" s="147"/>
      <c r="H55" s="75"/>
      <c r="I55" s="73"/>
      <c r="J55" s="234"/>
      <c r="K55" s="73"/>
      <c r="L55" s="1609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0.2</v>
      </c>
      <c r="AG55" s="1113">
        <v>6.46</v>
      </c>
      <c r="AH55" s="1110">
        <v>1088</v>
      </c>
      <c r="AI55" s="238">
        <v>40</v>
      </c>
      <c r="AJ55" s="838"/>
      <c r="AK55" s="839"/>
      <c r="AL55" s="51">
        <f t="shared" si="0"/>
        <v>1.2860862019091699</v>
      </c>
      <c r="AM55" s="51">
        <f t="shared" si="1"/>
        <v>-4.1289642443828933E-2</v>
      </c>
    </row>
    <row r="56" spans="1:39" x14ac:dyDescent="0.25">
      <c r="A56" s="71">
        <v>44074</v>
      </c>
      <c r="B56" s="72">
        <v>0</v>
      </c>
      <c r="C56" s="73">
        <v>0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0.2</v>
      </c>
      <c r="AG56" s="1113">
        <v>6.38</v>
      </c>
      <c r="AH56" s="1110">
        <v>0</v>
      </c>
      <c r="AI56" s="238">
        <v>40</v>
      </c>
      <c r="AJ56" s="838"/>
      <c r="AK56" s="839"/>
      <c r="AL56" s="51" t="e">
        <f t="shared" si="0"/>
        <v>#DIV/0!</v>
      </c>
      <c r="AM56" s="51" t="e">
        <f t="shared" si="1"/>
        <v>#DIV/0!</v>
      </c>
    </row>
    <row r="57" spans="1:39" x14ac:dyDescent="0.25">
      <c r="A57" s="71">
        <v>44104</v>
      </c>
      <c r="B57" s="72">
        <v>127.31</v>
      </c>
      <c r="C57" s="73">
        <v>155.35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0.2</v>
      </c>
      <c r="AG57" s="1113">
        <v>6.43</v>
      </c>
      <c r="AH57" s="1110">
        <v>2026</v>
      </c>
      <c r="AI57" s="238">
        <v>42</v>
      </c>
      <c r="AJ57" s="838"/>
      <c r="AK57" s="839"/>
      <c r="AL57" s="51">
        <f t="shared" si="0"/>
        <v>1.2202497839918309</v>
      </c>
      <c r="AM57" s="51">
        <f t="shared" si="1"/>
        <v>-0.1071260603611679</v>
      </c>
    </row>
    <row r="58" spans="1:39" x14ac:dyDescent="0.25">
      <c r="A58" s="71">
        <v>44135</v>
      </c>
      <c r="B58" s="72">
        <v>43.79</v>
      </c>
      <c r="C58" s="73">
        <v>52.38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0.2</v>
      </c>
      <c r="AG58" s="1113">
        <v>6.45</v>
      </c>
      <c r="AH58" s="1110">
        <v>635</v>
      </c>
      <c r="AI58" s="238">
        <v>45</v>
      </c>
      <c r="AJ58" s="838"/>
      <c r="AK58" s="839"/>
      <c r="AL58" s="51">
        <f t="shared" si="0"/>
        <v>1.1961635076501484</v>
      </c>
      <c r="AM58" s="51">
        <f t="shared" si="1"/>
        <v>-0.13121233670285037</v>
      </c>
    </row>
    <row r="59" spans="1:39" x14ac:dyDescent="0.25">
      <c r="A59" s="71">
        <v>44165</v>
      </c>
      <c r="B59" s="72">
        <v>17</v>
      </c>
      <c r="C59" s="73">
        <v>20.329999999999998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0.21</v>
      </c>
      <c r="AG59" s="1113">
        <v>6.46</v>
      </c>
      <c r="AH59" s="1110">
        <v>221</v>
      </c>
      <c r="AI59" s="238">
        <v>28</v>
      </c>
      <c r="AJ59" s="838"/>
      <c r="AK59" s="839"/>
      <c r="AL59" s="51">
        <f t="shared" si="0"/>
        <v>1.1958823529411764</v>
      </c>
      <c r="AM59" s="51">
        <f t="shared" si="1"/>
        <v>-0.13149349141182243</v>
      </c>
    </row>
    <row r="60" spans="1:39" x14ac:dyDescent="0.25">
      <c r="A60" s="71">
        <v>44196</v>
      </c>
      <c r="B60" s="72">
        <v>16.84</v>
      </c>
      <c r="C60" s="73">
        <v>20.399999999999999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0.21</v>
      </c>
      <c r="AG60" s="1113">
        <v>6.47</v>
      </c>
      <c r="AH60" s="1110">
        <v>171</v>
      </c>
      <c r="AI60" s="238">
        <v>66</v>
      </c>
      <c r="AJ60" s="838"/>
      <c r="AK60" s="839"/>
      <c r="AL60" s="51">
        <f t="shared" si="0"/>
        <v>1.2114014251781471</v>
      </c>
      <c r="AM60" s="51">
        <f t="shared" si="1"/>
        <v>-0.11597441917485174</v>
      </c>
    </row>
    <row r="61" spans="1:39" x14ac:dyDescent="0.25">
      <c r="A61" s="71">
        <v>44227</v>
      </c>
      <c r="B61" s="72">
        <v>4.2</v>
      </c>
      <c r="C61" s="73">
        <v>5.0599999999999996</v>
      </c>
      <c r="D61" s="147">
        <v>44552</v>
      </c>
      <c r="E61" s="75" t="s">
        <v>1522</v>
      </c>
      <c r="F61" s="73">
        <v>308.83999999999997</v>
      </c>
      <c r="G61" s="147"/>
      <c r="H61" s="75"/>
      <c r="I61" s="73"/>
      <c r="J61" s="234">
        <v>44483</v>
      </c>
      <c r="K61" s="73">
        <f>6.67*1.2</f>
        <v>8.0039999999999996</v>
      </c>
      <c r="L61" s="1609">
        <v>44225</v>
      </c>
      <c r="M61" s="73">
        <v>8.4</v>
      </c>
      <c r="N61" s="894"/>
      <c r="O61" s="73"/>
      <c r="P61" s="71"/>
      <c r="Q61" s="73"/>
      <c r="R61" s="71"/>
      <c r="S61" s="73"/>
      <c r="T61" s="894"/>
      <c r="U61" s="1199"/>
      <c r="V61" s="73"/>
      <c r="W61" s="894">
        <v>44312</v>
      </c>
      <c r="X61" s="1199" t="s">
        <v>1329</v>
      </c>
      <c r="Y61" s="73">
        <v>40</v>
      </c>
      <c r="Z61" s="894">
        <v>44197</v>
      </c>
      <c r="AA61" s="1199" t="s">
        <v>1517</v>
      </c>
      <c r="AB61" s="73">
        <v>103.85</v>
      </c>
      <c r="AC61" s="894"/>
      <c r="AD61" s="1199"/>
      <c r="AE61" s="73"/>
      <c r="AF61" s="1112">
        <v>0.21</v>
      </c>
      <c r="AG61" s="1113">
        <v>6.47</v>
      </c>
      <c r="AH61" s="1110">
        <v>3</v>
      </c>
      <c r="AI61" s="238">
        <v>66</v>
      </c>
      <c r="AJ61" s="838"/>
      <c r="AK61" s="839"/>
      <c r="AL61" s="51">
        <f t="shared" si="0"/>
        <v>1.2047619047619047</v>
      </c>
      <c r="AM61" s="51">
        <f t="shared" si="1"/>
        <v>-0.12261393959109412</v>
      </c>
    </row>
    <row r="62" spans="1:39" x14ac:dyDescent="0.25">
      <c r="A62" s="71">
        <v>44255</v>
      </c>
      <c r="B62" s="72">
        <v>0</v>
      </c>
      <c r="C62" s="73">
        <v>0</v>
      </c>
      <c r="D62" s="147"/>
      <c r="E62" s="75"/>
      <c r="F62" s="73"/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/>
      <c r="U62" s="1199"/>
      <c r="V62" s="73"/>
      <c r="W62" s="894"/>
      <c r="X62" s="1199"/>
      <c r="Y62" s="73"/>
      <c r="Z62" s="894">
        <v>44287</v>
      </c>
      <c r="AA62" s="1199" t="s">
        <v>1518</v>
      </c>
      <c r="AB62" s="73">
        <v>103.85</v>
      </c>
      <c r="AC62" s="894"/>
      <c r="AD62" s="1199"/>
      <c r="AE62" s="73"/>
      <c r="AF62" s="1112">
        <v>0.21</v>
      </c>
      <c r="AG62" s="1113">
        <v>6.47</v>
      </c>
      <c r="AH62" s="1110">
        <v>0</v>
      </c>
      <c r="AI62" s="238">
        <v>66</v>
      </c>
      <c r="AJ62" s="838"/>
      <c r="AK62" s="839"/>
      <c r="AL62" s="51" t="e">
        <f t="shared" si="0"/>
        <v>#DIV/0!</v>
      </c>
      <c r="AM62" s="51" t="e">
        <f t="shared" si="1"/>
        <v>#DIV/0!</v>
      </c>
    </row>
    <row r="63" spans="1:39" x14ac:dyDescent="0.25">
      <c r="A63" s="71">
        <v>44286</v>
      </c>
      <c r="B63" s="72">
        <v>5.25</v>
      </c>
      <c r="C63" s="73">
        <v>6.37</v>
      </c>
      <c r="D63" s="147"/>
      <c r="E63" s="75"/>
      <c r="F63" s="73"/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>
        <v>44378</v>
      </c>
      <c r="U63" s="1199" t="s">
        <v>1402</v>
      </c>
      <c r="V63" s="73">
        <v>20.02</v>
      </c>
      <c r="W63" s="894"/>
      <c r="X63" s="1199"/>
      <c r="Y63" s="73"/>
      <c r="Z63" s="894">
        <v>44378</v>
      </c>
      <c r="AA63" s="1199" t="s">
        <v>1402</v>
      </c>
      <c r="AB63" s="73">
        <v>103.85</v>
      </c>
      <c r="AC63" s="894"/>
      <c r="AD63" s="1199"/>
      <c r="AE63" s="73"/>
      <c r="AF63" s="1112">
        <v>0.21</v>
      </c>
      <c r="AG63" s="1113">
        <v>6.47</v>
      </c>
      <c r="AH63" s="1110">
        <v>4</v>
      </c>
      <c r="AI63" s="238">
        <v>65</v>
      </c>
      <c r="AJ63" s="838"/>
      <c r="AK63" s="839"/>
      <c r="AL63" s="51">
        <f t="shared" si="0"/>
        <v>1.2133333333333334</v>
      </c>
      <c r="AM63" s="51">
        <f t="shared" si="1"/>
        <v>-0.11404251101966545</v>
      </c>
    </row>
    <row r="64" spans="1:39" x14ac:dyDescent="0.25">
      <c r="A64" s="71">
        <v>44316</v>
      </c>
      <c r="B64" s="72">
        <v>0</v>
      </c>
      <c r="C64" s="73">
        <v>0</v>
      </c>
      <c r="D64" s="147"/>
      <c r="E64" s="75"/>
      <c r="F64" s="73"/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>
        <v>44470</v>
      </c>
      <c r="AA64" s="1199" t="s">
        <v>1516</v>
      </c>
      <c r="AB64" s="73">
        <v>103.85</v>
      </c>
      <c r="AC64" s="894"/>
      <c r="AD64" s="1199"/>
      <c r="AE64" s="73"/>
      <c r="AF64" s="1112">
        <v>0.21</v>
      </c>
      <c r="AG64" s="1113">
        <v>6.47</v>
      </c>
      <c r="AH64" s="1110">
        <v>22</v>
      </c>
      <c r="AI64" s="238">
        <v>65</v>
      </c>
      <c r="AJ64" s="838"/>
      <c r="AK64" s="839"/>
      <c r="AL64" s="51" t="e">
        <f t="shared" si="0"/>
        <v>#DIV/0!</v>
      </c>
      <c r="AM64" s="51" t="e">
        <f t="shared" si="1"/>
        <v>#DIV/0!</v>
      </c>
    </row>
    <row r="65" spans="1:39" x14ac:dyDescent="0.25">
      <c r="A65" s="71">
        <v>44347</v>
      </c>
      <c r="B65" s="72">
        <v>3</v>
      </c>
      <c r="C65" s="73">
        <v>3.64</v>
      </c>
      <c r="D65" s="147"/>
      <c r="E65" s="75"/>
      <c r="F65" s="73"/>
      <c r="G65" s="147"/>
      <c r="H65" s="75"/>
      <c r="I65" s="73"/>
      <c r="J65" s="234"/>
      <c r="K65" s="73"/>
      <c r="L65" s="1609">
        <v>44320</v>
      </c>
      <c r="M65" s="73">
        <v>8.4</v>
      </c>
      <c r="N65" s="894">
        <v>44323</v>
      </c>
      <c r="O65" s="73">
        <v>50</v>
      </c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0.21</v>
      </c>
      <c r="AG65" s="1113">
        <v>6.47</v>
      </c>
      <c r="AH65" s="1110">
        <v>32</v>
      </c>
      <c r="AI65" s="238">
        <v>62</v>
      </c>
      <c r="AJ65" s="838"/>
      <c r="AK65" s="839"/>
      <c r="AL65" s="51">
        <f t="shared" si="0"/>
        <v>1.2133333333333334</v>
      </c>
      <c r="AM65" s="51">
        <f t="shared" si="1"/>
        <v>-0.11404251101966545</v>
      </c>
    </row>
    <row r="66" spans="1:39" x14ac:dyDescent="0.25">
      <c r="A66" s="71">
        <v>44377</v>
      </c>
      <c r="B66" s="72">
        <v>34.130000000000003</v>
      </c>
      <c r="C66" s="73">
        <v>44.18</v>
      </c>
      <c r="D66" s="147"/>
      <c r="E66" s="75"/>
      <c r="F66" s="73"/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0.21</v>
      </c>
      <c r="AG66" s="1113">
        <v>6.48</v>
      </c>
      <c r="AH66" s="1110">
        <v>388</v>
      </c>
      <c r="AI66" s="238">
        <v>65</v>
      </c>
      <c r="AJ66" s="838"/>
      <c r="AK66" s="839"/>
      <c r="AL66" s="51">
        <f t="shared" si="0"/>
        <v>1.2944623498388514</v>
      </c>
      <c r="AM66" s="51">
        <f t="shared" si="1"/>
        <v>-3.2913494514147379E-2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ref="AF67:AF96" ca="1" si="2">$F$5</f>
        <v>0.22035177375969162</v>
      </c>
      <c r="AG67" s="1113">
        <f>SUM($B$9:B67)/($J$1-$B$4)*100</f>
        <v>6.4805937905968545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0.22035177375969162</v>
      </c>
      <c r="AG68" s="1113">
        <f>SUM($B$9:B68)/($J$1-$B$4)*100</f>
        <v>6.4805937905968545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0.22035177375969162</v>
      </c>
      <c r="AG69" s="1113">
        <f>SUM($B$9:B69)/($J$1-$B$4)*100</f>
        <v>6.4805937905968545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0.22035177375969162</v>
      </c>
      <c r="AG70" s="1113">
        <f>SUM($B$9:B70)/($J$1-$B$4)*100</f>
        <v>6.4805937905968545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0.22035177375969162</v>
      </c>
      <c r="AG71" s="1113">
        <f>SUM($B$9:B71)/($J$1-$B$4)*100</f>
        <v>6.4805937905968545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0.22035177375969162</v>
      </c>
      <c r="AG72" s="1113">
        <f>SUM($B$9:B72)/($J$1-$B$4)*100</f>
        <v>6.4805937905968545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>
        <v>44574</v>
      </c>
      <c r="K73" s="73">
        <v>6</v>
      </c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>
        <v>44562</v>
      </c>
      <c r="AA73" s="1199" t="s">
        <v>1541</v>
      </c>
      <c r="AB73" s="73">
        <v>103.85</v>
      </c>
      <c r="AC73" s="894"/>
      <c r="AD73" s="1199"/>
      <c r="AE73" s="73"/>
      <c r="AF73" s="1112">
        <f t="shared" ca="1" si="2"/>
        <v>0.22035177375969162</v>
      </c>
      <c r="AG73" s="1113">
        <f>SUM($B$9:B73)/($J$1-$B$4)*100</f>
        <v>6.4805937905968545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0.22035177375969162</v>
      </c>
      <c r="AG74" s="1113">
        <f>SUM($B$9:B74)/($J$1-$B$4)*100</f>
        <v>6.4805937905968545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1609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0.22035177375969162</v>
      </c>
      <c r="AG75" s="1113">
        <f>SUM($B$9:B75)/($J$1-$B$4)*100</f>
        <v>6.4805937905968545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1609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0.22035177375969162</v>
      </c>
      <c r="AG76" s="1113">
        <f>SUM($B$9:B76)/($J$1-$B$4)*100</f>
        <v>6.4805937905968545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1609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0.22035177375969162</v>
      </c>
      <c r="AG77" s="1113">
        <f>SUM($B$9:B77)/($J$1-$B$4)*100</f>
        <v>6.4805937905968545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1609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0.22035177375969162</v>
      </c>
      <c r="AG78" s="1113">
        <f>SUM($B$9:B78)/($J$1-$B$4)*100</f>
        <v>6.4805937905968545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161"/>
      <c r="H79" s="831"/>
      <c r="I79" s="835"/>
      <c r="J79" s="234"/>
      <c r="K79" s="73"/>
      <c r="L79" s="1609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0.22035177375969162</v>
      </c>
      <c r="AG79" s="1113">
        <f>SUM($B$9:B79)/($J$1-$B$4)*100</f>
        <v>6.4805937905968545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1609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0.22035177375969162</v>
      </c>
      <c r="AG80" s="1113">
        <f>SUM($B$9:B80)/($J$1-$B$4)*100</f>
        <v>6.4805937905968545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1609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0.22035177375969162</v>
      </c>
      <c r="AG81" s="1113">
        <f>SUM($B$9:B81)/($J$1-$B$4)*100</f>
        <v>6.4805937905968545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1609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0.22035177375969162</v>
      </c>
      <c r="AG82" s="1113">
        <f>SUM($B$9:B82)/($J$1-$B$4)*100</f>
        <v>6.4805937905968545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1609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0.22035177375969162</v>
      </c>
      <c r="AG83" s="1113">
        <f>SUM($B$9:B83)/($J$1-$B$4)*100</f>
        <v>6.4805937905968545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1609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0.22035177375969162</v>
      </c>
      <c r="AG84" s="1113">
        <f>SUM($B$9:B84)/($J$1-$B$4)*100</f>
        <v>6.4805937905968545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1609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0.22035177375969162</v>
      </c>
      <c r="AG85" s="1113">
        <f>SUM($B$9:B85)/($J$1-$B$4)*100</f>
        <v>6.4805937905968545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1609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0.22035177375969162</v>
      </c>
      <c r="AG86" s="1113">
        <f>SUM($B$9:B86)/($J$1-$B$4)*100</f>
        <v>6.4805937905968545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1609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0.22035177375969162</v>
      </c>
      <c r="AG87" s="1113">
        <f>SUM($B$9:B87)/($J$1-$B$4)*100</f>
        <v>6.4805937905968545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1609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0.22035177375969162</v>
      </c>
      <c r="AG88" s="1113">
        <f>SUM($B$9:B88)/($J$1-$B$4)*100</f>
        <v>6.4805937905968545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1609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0.22035177375969162</v>
      </c>
      <c r="AG89" s="1113">
        <f>SUM($B$9:B89)/($J$1-$B$4)*100</f>
        <v>6.4805937905968545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1609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0.22035177375969162</v>
      </c>
      <c r="AG90" s="1113">
        <f>SUM($B$9:B90)/($J$1-$B$4)*100</f>
        <v>6.4805937905968545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1609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0.22035177375969162</v>
      </c>
      <c r="AG91" s="1113">
        <f>SUM($B$9:B91)/($J$1-$B$4)*100</f>
        <v>6.4805937905968545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1609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0.22035177375969162</v>
      </c>
      <c r="AG92" s="1113">
        <f>SUM($B$9:B92)/($J$1-$B$4)*100</f>
        <v>6.4805937905968545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1609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0.22035177375969162</v>
      </c>
      <c r="AG93" s="1113">
        <f>SUM($B$9:B93)/($J$1-$B$4)*100</f>
        <v>6.4805937905968545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1609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0.22035177375969162</v>
      </c>
      <c r="AG94" s="1113">
        <f>SUM($B$9:B94)/($J$1-$B$4)*100</f>
        <v>6.4805937905968545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1609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0.22035177375969162</v>
      </c>
      <c r="AG95" s="1113">
        <f>SUM($B$9:B95)/($J$1-$B$4)*100</f>
        <v>6.4805937905968545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1609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0.22035177375969162</v>
      </c>
      <c r="AG96" s="1113">
        <f>SUM($B$9:B96)/($J$1-$B$4)*100</f>
        <v>6.4805937905968545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896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0.19007837054475632</v>
      </c>
      <c r="AG98" s="1109">
        <f>AVERAGE(AG9:AG97)</f>
        <v>6.668043337703466</v>
      </c>
      <c r="AH98" s="1228">
        <f ca="1">SUMIFS($AH$9:$AH$97,$A$9:$A$97,"&gt;="&amp;$C99,$A$9:$A$97,"&lt;="&amp;$D99)</f>
        <v>8038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0.50973633025116361</v>
      </c>
      <c r="G99" s="1208">
        <f ca="1">J4+C101+F101+I101+K101+M101+O101+Q101+S101+V101+Y101+AB101+AE101</f>
        <v>0.99999999999999978</v>
      </c>
      <c r="H99" s="1210" t="s">
        <v>962</v>
      </c>
      <c r="I99" s="1207">
        <f ca="1">F99-F5</f>
        <v>0.28938455649147199</v>
      </c>
      <c r="J99" s="1303">
        <f ca="1">(F99/F5)-1</f>
        <v>1.313284443115331</v>
      </c>
      <c r="K99" s="2253">
        <f ca="1">((D99-C99)/(365.25/12)*F3)+C102+F102+I102+K102+M102+O102+Q102+S102+AE106</f>
        <v>8049.8463797468357</v>
      </c>
      <c r="L99" s="2253"/>
      <c r="M99" s="1472" t="s">
        <v>1135</v>
      </c>
      <c r="N99" s="1470"/>
      <c r="O99" s="1471"/>
      <c r="P99" s="1189">
        <f ca="1">K99/AH98</f>
        <v>1.001473796932923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7.86</v>
      </c>
      <c r="AH99" s="1226">
        <f>AVERAGE(AH9:AH97)</f>
        <v>2228.4814814814813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8.3117690967902447E-2</v>
      </c>
      <c r="D100" s="2252" t="s">
        <v>879</v>
      </c>
      <c r="E100" s="2246"/>
      <c r="F100" s="1180">
        <f ca="1">F102/$AH$98</f>
        <v>0.15133739736252799</v>
      </c>
      <c r="G100" s="2252" t="s">
        <v>881</v>
      </c>
      <c r="H100" s="2246"/>
      <c r="I100" s="1180">
        <f ca="1">I102/$AH$98</f>
        <v>9.166459318238368E-3</v>
      </c>
      <c r="J100" s="1181" t="s">
        <v>898</v>
      </c>
      <c r="K100" s="1180">
        <f ca="1">K102/$AH$98</f>
        <v>6.7225678029360532E-3</v>
      </c>
      <c r="L100" s="1181" t="s">
        <v>883</v>
      </c>
      <c r="M100" s="1180">
        <f ca="1">M102/$AH$98</f>
        <v>2.7170938044289637E-2</v>
      </c>
      <c r="N100" s="1181" t="s">
        <v>908</v>
      </c>
      <c r="O100" s="1180">
        <f ca="1">O102/$AH$98</f>
        <v>1.2440905697934809E-2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1.2453346603632743E-2</v>
      </c>
      <c r="W100" s="2252" t="s">
        <v>912</v>
      </c>
      <c r="X100" s="2246"/>
      <c r="Y100" s="1180">
        <f ca="1">Y102/$AH$98</f>
        <v>9.9527245583478485E-3</v>
      </c>
      <c r="Z100" s="2252" t="s">
        <v>889</v>
      </c>
      <c r="AA100" s="2246"/>
      <c r="AB100" s="1180">
        <f ca="1">AB102/$AH$98</f>
        <v>0.11627892510574771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6.4497387409803428</v>
      </c>
      <c r="C101" s="1183">
        <f ca="1">C100/$F$99</f>
        <v>0.16306016666881026</v>
      </c>
      <c r="D101" s="1184"/>
      <c r="E101" s="1185"/>
      <c r="F101" s="1183">
        <f ca="1">F100/$F$99</f>
        <v>0.29689348861588727</v>
      </c>
      <c r="G101" s="1184"/>
      <c r="H101" s="1185"/>
      <c r="I101" s="1183">
        <f ca="1">I100/$F$99</f>
        <v>1.7982746714800095E-2</v>
      </c>
      <c r="J101" s="1243">
        <f ca="1">COUNTIFS(J9:J97,"&gt;="&amp;$C$99,J9:J97,"&lt;=" &amp;$D$99)</f>
        <v>7</v>
      </c>
      <c r="K101" s="1183">
        <f ca="1">K100/$F$99</f>
        <v>1.3188323852890035E-2</v>
      </c>
      <c r="L101" s="1184"/>
      <c r="M101" s="1183">
        <f ca="1">M100/$F$99</f>
        <v>5.3303907200221802E-2</v>
      </c>
      <c r="N101" s="1184"/>
      <c r="O101" s="1183">
        <f ca="1">O100/$F$99</f>
        <v>2.4406550915852459E-2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2.4430957466768311E-2</v>
      </c>
      <c r="W101" s="1184"/>
      <c r="X101" s="1185"/>
      <c r="Y101" s="1183">
        <f ca="1">Y100/$F$99</f>
        <v>1.952524073268197E-2</v>
      </c>
      <c r="Z101" s="1184"/>
      <c r="AA101" s="1185"/>
      <c r="AB101" s="1183">
        <f ca="1">AB100/$F$99</f>
        <v>0.22811582813501505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518.42999999999995</v>
      </c>
      <c r="C102" s="1197">
        <f ca="1">SUMIFS($C$9:$C$97,$A$9:$A$97,"&gt;="&amp;$C99,$A$9:$A$97,"&lt;="&amp;$D99)</f>
        <v>668.09999999999991</v>
      </c>
      <c r="D102" s="2251" t="s">
        <v>880</v>
      </c>
      <c r="E102" s="2250"/>
      <c r="F102" s="1197">
        <f ca="1">SUMIFS($F$9:$F$97,$D$9:$D$97,"&gt;="&amp;$C99,$D$9:$D$97,"&lt;="&amp;$D99)</f>
        <v>1216.45</v>
      </c>
      <c r="G102" s="2251" t="s">
        <v>882</v>
      </c>
      <c r="H102" s="2250"/>
      <c r="I102" s="1197">
        <f ca="1">SUMIFS($I$9:$I$97,$G$9:$G$97,"&gt;="&amp;$C99,$G$9:$G$97,"&lt;="&amp;$D99)</f>
        <v>73.680000000000007</v>
      </c>
      <c r="J102" s="1157" t="s">
        <v>899</v>
      </c>
      <c r="K102" s="1158">
        <f ca="1">SUMIFS(K9:K97,J9:J97,"&gt;="&amp;$C99,J9:J97,"&lt;="&amp;$D99)</f>
        <v>54.035999999999994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100.1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934.65000000000009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-2.9041455791205678E-3</v>
      </c>
      <c r="D103" s="1205" t="s">
        <v>897</v>
      </c>
      <c r="E103" s="1195"/>
      <c r="F103" s="1206">
        <f ca="1">F100-F6</f>
        <v>0.12583404790216327</v>
      </c>
      <c r="G103" s="1204" t="s">
        <v>897</v>
      </c>
      <c r="H103" s="1195"/>
      <c r="I103" s="1203">
        <f ca="1">I100-I6</f>
        <v>8.0891927069189091E-3</v>
      </c>
      <c r="J103" s="1205" t="s">
        <v>897</v>
      </c>
      <c r="K103" s="1206">
        <f ca="1">K100-K6</f>
        <v>5.7894711266313383E-3</v>
      </c>
      <c r="L103" s="1204" t="s">
        <v>897</v>
      </c>
      <c r="M103" s="1203">
        <f ca="1">M100-M6</f>
        <v>2.2487991664283342E-2</v>
      </c>
      <c r="N103" s="1205" t="s">
        <v>897</v>
      </c>
      <c r="O103" s="1206">
        <f ca="1">O100-O6</f>
        <v>1.1009512379678819E-2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9.8600913289483665E-3</v>
      </c>
      <c r="W103" s="1205" t="s">
        <v>897</v>
      </c>
      <c r="X103" s="1195"/>
      <c r="Y103" s="1206">
        <f ca="1">Y100-Y6</f>
        <v>8.8076099037430571E-3</v>
      </c>
      <c r="Z103" s="1205" t="s">
        <v>897</v>
      </c>
      <c r="AA103" s="1195"/>
      <c r="AB103" s="1206">
        <f ca="1">AB100-AB6</f>
        <v>0.10041078505822545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0.13868499626772829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0.27207202633446531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1114.75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s="847" customFormat="1" x14ac:dyDescent="0.25">
      <c r="A108" s="843">
        <v>43417</v>
      </c>
      <c r="B108" s="842" t="s">
        <v>385</v>
      </c>
      <c r="C108" s="842"/>
      <c r="D108" s="844" t="s">
        <v>482</v>
      </c>
      <c r="E108" s="845">
        <v>112167</v>
      </c>
      <c r="F108" s="1092">
        <v>356.03</v>
      </c>
      <c r="G108" s="842" t="s">
        <v>480</v>
      </c>
      <c r="H108" s="842"/>
      <c r="I108" s="842"/>
      <c r="J108" s="848"/>
      <c r="L108" s="849"/>
      <c r="M108" s="850"/>
      <c r="N108" s="850"/>
    </row>
    <row r="109" spans="1:38" s="847" customFormat="1" x14ac:dyDescent="0.25">
      <c r="A109" s="843">
        <v>43482</v>
      </c>
      <c r="B109" s="842" t="s">
        <v>376</v>
      </c>
      <c r="C109" s="842"/>
      <c r="D109" s="844" t="s">
        <v>504</v>
      </c>
      <c r="E109" s="845">
        <v>116702</v>
      </c>
      <c r="F109" s="1092">
        <v>723.52</v>
      </c>
      <c r="G109" s="842" t="s">
        <v>496</v>
      </c>
      <c r="H109" s="842"/>
      <c r="I109" s="842"/>
      <c r="J109" s="848"/>
      <c r="L109" s="849"/>
      <c r="M109" s="850"/>
      <c r="N109" s="850"/>
    </row>
    <row r="110" spans="1:38" s="969" customFormat="1" x14ac:dyDescent="0.25">
      <c r="A110" s="968">
        <v>43551</v>
      </c>
      <c r="B110" s="844" t="s">
        <v>385</v>
      </c>
      <c r="C110" s="844"/>
      <c r="D110" s="844" t="s">
        <v>589</v>
      </c>
      <c r="E110" s="845" t="s">
        <v>559</v>
      </c>
      <c r="F110" s="1092">
        <v>275.24</v>
      </c>
      <c r="G110" s="844" t="s">
        <v>560</v>
      </c>
      <c r="H110" s="844"/>
      <c r="I110" s="844"/>
      <c r="J110" s="846"/>
      <c r="L110" s="970"/>
      <c r="M110" s="971"/>
      <c r="N110" s="971"/>
    </row>
    <row r="111" spans="1:38" s="7" customFormat="1" x14ac:dyDescent="0.25">
      <c r="A111" s="799">
        <v>43567</v>
      </c>
      <c r="B111" s="750" t="s">
        <v>385</v>
      </c>
      <c r="C111" s="750"/>
      <c r="D111" s="750" t="s">
        <v>648</v>
      </c>
      <c r="E111" s="776">
        <v>124170</v>
      </c>
      <c r="F111" s="918">
        <v>41.95</v>
      </c>
      <c r="G111" s="750" t="s">
        <v>614</v>
      </c>
      <c r="I111" s="1138"/>
      <c r="J111" s="918"/>
      <c r="L111" s="776"/>
      <c r="M111" s="909"/>
      <c r="N111" s="909"/>
      <c r="O111" s="909"/>
    </row>
    <row r="112" spans="1:38" s="7" customFormat="1" x14ac:dyDescent="0.25">
      <c r="A112" s="799">
        <v>43811</v>
      </c>
      <c r="B112" s="750" t="s">
        <v>744</v>
      </c>
      <c r="C112" s="750"/>
      <c r="D112" s="750" t="s">
        <v>745</v>
      </c>
      <c r="E112" s="776">
        <v>152000</v>
      </c>
      <c r="F112" s="918">
        <v>49.5</v>
      </c>
      <c r="G112" s="750" t="s">
        <v>725</v>
      </c>
      <c r="I112" s="1138"/>
      <c r="J112" s="918"/>
      <c r="L112" s="776"/>
      <c r="M112" s="909"/>
      <c r="N112" s="909"/>
    </row>
    <row r="113" spans="1:16" s="7" customFormat="1" x14ac:dyDescent="0.25">
      <c r="A113" s="799">
        <v>43767</v>
      </c>
      <c r="B113" s="750" t="s">
        <v>385</v>
      </c>
      <c r="C113" s="750"/>
      <c r="D113" s="750" t="s">
        <v>753</v>
      </c>
      <c r="E113" s="776">
        <v>152000</v>
      </c>
      <c r="F113" s="918">
        <v>41.95</v>
      </c>
      <c r="G113" s="750" t="s">
        <v>614</v>
      </c>
      <c r="I113" s="1138"/>
      <c r="J113" s="918"/>
      <c r="L113" s="776"/>
      <c r="M113" s="909"/>
      <c r="N113" s="909"/>
      <c r="O113" s="909"/>
    </row>
    <row r="114" spans="1:16" s="847" customFormat="1" x14ac:dyDescent="0.25">
      <c r="A114" s="843">
        <v>43766</v>
      </c>
      <c r="B114" s="842" t="s">
        <v>376</v>
      </c>
      <c r="C114" s="842"/>
      <c r="D114" s="844" t="s">
        <v>801</v>
      </c>
      <c r="E114" s="845">
        <v>146771</v>
      </c>
      <c r="F114" s="1092">
        <v>348.06</v>
      </c>
      <c r="G114" s="842" t="s">
        <v>378</v>
      </c>
      <c r="H114" s="842"/>
      <c r="I114" s="842"/>
      <c r="J114" s="848"/>
      <c r="L114" s="849"/>
      <c r="M114" s="850"/>
      <c r="N114" s="850"/>
    </row>
    <row r="115" spans="1:16" s="969" customFormat="1" x14ac:dyDescent="0.25">
      <c r="A115" s="968">
        <v>43875</v>
      </c>
      <c r="B115" s="844" t="s">
        <v>376</v>
      </c>
      <c r="C115" s="844"/>
      <c r="D115" s="844" t="s">
        <v>973</v>
      </c>
      <c r="E115" s="845">
        <v>157315</v>
      </c>
      <c r="F115" s="1092">
        <v>22.13</v>
      </c>
      <c r="G115" s="844" t="s">
        <v>844</v>
      </c>
      <c r="H115" s="844"/>
      <c r="I115" s="844" t="s">
        <v>974</v>
      </c>
      <c r="J115" s="846"/>
      <c r="L115" s="970"/>
      <c r="M115" s="971"/>
      <c r="N115" s="971"/>
    </row>
    <row r="116" spans="1:16" s="600" customFormat="1" x14ac:dyDescent="0.25">
      <c r="A116" s="827">
        <v>44127</v>
      </c>
      <c r="B116" s="537" t="s">
        <v>376</v>
      </c>
      <c r="C116" s="537"/>
      <c r="D116" s="537" t="s">
        <v>1251</v>
      </c>
      <c r="E116" s="596">
        <v>161139</v>
      </c>
      <c r="F116" s="751">
        <v>449.05</v>
      </c>
      <c r="G116" s="537" t="s">
        <v>378</v>
      </c>
      <c r="H116" s="828"/>
      <c r="I116" s="828" t="s">
        <v>1253</v>
      </c>
      <c r="J116" s="829"/>
      <c r="K116" s="828"/>
      <c r="L116" s="829"/>
      <c r="M116" s="830"/>
      <c r="N116" s="596"/>
      <c r="O116" s="828"/>
      <c r="P116" s="829"/>
    </row>
    <row r="117" spans="1:16" s="600" customFormat="1" x14ac:dyDescent="0.25">
      <c r="A117" s="827">
        <v>44489</v>
      </c>
      <c r="B117" s="537" t="s">
        <v>376</v>
      </c>
      <c r="C117" s="537"/>
      <c r="D117" s="537" t="s">
        <v>1457</v>
      </c>
      <c r="E117" s="596">
        <v>164470</v>
      </c>
      <c r="F117" s="751">
        <v>312.48</v>
      </c>
      <c r="G117" s="537" t="s">
        <v>378</v>
      </c>
      <c r="H117" s="828"/>
      <c r="I117" s="828" t="s">
        <v>1459</v>
      </c>
      <c r="J117" s="829"/>
      <c r="K117" s="828"/>
      <c r="L117" s="829"/>
      <c r="M117" s="830"/>
      <c r="N117" s="596"/>
      <c r="O117" s="828"/>
      <c r="P117" s="829"/>
    </row>
    <row r="118" spans="1:16" s="7" customFormat="1" x14ac:dyDescent="0.25">
      <c r="A118" s="799">
        <v>44524</v>
      </c>
      <c r="B118" s="750" t="s">
        <v>385</v>
      </c>
      <c r="C118" s="750"/>
      <c r="D118" s="750"/>
      <c r="E118" s="776">
        <v>164635</v>
      </c>
      <c r="F118" s="918">
        <v>41.95</v>
      </c>
      <c r="G118" s="750" t="s">
        <v>614</v>
      </c>
      <c r="I118" s="1138" t="s">
        <v>1498</v>
      </c>
      <c r="J118" s="918"/>
      <c r="L118" s="776"/>
      <c r="M118" s="909"/>
      <c r="N118" s="909"/>
      <c r="O118" s="909"/>
    </row>
    <row r="119" spans="1:16" s="7" customFormat="1" x14ac:dyDescent="0.25">
      <c r="A119" s="799">
        <v>44545</v>
      </c>
      <c r="B119" s="750" t="s">
        <v>1511</v>
      </c>
      <c r="C119" s="750"/>
      <c r="D119" s="750"/>
      <c r="E119" s="776"/>
      <c r="F119" s="918">
        <v>44</v>
      </c>
      <c r="G119" s="750" t="s">
        <v>1512</v>
      </c>
      <c r="J119" s="750"/>
      <c r="K119" s="918"/>
      <c r="L119" s="750" t="s">
        <v>1513</v>
      </c>
      <c r="M119" s="909"/>
      <c r="N119" s="909"/>
    </row>
    <row r="120" spans="1:16" s="7" customFormat="1" x14ac:dyDescent="0.25">
      <c r="A120" s="799">
        <v>44545</v>
      </c>
      <c r="B120" s="750" t="s">
        <v>1511</v>
      </c>
      <c r="C120" s="750"/>
      <c r="D120" s="750"/>
      <c r="E120" s="776"/>
      <c r="F120" s="918">
        <v>38</v>
      </c>
      <c r="G120" s="750" t="s">
        <v>1514</v>
      </c>
      <c r="J120" s="750"/>
      <c r="K120" s="918"/>
      <c r="L120" s="750" t="s">
        <v>1515</v>
      </c>
      <c r="M120" s="909"/>
      <c r="N120" s="909"/>
    </row>
    <row r="121" spans="1:16" s="7" customFormat="1" x14ac:dyDescent="0.25">
      <c r="A121" s="799">
        <v>44552</v>
      </c>
      <c r="B121" s="750" t="s">
        <v>385</v>
      </c>
      <c r="C121" s="750"/>
      <c r="D121" s="750" t="s">
        <v>1523</v>
      </c>
      <c r="E121" s="776">
        <v>164635</v>
      </c>
      <c r="F121" s="918">
        <v>308.83999999999997</v>
      </c>
      <c r="G121" s="750" t="s">
        <v>1524</v>
      </c>
      <c r="I121" s="1138" t="s">
        <v>1525</v>
      </c>
      <c r="J121" s="918"/>
      <c r="L121" s="776"/>
      <c r="M121" s="909"/>
      <c r="N121" s="909"/>
      <c r="O121" s="909"/>
    </row>
  </sheetData>
  <sortState ref="G9:I37">
    <sortCondition ref="H9:H37"/>
    <sortCondition ref="G9:G37"/>
  </sortState>
  <mergeCells count="44">
    <mergeCell ref="H1:I1"/>
    <mergeCell ref="D6:E6"/>
    <mergeCell ref="G6:H6"/>
    <mergeCell ref="T6:U6"/>
    <mergeCell ref="W6:X6"/>
    <mergeCell ref="Z6:AA6"/>
    <mergeCell ref="K99:L99"/>
    <mergeCell ref="AF1:AF8"/>
    <mergeCell ref="AG1:AG8"/>
    <mergeCell ref="AH1:AH8"/>
    <mergeCell ref="W8:X8"/>
    <mergeCell ref="Z8:AA8"/>
    <mergeCell ref="AI1:AI8"/>
    <mergeCell ref="D2:F2"/>
    <mergeCell ref="I2:J2"/>
    <mergeCell ref="B3:C3"/>
    <mergeCell ref="G3:H3"/>
    <mergeCell ref="T3:AD3"/>
    <mergeCell ref="B4:C4"/>
    <mergeCell ref="D4:E4"/>
    <mergeCell ref="T4:AD4"/>
    <mergeCell ref="A5:D5"/>
    <mergeCell ref="T5:AD5"/>
    <mergeCell ref="AC8:AD8"/>
    <mergeCell ref="AC6:AD6"/>
    <mergeCell ref="D8:E8"/>
    <mergeCell ref="G8:H8"/>
    <mergeCell ref="T8:U8"/>
    <mergeCell ref="T104:AD104"/>
    <mergeCell ref="T105:AD105"/>
    <mergeCell ref="T106:AD106"/>
    <mergeCell ref="AJ1:AK7"/>
    <mergeCell ref="D102:E102"/>
    <mergeCell ref="G102:H102"/>
    <mergeCell ref="T102:U102"/>
    <mergeCell ref="W102:X102"/>
    <mergeCell ref="Z102:AA102"/>
    <mergeCell ref="AC102:AD102"/>
    <mergeCell ref="D100:E100"/>
    <mergeCell ref="G100:H100"/>
    <mergeCell ref="T100:U100"/>
    <mergeCell ref="W100:X100"/>
    <mergeCell ref="Z100:AA100"/>
    <mergeCell ref="AC100:AD100"/>
  </mergeCells>
  <conditionalFormatting sqref="AM9:AM44 AM97:AM98">
    <cfRule type="cellIs" dxfId="203" priority="3" operator="greaterThan">
      <formula>0</formula>
    </cfRule>
    <cfRule type="cellIs" dxfId="202" priority="4" operator="lessThan">
      <formula>0</formula>
    </cfRule>
  </conditionalFormatting>
  <conditionalFormatting sqref="AF9:AF96">
    <cfRule type="cellIs" dxfId="201" priority="5" operator="lessThan">
      <formula>$AF$98</formula>
    </cfRule>
    <cfRule type="cellIs" dxfId="200" priority="6" operator="greaterThan">
      <formula>$AF$98</formula>
    </cfRule>
  </conditionalFormatting>
  <conditionalFormatting sqref="AG9:AG96">
    <cfRule type="cellIs" dxfId="199" priority="7" operator="equal">
      <formula>$AG$99</formula>
    </cfRule>
    <cfRule type="cellIs" dxfId="198" priority="8" operator="lessThan">
      <formula>$AG$98</formula>
    </cfRule>
    <cfRule type="cellIs" dxfId="197" priority="9" operator="greaterThan">
      <formula>$AG$98</formula>
    </cfRule>
  </conditionalFormatting>
  <conditionalFormatting sqref="AM45:AM96">
    <cfRule type="cellIs" dxfId="196" priority="1" operator="greaterThan">
      <formula>0</formula>
    </cfRule>
    <cfRule type="cellIs" dxfId="195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tabColor rgb="FF92D050"/>
  </sheetPr>
  <dimension ref="A1:AM121"/>
  <sheetViews>
    <sheetView workbookViewId="0">
      <pane xSplit="3" ySplit="8" topLeftCell="R57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23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30</v>
      </c>
      <c r="B1" s="1569" t="s">
        <v>1005</v>
      </c>
      <c r="C1" s="1569"/>
      <c r="D1" s="1569"/>
      <c r="E1" s="1569"/>
      <c r="F1" s="1569"/>
      <c r="G1" s="1569"/>
      <c r="H1" s="2243" t="s">
        <v>1163</v>
      </c>
      <c r="I1" s="2244"/>
      <c r="J1" s="1572">
        <v>197857</v>
      </c>
      <c r="K1" s="1573">
        <f>J1-B4</f>
        <v>114347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41533</v>
      </c>
      <c r="C2" s="1251">
        <v>41533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20000</v>
      </c>
      <c r="C3" s="2264"/>
      <c r="D3" s="1354" t="s">
        <v>874</v>
      </c>
      <c r="E3" s="1169"/>
      <c r="F3" s="1175">
        <f ca="1">B3/G2/12</f>
        <v>120.40150316455697</v>
      </c>
      <c r="G3" s="2267" t="s">
        <v>875</v>
      </c>
      <c r="H3" s="2267"/>
      <c r="I3" s="1353">
        <f ca="1">F3/(F4/((TODAY()-C2)/365.25*12))</f>
        <v>6.1131299244304188E-2</v>
      </c>
      <c r="J3" s="1171">
        <f ca="1">I3/$F$5</f>
        <v>0.2805787909091107</v>
      </c>
      <c r="K3" s="1375">
        <f ca="1">(B3/G2/365.25)/(F4/(TODAY()-C2))</f>
        <v>6.1131299244304195E-2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2.4324757588624218E-2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83510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198913</v>
      </c>
      <c r="G4" s="1172" t="s">
        <v>876</v>
      </c>
      <c r="H4" s="1173"/>
      <c r="I4" s="1224">
        <f>F4-B4</f>
        <v>115403</v>
      </c>
      <c r="J4" s="1227">
        <f ca="1">I3/F99</f>
        <v>7.5399718497324089E-2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0.11164511727614407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0.21787569561559184</v>
      </c>
      <c r="G5" s="1211">
        <f ca="1">J3+C7+F7+I7+K7+M7+O7+Q7+S7+V7+Y7+AB7+AE7</f>
        <v>1</v>
      </c>
      <c r="H5" s="1380">
        <f>B3+C8+F8+I8+K8+M8+O8+Q8+S8+AE5</f>
        <v>37993.987999999998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2807.1500000000005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8.9759066700481852E-2</v>
      </c>
      <c r="D6" s="2252" t="s">
        <v>879</v>
      </c>
      <c r="E6" s="2246"/>
      <c r="F6" s="1180">
        <f>F8/$I$4</f>
        <v>3.1736696619671934E-2</v>
      </c>
      <c r="G6" s="2252" t="s">
        <v>881</v>
      </c>
      <c r="H6" s="2246"/>
      <c r="I6" s="1180">
        <f>I8/$I$4</f>
        <v>1.8619966551996047E-3</v>
      </c>
      <c r="J6" s="1181" t="s">
        <v>898</v>
      </c>
      <c r="K6" s="1180">
        <f>K8/$I$4</f>
        <v>1.65895167369999E-3</v>
      </c>
      <c r="L6" s="1181" t="s">
        <v>883</v>
      </c>
      <c r="M6" s="1180">
        <f>M8/$I$4</f>
        <v>5.6698699340571659E-3</v>
      </c>
      <c r="N6" s="1181" t="s">
        <v>908</v>
      </c>
      <c r="O6" s="1180">
        <f>O8/$I$4</f>
        <v>1.7330571995528713E-3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3.1397797284299358E-3</v>
      </c>
      <c r="W6" s="2252" t="s">
        <v>912</v>
      </c>
      <c r="X6" s="2246"/>
      <c r="Y6" s="1180">
        <f>Y8/$I$4</f>
        <v>1.386445759642297E-3</v>
      </c>
      <c r="Z6" s="2255" t="s">
        <v>1152</v>
      </c>
      <c r="AA6" s="2256"/>
      <c r="AB6" s="1180">
        <f>AB8/$I$4</f>
        <v>1.9798532100551988E-2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6.7560932949705723</v>
      </c>
      <c r="C7" s="1183">
        <f ca="1">C6/$F$5</f>
        <v>0.4119737469885027</v>
      </c>
      <c r="D7" s="1184"/>
      <c r="E7" s="1185"/>
      <c r="F7" s="1183">
        <f ca="1">F6/$F$5</f>
        <v>0.14566423542562754</v>
      </c>
      <c r="G7" s="1184"/>
      <c r="H7" s="1185"/>
      <c r="I7" s="1183">
        <f ca="1">I6/$F$5</f>
        <v>8.5461421015256868E-3</v>
      </c>
      <c r="J7" s="1243">
        <f>COUNT(J9:J97)</f>
        <v>24</v>
      </c>
      <c r="K7" s="1183">
        <f ca="1">K6/$F$5</f>
        <v>7.6142117137606531E-3</v>
      </c>
      <c r="L7" s="1184"/>
      <c r="M7" s="1183">
        <f ca="1">M6/$F$5</f>
        <v>2.6023416324787229E-2</v>
      </c>
      <c r="N7" s="1184"/>
      <c r="O7" s="1183">
        <f ca="1">O6/$F$5</f>
        <v>7.9543392605414057E-3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1.441087643832286E-2</v>
      </c>
      <c r="W7" s="1184"/>
      <c r="X7" s="1185"/>
      <c r="Y7" s="1183">
        <f ca="1">Y6/$F$5</f>
        <v>6.3634714084331249E-3</v>
      </c>
      <c r="Z7" s="1184"/>
      <c r="AA7" s="1185"/>
      <c r="AB7" s="1183">
        <f ca="1">AB6/$F$5</f>
        <v>9.0870769429388085E-2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7725.3899999999994</v>
      </c>
      <c r="C8" s="1156">
        <f>SUM(C9:C97)</f>
        <v>10263.679999999998</v>
      </c>
      <c r="D8" s="2251" t="s">
        <v>880</v>
      </c>
      <c r="E8" s="2250"/>
      <c r="F8" s="1158">
        <f>SUM(F9:F97)</f>
        <v>3662.5099999999998</v>
      </c>
      <c r="G8" s="2251" t="s">
        <v>882</v>
      </c>
      <c r="H8" s="2250"/>
      <c r="I8" s="1158">
        <f>SUM(I9:I97)</f>
        <v>214.88</v>
      </c>
      <c r="J8" s="1157" t="s">
        <v>899</v>
      </c>
      <c r="K8" s="1158">
        <f>SUM(K9:K97)</f>
        <v>191.44799999999995</v>
      </c>
      <c r="L8" s="1157" t="s">
        <v>884</v>
      </c>
      <c r="M8" s="1158">
        <f>SUM(M9:M97)</f>
        <v>654.31999999999914</v>
      </c>
      <c r="N8" s="1157" t="s">
        <v>909</v>
      </c>
      <c r="O8" s="1158">
        <f>SUM(O9:O97)</f>
        <v>200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362.33999999999986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2284.8100000000009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-3.3600000000000003</v>
      </c>
      <c r="AK8" s="833">
        <f>SUM(AK9:AK97)</f>
        <v>-4.58</v>
      </c>
      <c r="AL8" s="54">
        <f>SUM(C9:C97)/SUM(B9:B97)</f>
        <v>1.3285646420439614</v>
      </c>
    </row>
    <row r="9" spans="1:39" x14ac:dyDescent="0.25">
      <c r="A9" s="64">
        <v>42643</v>
      </c>
      <c r="B9" s="65">
        <v>233.08</v>
      </c>
      <c r="C9" s="66">
        <v>283.49</v>
      </c>
      <c r="D9" s="67">
        <v>42473</v>
      </c>
      <c r="E9" s="68" t="s">
        <v>144</v>
      </c>
      <c r="F9" s="66">
        <v>35.58</v>
      </c>
      <c r="G9" s="1355">
        <v>42716</v>
      </c>
      <c r="H9" s="1356" t="s">
        <v>99</v>
      </c>
      <c r="I9" s="1357">
        <v>21.82</v>
      </c>
      <c r="J9" s="69">
        <v>43157</v>
      </c>
      <c r="K9" s="66">
        <v>6.6</v>
      </c>
      <c r="L9" s="64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20.2</v>
      </c>
      <c r="W9" s="1152"/>
      <c r="X9" s="1198"/>
      <c r="Y9" s="66"/>
      <c r="Z9" s="1152">
        <v>42684</v>
      </c>
      <c r="AA9" s="1198" t="s">
        <v>95</v>
      </c>
      <c r="AB9" s="66">
        <v>97.45</v>
      </c>
      <c r="AC9" s="1152"/>
      <c r="AD9" s="1198"/>
      <c r="AE9" s="66"/>
      <c r="AF9" s="1118">
        <v>0.09</v>
      </c>
      <c r="AG9" s="1119">
        <v>7.2</v>
      </c>
      <c r="AH9" s="1117"/>
      <c r="AI9" s="237"/>
      <c r="AJ9" s="838"/>
      <c r="AK9" s="839"/>
      <c r="AL9" s="51">
        <f t="shared" ref="AL9:AL72" si="0">C9/B9</f>
        <v>1.2162776729020079</v>
      </c>
      <c r="AM9" s="51">
        <f t="shared" ref="AM9:AM72" si="1">AL9-$AL$8</f>
        <v>-0.11228696914195346</v>
      </c>
    </row>
    <row r="10" spans="1:39" x14ac:dyDescent="0.25">
      <c r="A10" s="71">
        <v>42674</v>
      </c>
      <c r="B10" s="72">
        <v>191.23</v>
      </c>
      <c r="C10" s="73">
        <v>224.33</v>
      </c>
      <c r="D10" s="345">
        <v>42669</v>
      </c>
      <c r="E10" s="346" t="s">
        <v>145</v>
      </c>
      <c r="F10" s="347">
        <v>301.57</v>
      </c>
      <c r="G10" s="147"/>
      <c r="H10" s="75"/>
      <c r="I10" s="73"/>
      <c r="J10" s="234">
        <v>43159</v>
      </c>
      <c r="K10" s="73">
        <v>5.3</v>
      </c>
      <c r="L10" s="71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0.1</v>
      </c>
      <c r="AG10" s="1113">
        <v>7.1</v>
      </c>
      <c r="AH10" s="1110"/>
      <c r="AI10" s="238"/>
      <c r="AJ10" s="838"/>
      <c r="AK10" s="839"/>
      <c r="AL10" s="51">
        <f t="shared" si="0"/>
        <v>1.1730899963394865</v>
      </c>
      <c r="AM10" s="51">
        <f t="shared" si="1"/>
        <v>-0.15547464570447489</v>
      </c>
    </row>
    <row r="11" spans="1:39" x14ac:dyDescent="0.25">
      <c r="A11" s="71">
        <v>42704</v>
      </c>
      <c r="B11" s="72">
        <v>265.5</v>
      </c>
      <c r="C11" s="73">
        <v>315.89</v>
      </c>
      <c r="D11" s="345"/>
      <c r="E11" s="346"/>
      <c r="F11" s="347"/>
      <c r="G11" s="1162"/>
      <c r="H11" s="75"/>
      <c r="I11" s="73"/>
      <c r="J11" s="234">
        <v>43170</v>
      </c>
      <c r="K11" s="73">
        <v>5.3</v>
      </c>
      <c r="L11" s="71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0.1</v>
      </c>
      <c r="AG11" s="1113">
        <v>7.05</v>
      </c>
      <c r="AH11" s="1110"/>
      <c r="AI11" s="238"/>
      <c r="AJ11" s="838"/>
      <c r="AK11" s="839"/>
      <c r="AL11" s="51">
        <f t="shared" si="0"/>
        <v>1.1897928436911487</v>
      </c>
      <c r="AM11" s="51">
        <f t="shared" si="1"/>
        <v>-0.13877179835281273</v>
      </c>
    </row>
    <row r="12" spans="1:39" x14ac:dyDescent="0.25">
      <c r="A12" s="71">
        <v>42735</v>
      </c>
      <c r="B12" s="72">
        <v>197.1</v>
      </c>
      <c r="C12" s="73">
        <v>245.59</v>
      </c>
      <c r="D12" s="147"/>
      <c r="E12" s="75"/>
      <c r="F12" s="73"/>
      <c r="G12" s="147"/>
      <c r="H12" s="75"/>
      <c r="I12" s="73"/>
      <c r="J12" s="234">
        <v>43195</v>
      </c>
      <c r="K12" s="73">
        <v>5.3</v>
      </c>
      <c r="L12" s="71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0.1</v>
      </c>
      <c r="AG12" s="1113">
        <v>7.01</v>
      </c>
      <c r="AH12" s="1110"/>
      <c r="AI12" s="238"/>
      <c r="AJ12" s="838"/>
      <c r="AK12" s="839"/>
      <c r="AL12" s="51">
        <f t="shared" si="0"/>
        <v>1.2460172501268392</v>
      </c>
      <c r="AM12" s="51">
        <f t="shared" si="1"/>
        <v>-8.2547391917122237E-2</v>
      </c>
    </row>
    <row r="13" spans="1:39" x14ac:dyDescent="0.25">
      <c r="A13" s="71">
        <v>42766</v>
      </c>
      <c r="B13" s="72">
        <v>176.8</v>
      </c>
      <c r="C13" s="73">
        <v>222.48</v>
      </c>
      <c r="D13" s="147">
        <v>42789</v>
      </c>
      <c r="E13" s="75" t="s">
        <v>146</v>
      </c>
      <c r="F13" s="73">
        <v>532.86</v>
      </c>
      <c r="G13" s="147">
        <v>42815</v>
      </c>
      <c r="H13" s="75" t="s">
        <v>132</v>
      </c>
      <c r="I13" s="73">
        <v>16.62</v>
      </c>
      <c r="J13" s="234">
        <v>43203</v>
      </c>
      <c r="K13" s="73">
        <v>6.6</v>
      </c>
      <c r="L13" s="71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20.2</v>
      </c>
      <c r="W13" s="894"/>
      <c r="X13" s="1199"/>
      <c r="Y13" s="73"/>
      <c r="Z13" s="147">
        <v>42736</v>
      </c>
      <c r="AA13" s="75"/>
      <c r="AB13" s="73">
        <v>97.45</v>
      </c>
      <c r="AC13" s="894"/>
      <c r="AD13" s="1199"/>
      <c r="AE13" s="73"/>
      <c r="AF13" s="1112">
        <v>0.1</v>
      </c>
      <c r="AG13" s="1113">
        <v>7.08</v>
      </c>
      <c r="AH13" s="1110">
        <v>2355</v>
      </c>
      <c r="AI13" s="238">
        <v>39.340000000000003</v>
      </c>
      <c r="AJ13" s="838"/>
      <c r="AK13" s="839"/>
      <c r="AL13" s="51">
        <f t="shared" si="0"/>
        <v>1.2583710407239819</v>
      </c>
      <c r="AM13" s="51">
        <f t="shared" si="1"/>
        <v>-7.0193601319979537E-2</v>
      </c>
    </row>
    <row r="14" spans="1:39" x14ac:dyDescent="0.25">
      <c r="A14" s="71">
        <v>42794</v>
      </c>
      <c r="B14" s="72">
        <v>327.14</v>
      </c>
      <c r="C14" s="73">
        <v>421.11</v>
      </c>
      <c r="D14" s="147"/>
      <c r="E14" s="75"/>
      <c r="F14" s="73"/>
      <c r="G14" s="1162">
        <v>42989</v>
      </c>
      <c r="H14" s="75" t="s">
        <v>1006</v>
      </c>
      <c r="I14" s="73">
        <v>55</v>
      </c>
      <c r="J14" s="234">
        <v>43215</v>
      </c>
      <c r="K14" s="73">
        <v>6.6</v>
      </c>
      <c r="L14" s="71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20.2</v>
      </c>
      <c r="W14" s="894"/>
      <c r="X14" s="1199"/>
      <c r="Y14" s="73"/>
      <c r="Z14" s="894">
        <v>42809</v>
      </c>
      <c r="AA14" s="1199"/>
      <c r="AB14" s="73">
        <v>97.45</v>
      </c>
      <c r="AC14" s="894"/>
      <c r="AD14" s="1199"/>
      <c r="AE14" s="73"/>
      <c r="AF14" s="1112">
        <v>0.1</v>
      </c>
      <c r="AG14" s="1113">
        <v>7.15</v>
      </c>
      <c r="AH14" s="1110">
        <v>4435</v>
      </c>
      <c r="AI14" s="238">
        <v>2.4</v>
      </c>
      <c r="AJ14" s="838"/>
      <c r="AK14" s="839"/>
      <c r="AL14" s="51">
        <f t="shared" si="0"/>
        <v>1.2872470501925781</v>
      </c>
      <c r="AM14" s="51">
        <f t="shared" si="1"/>
        <v>-4.1317591851383284E-2</v>
      </c>
    </row>
    <row r="15" spans="1:39" x14ac:dyDescent="0.25">
      <c r="A15" s="71">
        <v>42825</v>
      </c>
      <c r="B15" s="72">
        <v>188.82</v>
      </c>
      <c r="C15" s="73">
        <v>245.72</v>
      </c>
      <c r="D15" s="147"/>
      <c r="E15" s="75"/>
      <c r="F15" s="73"/>
      <c r="G15" s="1162"/>
      <c r="H15" s="75"/>
      <c r="I15" s="73"/>
      <c r="J15" s="234">
        <v>43221</v>
      </c>
      <c r="K15" s="73">
        <v>5.4959999999999996</v>
      </c>
      <c r="L15" s="71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20.2</v>
      </c>
      <c r="W15" s="894"/>
      <c r="X15" s="1199"/>
      <c r="Y15" s="73"/>
      <c r="Z15" s="147">
        <v>42901</v>
      </c>
      <c r="AA15" s="75"/>
      <c r="AB15" s="73">
        <v>97.45</v>
      </c>
      <c r="AC15" s="894"/>
      <c r="AD15" s="1199"/>
      <c r="AE15" s="73"/>
      <c r="AF15" s="1112">
        <v>0.1</v>
      </c>
      <c r="AG15" s="1113">
        <v>7.23</v>
      </c>
      <c r="AH15" s="1110">
        <v>2405</v>
      </c>
      <c r="AI15" s="238">
        <v>48.59</v>
      </c>
      <c r="AJ15" s="838"/>
      <c r="AK15" s="839"/>
      <c r="AL15" s="51">
        <f t="shared" si="0"/>
        <v>1.3013451964834235</v>
      </c>
      <c r="AM15" s="51">
        <f t="shared" si="1"/>
        <v>-2.7219445560537903E-2</v>
      </c>
    </row>
    <row r="16" spans="1:39" x14ac:dyDescent="0.25">
      <c r="A16" s="71">
        <v>42855</v>
      </c>
      <c r="B16" s="72">
        <v>185.59</v>
      </c>
      <c r="C16" s="73">
        <v>242.02</v>
      </c>
      <c r="D16" s="147"/>
      <c r="E16" s="75"/>
      <c r="F16" s="73"/>
      <c r="G16" s="147"/>
      <c r="H16" s="75"/>
      <c r="I16" s="73"/>
      <c r="J16" s="836">
        <v>43252</v>
      </c>
      <c r="K16" s="835">
        <v>8.8919999999999995</v>
      </c>
      <c r="L16" s="83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20.2</v>
      </c>
      <c r="W16" s="1153"/>
      <c r="X16" s="1200"/>
      <c r="Y16" s="835"/>
      <c r="Z16" s="894">
        <v>43008</v>
      </c>
      <c r="AA16" s="1199"/>
      <c r="AB16" s="73">
        <v>97.45</v>
      </c>
      <c r="AC16" s="1153"/>
      <c r="AD16" s="1200"/>
      <c r="AE16" s="835"/>
      <c r="AF16" s="1112">
        <v>0.1</v>
      </c>
      <c r="AG16" s="1113">
        <v>7.26</v>
      </c>
      <c r="AH16" s="1110">
        <v>2470</v>
      </c>
      <c r="AI16" s="238">
        <v>30.02</v>
      </c>
      <c r="AJ16" s="838"/>
      <c r="AK16" s="839"/>
      <c r="AL16" s="51">
        <f t="shared" si="0"/>
        <v>1.3040573306751442</v>
      </c>
      <c r="AM16" s="51">
        <f t="shared" si="1"/>
        <v>-2.4507311368817231E-2</v>
      </c>
    </row>
    <row r="17" spans="1:39" x14ac:dyDescent="0.25">
      <c r="A17" s="71">
        <v>42886</v>
      </c>
      <c r="B17" s="72">
        <v>156.46</v>
      </c>
      <c r="C17" s="73">
        <v>199.22</v>
      </c>
      <c r="D17" s="147"/>
      <c r="E17" s="75"/>
      <c r="F17" s="73"/>
      <c r="G17" s="147"/>
      <c r="H17" s="75"/>
      <c r="I17" s="73"/>
      <c r="J17" s="234">
        <v>43312</v>
      </c>
      <c r="K17" s="73">
        <v>5.4959999999999996</v>
      </c>
      <c r="L17" s="71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0.1</v>
      </c>
      <c r="AG17" s="1113">
        <v>7.29</v>
      </c>
      <c r="AH17" s="1110">
        <v>2035</v>
      </c>
      <c r="AI17" s="238">
        <v>23.56</v>
      </c>
      <c r="AJ17" s="838"/>
      <c r="AK17" s="839"/>
      <c r="AL17" s="51">
        <f t="shared" si="0"/>
        <v>1.2732966892496485</v>
      </c>
      <c r="AM17" s="51">
        <f t="shared" si="1"/>
        <v>-5.5267952794312958E-2</v>
      </c>
    </row>
    <row r="18" spans="1:39" x14ac:dyDescent="0.25">
      <c r="A18" s="71">
        <v>42916</v>
      </c>
      <c r="B18" s="72">
        <v>349.38</v>
      </c>
      <c r="C18" s="73">
        <v>423.63</v>
      </c>
      <c r="D18" s="147"/>
      <c r="E18" s="75"/>
      <c r="F18" s="73"/>
      <c r="G18" s="147"/>
      <c r="H18" s="75"/>
      <c r="I18" s="73"/>
      <c r="J18" s="431">
        <v>43343</v>
      </c>
      <c r="K18" s="347">
        <v>5.4959999999999996</v>
      </c>
      <c r="L18" s="1160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0.13</v>
      </c>
      <c r="AG18" s="1113">
        <v>7.31</v>
      </c>
      <c r="AH18" s="1110">
        <v>4695</v>
      </c>
      <c r="AI18" s="238">
        <v>7.18</v>
      </c>
      <c r="AJ18" s="838"/>
      <c r="AK18" s="839"/>
      <c r="AL18" s="51">
        <f t="shared" si="0"/>
        <v>1.2125193199381763</v>
      </c>
      <c r="AM18" s="51">
        <f t="shared" si="1"/>
        <v>-0.11604532210578511</v>
      </c>
    </row>
    <row r="19" spans="1:39" x14ac:dyDescent="0.25">
      <c r="A19" s="71">
        <v>42947</v>
      </c>
      <c r="B19" s="72">
        <v>49.73</v>
      </c>
      <c r="C19" s="73">
        <v>59.95</v>
      </c>
      <c r="D19" s="147"/>
      <c r="E19" s="75"/>
      <c r="F19" s="73"/>
      <c r="G19" s="147"/>
      <c r="H19" s="75"/>
      <c r="I19" s="73"/>
      <c r="J19" s="234">
        <v>43373</v>
      </c>
      <c r="K19" s="73">
        <v>5.4959999999999996</v>
      </c>
      <c r="L19" s="71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0.13</v>
      </c>
      <c r="AG19" s="1113">
        <v>7.34</v>
      </c>
      <c r="AH19" s="1110">
        <v>585</v>
      </c>
      <c r="AI19" s="238">
        <v>47.45</v>
      </c>
      <c r="AJ19" s="838"/>
      <c r="AK19" s="839"/>
      <c r="AL19" s="51">
        <f t="shared" si="0"/>
        <v>1.2055097526643879</v>
      </c>
      <c r="AM19" s="51">
        <f t="shared" si="1"/>
        <v>-0.12305488937957354</v>
      </c>
    </row>
    <row r="20" spans="1:39" x14ac:dyDescent="0.25">
      <c r="A20" s="71">
        <v>42978</v>
      </c>
      <c r="B20" s="72">
        <v>55.9</v>
      </c>
      <c r="C20" s="73">
        <v>67.75</v>
      </c>
      <c r="D20" s="147"/>
      <c r="E20" s="75"/>
      <c r="F20" s="73"/>
      <c r="G20" s="147"/>
      <c r="H20" s="75"/>
      <c r="I20" s="73"/>
      <c r="J20" s="234">
        <v>43404</v>
      </c>
      <c r="K20" s="73">
        <v>10.991999999999999</v>
      </c>
      <c r="L20" s="71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0.13</v>
      </c>
      <c r="AG20" s="1113">
        <v>7.34</v>
      </c>
      <c r="AH20" s="1110">
        <v>735</v>
      </c>
      <c r="AI20" s="238">
        <v>28.55</v>
      </c>
      <c r="AJ20" s="838"/>
      <c r="AK20" s="839"/>
      <c r="AL20" s="51">
        <f t="shared" si="0"/>
        <v>1.2119856887298748</v>
      </c>
      <c r="AM20" s="51">
        <f t="shared" si="1"/>
        <v>-0.11657895331408663</v>
      </c>
    </row>
    <row r="21" spans="1:39" x14ac:dyDescent="0.25">
      <c r="A21" s="71">
        <v>43008</v>
      </c>
      <c r="B21" s="72">
        <v>123.95</v>
      </c>
      <c r="C21" s="73">
        <v>152.55000000000001</v>
      </c>
      <c r="D21" s="147"/>
      <c r="E21" s="75"/>
      <c r="F21" s="73"/>
      <c r="G21" s="147"/>
      <c r="H21" s="75"/>
      <c r="I21" s="73"/>
      <c r="J21" s="234">
        <v>43434</v>
      </c>
      <c r="K21" s="73">
        <v>5.4959999999999996</v>
      </c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0.13</v>
      </c>
      <c r="AG21" s="1113">
        <v>7.36</v>
      </c>
      <c r="AH21" s="1110">
        <v>1590</v>
      </c>
      <c r="AI21" s="238">
        <v>23.6</v>
      </c>
      <c r="AJ21" s="838"/>
      <c r="AK21" s="839"/>
      <c r="AL21" s="51">
        <f t="shared" si="0"/>
        <v>1.2307382008874548</v>
      </c>
      <c r="AM21" s="51">
        <f t="shared" si="1"/>
        <v>-9.7826441156506627E-2</v>
      </c>
    </row>
    <row r="22" spans="1:39" x14ac:dyDescent="0.25">
      <c r="A22" s="71">
        <v>43039</v>
      </c>
      <c r="B22" s="72">
        <v>199.71</v>
      </c>
      <c r="C22" s="73">
        <v>255</v>
      </c>
      <c r="D22" s="147"/>
      <c r="E22" s="75"/>
      <c r="F22" s="73"/>
      <c r="G22" s="147"/>
      <c r="H22" s="75"/>
      <c r="I22" s="73"/>
      <c r="J22" s="234">
        <v>43555</v>
      </c>
      <c r="K22" s="73">
        <v>30.359999999999996</v>
      </c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0.28999999999999998</v>
      </c>
      <c r="AG22" s="1113">
        <v>7.39</v>
      </c>
      <c r="AH22" s="1110">
        <v>2590</v>
      </c>
      <c r="AI22" s="238">
        <v>53.89</v>
      </c>
      <c r="AJ22" s="838"/>
      <c r="AK22" s="839"/>
      <c r="AL22" s="51">
        <f t="shared" si="0"/>
        <v>1.2768514345801412</v>
      </c>
      <c r="AM22" s="51">
        <f t="shared" si="1"/>
        <v>-5.1713207463820243E-2</v>
      </c>
    </row>
    <row r="23" spans="1:39" x14ac:dyDescent="0.25">
      <c r="A23" s="71">
        <v>39416</v>
      </c>
      <c r="B23" s="72">
        <v>200.32</v>
      </c>
      <c r="C23" s="73">
        <v>263.11</v>
      </c>
      <c r="D23" s="147"/>
      <c r="E23" s="75"/>
      <c r="F23" s="73"/>
      <c r="G23" s="147"/>
      <c r="H23" s="75"/>
      <c r="I23" s="73"/>
      <c r="J23" s="431">
        <v>43585</v>
      </c>
      <c r="K23" s="347">
        <v>5.4959999999999996</v>
      </c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0.3</v>
      </c>
      <c r="AG23" s="1113">
        <v>7.94</v>
      </c>
      <c r="AH23" s="1110">
        <v>2635</v>
      </c>
      <c r="AI23" s="238">
        <v>22.57</v>
      </c>
      <c r="AJ23" s="838"/>
      <c r="AK23" s="839"/>
      <c r="AL23" s="51">
        <f t="shared" si="0"/>
        <v>1.3134484824281152</v>
      </c>
      <c r="AM23" s="51">
        <f t="shared" si="1"/>
        <v>-1.5116159615846225E-2</v>
      </c>
    </row>
    <row r="24" spans="1:39" x14ac:dyDescent="0.25">
      <c r="A24" s="71">
        <v>43100</v>
      </c>
      <c r="B24" s="72">
        <v>233.73</v>
      </c>
      <c r="C24" s="73">
        <v>308.17</v>
      </c>
      <c r="D24" s="147"/>
      <c r="E24" s="75"/>
      <c r="F24" s="73"/>
      <c r="G24" s="147"/>
      <c r="H24" s="75"/>
      <c r="I24" s="73"/>
      <c r="J24" s="234">
        <v>43616</v>
      </c>
      <c r="K24" s="73">
        <v>10.991999999999999</v>
      </c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0.28000000000000003</v>
      </c>
      <c r="AG24" s="1113">
        <v>7.4</v>
      </c>
      <c r="AH24" s="1110">
        <v>3145</v>
      </c>
      <c r="AI24" s="238">
        <v>33.840000000000003</v>
      </c>
      <c r="AJ24" s="838"/>
      <c r="AK24" s="839"/>
      <c r="AL24" s="51">
        <f t="shared" si="0"/>
        <v>1.3184871432849872</v>
      </c>
      <c r="AM24" s="51">
        <f t="shared" si="1"/>
        <v>-1.0077498758974235E-2</v>
      </c>
    </row>
    <row r="25" spans="1:39" x14ac:dyDescent="0.25">
      <c r="A25" s="71">
        <v>43131</v>
      </c>
      <c r="B25" s="72">
        <v>194.11</v>
      </c>
      <c r="C25" s="73">
        <v>255.9</v>
      </c>
      <c r="D25" s="528">
        <v>43332</v>
      </c>
      <c r="E25" s="516" t="s">
        <v>391</v>
      </c>
      <c r="F25" s="380">
        <v>340.25</v>
      </c>
      <c r="G25" s="147"/>
      <c r="H25" s="75"/>
      <c r="I25" s="73"/>
      <c r="J25" s="234">
        <v>43738</v>
      </c>
      <c r="K25" s="73">
        <v>6.5039999999999996</v>
      </c>
      <c r="L25" s="71"/>
      <c r="M25" s="73"/>
      <c r="N25" s="1153">
        <v>43125</v>
      </c>
      <c r="O25" s="835">
        <v>50</v>
      </c>
      <c r="P25" s="71"/>
      <c r="Q25" s="73"/>
      <c r="R25" s="71"/>
      <c r="S25" s="73"/>
      <c r="T25" s="894">
        <v>43101</v>
      </c>
      <c r="U25" s="1199" t="s">
        <v>953</v>
      </c>
      <c r="V25" s="73">
        <v>20.2</v>
      </c>
      <c r="W25" s="894">
        <v>43251</v>
      </c>
      <c r="X25" s="1199" t="s">
        <v>945</v>
      </c>
      <c r="Y25" s="73">
        <v>40</v>
      </c>
      <c r="Z25" s="894">
        <v>43101</v>
      </c>
      <c r="AA25" s="1199" t="s">
        <v>953</v>
      </c>
      <c r="AB25" s="73">
        <v>97.45</v>
      </c>
      <c r="AC25" s="894"/>
      <c r="AD25" s="1199"/>
      <c r="AE25" s="73"/>
      <c r="AF25" s="1112">
        <v>0.28000000000000003</v>
      </c>
      <c r="AG25" s="1113">
        <v>7.4</v>
      </c>
      <c r="AH25" s="1110">
        <v>2646</v>
      </c>
      <c r="AI25" s="238">
        <v>43.73</v>
      </c>
      <c r="AJ25" s="838"/>
      <c r="AK25" s="839"/>
      <c r="AL25" s="51">
        <f t="shared" si="0"/>
        <v>1.318324661274535</v>
      </c>
      <c r="AM25" s="51">
        <f t="shared" si="1"/>
        <v>-1.0239980769426449E-2</v>
      </c>
    </row>
    <row r="26" spans="1:39" x14ac:dyDescent="0.25">
      <c r="A26" s="71">
        <v>43159</v>
      </c>
      <c r="B26" s="72">
        <v>160.27000000000001</v>
      </c>
      <c r="C26" s="73">
        <v>211.31</v>
      </c>
      <c r="D26" s="147">
        <v>43357</v>
      </c>
      <c r="E26" s="75" t="s">
        <v>419</v>
      </c>
      <c r="F26" s="73">
        <v>139.97</v>
      </c>
      <c r="G26" s="345"/>
      <c r="H26" s="346"/>
      <c r="I26" s="347"/>
      <c r="J26" s="234">
        <v>43769</v>
      </c>
      <c r="K26" s="73">
        <v>13.007999999999999</v>
      </c>
      <c r="L26" s="71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20.2</v>
      </c>
      <c r="W26" s="894"/>
      <c r="X26" s="1199"/>
      <c r="Y26" s="73"/>
      <c r="Z26" s="894">
        <v>43191</v>
      </c>
      <c r="AA26" s="1199" t="s">
        <v>954</v>
      </c>
      <c r="AB26" s="73">
        <v>97.45</v>
      </c>
      <c r="AC26" s="894"/>
      <c r="AD26" s="1199"/>
      <c r="AE26" s="73"/>
      <c r="AF26" s="1112">
        <v>0.28000000000000003</v>
      </c>
      <c r="AG26" s="1113">
        <v>7.4</v>
      </c>
      <c r="AH26" s="1110">
        <v>2149</v>
      </c>
      <c r="AI26" s="238">
        <v>33.46</v>
      </c>
      <c r="AJ26" s="838"/>
      <c r="AK26" s="839"/>
      <c r="AL26" s="51">
        <f t="shared" si="0"/>
        <v>1.3184625943719972</v>
      </c>
      <c r="AM26" s="51">
        <f t="shared" si="1"/>
        <v>-1.0102047671964209E-2</v>
      </c>
    </row>
    <row r="27" spans="1:39" x14ac:dyDescent="0.25">
      <c r="A27" s="71">
        <v>43190</v>
      </c>
      <c r="B27" s="72">
        <v>184.79</v>
      </c>
      <c r="C27" s="73">
        <v>243.77</v>
      </c>
      <c r="D27" s="147">
        <v>43410</v>
      </c>
      <c r="E27" s="75" t="s">
        <v>478</v>
      </c>
      <c r="F27" s="73">
        <v>236.94</v>
      </c>
      <c r="G27" s="147"/>
      <c r="H27" s="75"/>
      <c r="I27" s="73"/>
      <c r="J27" s="234">
        <v>43830</v>
      </c>
      <c r="K27" s="73">
        <v>6.5039999999999996</v>
      </c>
      <c r="L27" s="71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20.2</v>
      </c>
      <c r="W27" s="945"/>
      <c r="X27" s="1201"/>
      <c r="Y27" s="347"/>
      <c r="Z27" s="894">
        <v>43282</v>
      </c>
      <c r="AA27" s="1199" t="s">
        <v>955</v>
      </c>
      <c r="AB27" s="73">
        <v>97.45</v>
      </c>
      <c r="AC27" s="894"/>
      <c r="AD27" s="1199"/>
      <c r="AE27" s="73"/>
      <c r="AF27" s="1112">
        <v>0.18</v>
      </c>
      <c r="AG27" s="1113">
        <v>7.4</v>
      </c>
      <c r="AH27" s="1110">
        <v>2505</v>
      </c>
      <c r="AI27" s="238">
        <v>53.17</v>
      </c>
      <c r="AJ27" s="838"/>
      <c r="AK27" s="839"/>
      <c r="AL27" s="51">
        <f t="shared" si="0"/>
        <v>1.3191731154283242</v>
      </c>
      <c r="AM27" s="51">
        <f t="shared" si="1"/>
        <v>-9.3915266156372468E-3</v>
      </c>
    </row>
    <row r="28" spans="1:39" x14ac:dyDescent="0.25">
      <c r="A28" s="71">
        <v>43220</v>
      </c>
      <c r="B28" s="72">
        <v>230.59</v>
      </c>
      <c r="C28" s="73">
        <v>309.97000000000003</v>
      </c>
      <c r="D28" s="147"/>
      <c r="E28" s="75"/>
      <c r="F28" s="73"/>
      <c r="G28" s="147"/>
      <c r="H28" s="75"/>
      <c r="I28" s="73"/>
      <c r="J28" s="234">
        <v>43859</v>
      </c>
      <c r="K28" s="1674">
        <v>6.5039999999999996</v>
      </c>
      <c r="L28" s="71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20.2</v>
      </c>
      <c r="W28" s="894"/>
      <c r="X28" s="1199"/>
      <c r="Y28" s="73"/>
      <c r="Z28" s="894">
        <v>43374</v>
      </c>
      <c r="AA28" s="1199" t="s">
        <v>956</v>
      </c>
      <c r="AB28" s="73">
        <v>97.45</v>
      </c>
      <c r="AC28" s="894"/>
      <c r="AD28" s="1199"/>
      <c r="AE28" s="73"/>
      <c r="AF28" s="1112">
        <v>0.18</v>
      </c>
      <c r="AG28" s="1113">
        <v>7.4</v>
      </c>
      <c r="AH28" s="1110">
        <v>2600</v>
      </c>
      <c r="AI28" s="238">
        <v>55</v>
      </c>
      <c r="AJ28" s="838">
        <v>-2.58</v>
      </c>
      <c r="AK28" s="839">
        <v>-3.47</v>
      </c>
      <c r="AL28" s="51">
        <f t="shared" si="0"/>
        <v>1.3442473654538358</v>
      </c>
      <c r="AM28" s="51">
        <f t="shared" si="1"/>
        <v>1.5682723409874422E-2</v>
      </c>
    </row>
    <row r="29" spans="1:39" x14ac:dyDescent="0.25">
      <c r="A29" s="71">
        <v>43251</v>
      </c>
      <c r="B29" s="72">
        <v>348.11</v>
      </c>
      <c r="C29" s="73">
        <v>493.39</v>
      </c>
      <c r="D29" s="147"/>
      <c r="E29" s="75"/>
      <c r="F29" s="73"/>
      <c r="G29" s="147"/>
      <c r="H29" s="75"/>
      <c r="I29" s="73"/>
      <c r="J29" s="234">
        <v>43874</v>
      </c>
      <c r="K29" s="1674">
        <v>6.5039999999999996</v>
      </c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0.17</v>
      </c>
      <c r="AG29" s="1113">
        <v>7.39</v>
      </c>
      <c r="AH29" s="1110">
        <v>4784</v>
      </c>
      <c r="AI29" s="238">
        <v>34.89</v>
      </c>
      <c r="AJ29" s="838"/>
      <c r="AK29" s="839"/>
      <c r="AL29" s="51">
        <f t="shared" si="0"/>
        <v>1.4173393467582085</v>
      </c>
      <c r="AM29" s="51">
        <f t="shared" si="1"/>
        <v>8.8774704714247088E-2</v>
      </c>
    </row>
    <row r="30" spans="1:39" x14ac:dyDescent="0.25">
      <c r="A30" s="71">
        <v>43281</v>
      </c>
      <c r="B30" s="72">
        <v>319.47000000000003</v>
      </c>
      <c r="C30" s="73">
        <v>456.49</v>
      </c>
      <c r="D30" s="147"/>
      <c r="E30" s="75"/>
      <c r="F30" s="73"/>
      <c r="G30" s="147"/>
      <c r="H30" s="75"/>
      <c r="I30" s="73"/>
      <c r="J30" s="234">
        <v>43881</v>
      </c>
      <c r="K30" s="1674">
        <v>6.5039999999999996</v>
      </c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0.17</v>
      </c>
      <c r="AG30" s="1113">
        <v>7.38</v>
      </c>
      <c r="AH30" s="1110">
        <v>4409</v>
      </c>
      <c r="AI30" s="238">
        <v>48.72</v>
      </c>
      <c r="AJ30" s="838"/>
      <c r="AK30" s="839"/>
      <c r="AL30" s="51">
        <f t="shared" si="0"/>
        <v>1.4288978620840767</v>
      </c>
      <c r="AM30" s="51">
        <f t="shared" si="1"/>
        <v>0.10033322004011525</v>
      </c>
    </row>
    <row r="31" spans="1:39" x14ac:dyDescent="0.25">
      <c r="A31" s="71">
        <v>43312</v>
      </c>
      <c r="B31" s="72">
        <v>13.09</v>
      </c>
      <c r="C31" s="73">
        <v>18.690000000000001</v>
      </c>
      <c r="D31" s="147"/>
      <c r="E31" s="75"/>
      <c r="F31" s="73"/>
      <c r="G31" s="147"/>
      <c r="H31" s="75"/>
      <c r="I31" s="73"/>
      <c r="J31" s="234">
        <v>43965</v>
      </c>
      <c r="K31" s="1674">
        <f>5.42*1.2</f>
        <v>6.5039999999999996</v>
      </c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0.18</v>
      </c>
      <c r="AG31" s="1113">
        <v>7.38</v>
      </c>
      <c r="AH31" s="1110">
        <v>154</v>
      </c>
      <c r="AI31" s="238">
        <v>51.63</v>
      </c>
      <c r="AJ31" s="838"/>
      <c r="AK31" s="839"/>
      <c r="AL31" s="51">
        <f t="shared" si="0"/>
        <v>1.4278074866310162</v>
      </c>
      <c r="AM31" s="51">
        <f t="shared" si="1"/>
        <v>9.924284458705479E-2</v>
      </c>
    </row>
    <row r="32" spans="1:39" x14ac:dyDescent="0.25">
      <c r="A32" s="71">
        <v>43343</v>
      </c>
      <c r="B32" s="72">
        <v>57.64</v>
      </c>
      <c r="C32" s="73">
        <v>81.12</v>
      </c>
      <c r="D32" s="528"/>
      <c r="E32" s="516"/>
      <c r="F32" s="380"/>
      <c r="G32" s="147"/>
      <c r="H32" s="75"/>
      <c r="I32" s="73"/>
      <c r="J32" s="234">
        <v>44097</v>
      </c>
      <c r="K32" s="1674">
        <f>5.42*1.2</f>
        <v>6.5039999999999996</v>
      </c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0.18</v>
      </c>
      <c r="AG32" s="1113">
        <v>7.19</v>
      </c>
      <c r="AH32" s="1110">
        <v>2440</v>
      </c>
      <c r="AI32" s="238">
        <v>55</v>
      </c>
      <c r="AJ32" s="838"/>
      <c r="AK32" s="839"/>
      <c r="AL32" s="51">
        <f t="shared" si="0"/>
        <v>1.4073560027758503</v>
      </c>
      <c r="AM32" s="51">
        <f t="shared" si="1"/>
        <v>7.879136073188886E-2</v>
      </c>
    </row>
    <row r="33" spans="1:39" x14ac:dyDescent="0.25">
      <c r="A33" s="71">
        <v>43373</v>
      </c>
      <c r="B33" s="72">
        <v>165.22</v>
      </c>
      <c r="C33" s="73">
        <v>235.82</v>
      </c>
      <c r="D33" s="147"/>
      <c r="E33" s="75"/>
      <c r="F33" s="73"/>
      <c r="G33" s="147"/>
      <c r="H33" s="75"/>
      <c r="I33" s="73"/>
      <c r="J33" s="234" t="s">
        <v>1261</v>
      </c>
      <c r="K33" s="73">
        <v>3</v>
      </c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0.18</v>
      </c>
      <c r="AG33" s="1113">
        <v>7.2</v>
      </c>
      <c r="AH33" s="1110">
        <v>2213</v>
      </c>
      <c r="AI33" s="238">
        <v>55</v>
      </c>
      <c r="AJ33" s="838">
        <v>-0.78</v>
      </c>
      <c r="AK33" s="839">
        <v>-1.1100000000000001</v>
      </c>
      <c r="AL33" s="51">
        <f t="shared" si="0"/>
        <v>1.4273090424888029</v>
      </c>
      <c r="AM33" s="51">
        <f t="shared" si="1"/>
        <v>9.8744400444841451E-2</v>
      </c>
    </row>
    <row r="34" spans="1:39" x14ac:dyDescent="0.25">
      <c r="A34" s="71">
        <v>43404</v>
      </c>
      <c r="B34" s="72">
        <v>100.11</v>
      </c>
      <c r="C34" s="73">
        <v>145.99</v>
      </c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0.18</v>
      </c>
      <c r="AG34" s="1113">
        <v>7.2</v>
      </c>
      <c r="AH34" s="1110">
        <v>1354</v>
      </c>
      <c r="AI34" s="238">
        <v>53.89</v>
      </c>
      <c r="AJ34" s="838"/>
      <c r="AK34" s="839"/>
      <c r="AL34" s="51">
        <f t="shared" si="0"/>
        <v>1.4582958745380084</v>
      </c>
      <c r="AM34" s="51">
        <f t="shared" si="1"/>
        <v>0.12973123249404694</v>
      </c>
    </row>
    <row r="35" spans="1:39" x14ac:dyDescent="0.25">
      <c r="A35" s="71">
        <v>43434</v>
      </c>
      <c r="B35" s="72">
        <v>200.15</v>
      </c>
      <c r="C35" s="73">
        <v>290.83</v>
      </c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0.18</v>
      </c>
      <c r="AG35" s="1113">
        <v>7.21</v>
      </c>
      <c r="AH35" s="1110">
        <v>2722</v>
      </c>
      <c r="AI35" s="238">
        <v>41.74</v>
      </c>
      <c r="AJ35" s="838"/>
      <c r="AK35" s="839"/>
      <c r="AL35" s="51">
        <f t="shared" si="0"/>
        <v>1.453060204846365</v>
      </c>
      <c r="AM35" s="51">
        <f t="shared" si="1"/>
        <v>0.12449556280240359</v>
      </c>
    </row>
    <row r="36" spans="1:39" x14ac:dyDescent="0.25">
      <c r="A36" s="71">
        <v>43465</v>
      </c>
      <c r="B36" s="72">
        <v>123.92</v>
      </c>
      <c r="C36" s="73">
        <v>171.53</v>
      </c>
      <c r="D36" s="147"/>
      <c r="E36" s="75"/>
      <c r="F36" s="73"/>
      <c r="G36" s="147"/>
      <c r="H36" s="75"/>
      <c r="I36" s="73"/>
      <c r="J36" s="234"/>
      <c r="K36" s="73"/>
      <c r="L36" s="71">
        <v>43480</v>
      </c>
      <c r="M36" s="73">
        <v>335.12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0.18</v>
      </c>
      <c r="AG36" s="1113">
        <v>7.21</v>
      </c>
      <c r="AH36" s="1110">
        <v>1676</v>
      </c>
      <c r="AI36" s="238">
        <v>58.82</v>
      </c>
      <c r="AJ36" s="838"/>
      <c r="AK36" s="839"/>
      <c r="AL36" s="51">
        <f t="shared" si="0"/>
        <v>1.3841994835377662</v>
      </c>
      <c r="AM36" s="51">
        <f t="shared" si="1"/>
        <v>5.5634841493804821E-2</v>
      </c>
    </row>
    <row r="37" spans="1:39" x14ac:dyDescent="0.25">
      <c r="A37" s="71">
        <v>43496</v>
      </c>
      <c r="B37" s="72">
        <v>142.88999999999999</v>
      </c>
      <c r="C37" s="73">
        <v>193.45</v>
      </c>
      <c r="D37" s="147">
        <v>43648</v>
      </c>
      <c r="E37" s="75" t="s">
        <v>670</v>
      </c>
      <c r="F37" s="73">
        <v>341.68</v>
      </c>
      <c r="G37" s="147">
        <v>43496</v>
      </c>
      <c r="H37" s="75" t="s">
        <v>510</v>
      </c>
      <c r="I37" s="73">
        <v>22.200000000000003</v>
      </c>
      <c r="J37" s="234"/>
      <c r="K37" s="73"/>
      <c r="L37" s="71">
        <v>43480</v>
      </c>
      <c r="M37" s="73">
        <v>8.4</v>
      </c>
      <c r="N37" s="894">
        <v>43475</v>
      </c>
      <c r="O37" s="73">
        <v>50</v>
      </c>
      <c r="P37" s="71"/>
      <c r="Q37" s="73"/>
      <c r="R37" s="71"/>
      <c r="S37" s="73"/>
      <c r="T37" s="894">
        <v>43466</v>
      </c>
      <c r="U37" s="1199" t="s">
        <v>957</v>
      </c>
      <c r="V37" s="73">
        <v>20.2</v>
      </c>
      <c r="W37" s="894">
        <v>43588</v>
      </c>
      <c r="X37" s="1199" t="s">
        <v>923</v>
      </c>
      <c r="Y37" s="73">
        <v>40</v>
      </c>
      <c r="Z37" s="894">
        <v>43466</v>
      </c>
      <c r="AA37" s="1199" t="s">
        <v>957</v>
      </c>
      <c r="AB37" s="73">
        <v>97.45</v>
      </c>
      <c r="AC37" s="894"/>
      <c r="AD37" s="1199"/>
      <c r="AE37" s="73"/>
      <c r="AF37" s="1112">
        <v>0.19</v>
      </c>
      <c r="AG37" s="1113">
        <v>7.18</v>
      </c>
      <c r="AH37" s="1110">
        <v>2278</v>
      </c>
      <c r="AI37" s="238">
        <v>54</v>
      </c>
      <c r="AJ37" s="838"/>
      <c r="AK37" s="839"/>
      <c r="AL37" s="51">
        <f t="shared" si="0"/>
        <v>1.353838617118063</v>
      </c>
      <c r="AM37" s="51">
        <f t="shared" si="1"/>
        <v>2.5273975074101562E-2</v>
      </c>
    </row>
    <row r="38" spans="1:39" x14ac:dyDescent="0.25">
      <c r="A38" s="71">
        <v>43524</v>
      </c>
      <c r="B38" s="72">
        <v>120</v>
      </c>
      <c r="C38" s="73">
        <v>163.75</v>
      </c>
      <c r="D38" s="147">
        <v>43719</v>
      </c>
      <c r="E38" s="75" t="s">
        <v>778</v>
      </c>
      <c r="F38" s="73">
        <v>49.5</v>
      </c>
      <c r="G38" s="147">
        <v>43760</v>
      </c>
      <c r="H38" s="75" t="s">
        <v>510</v>
      </c>
      <c r="I38" s="73">
        <f>17.5+6.9</f>
        <v>24.4</v>
      </c>
      <c r="J38" s="234"/>
      <c r="K38" s="73"/>
      <c r="L38" s="71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20.2</v>
      </c>
      <c r="W38" s="894"/>
      <c r="X38" s="1199"/>
      <c r="Y38" s="73"/>
      <c r="Z38" s="894">
        <v>43556</v>
      </c>
      <c r="AA38" s="1199" t="s">
        <v>958</v>
      </c>
      <c r="AB38" s="73">
        <v>97.45</v>
      </c>
      <c r="AC38" s="894"/>
      <c r="AD38" s="1199"/>
      <c r="AE38" s="73"/>
      <c r="AF38" s="1112">
        <v>0.19</v>
      </c>
      <c r="AG38" s="1113">
        <v>7.15</v>
      </c>
      <c r="AH38" s="1110">
        <v>2010</v>
      </c>
      <c r="AI38" s="238">
        <v>31</v>
      </c>
      <c r="AJ38" s="838"/>
      <c r="AK38" s="839"/>
      <c r="AL38" s="51">
        <f t="shared" si="0"/>
        <v>1.3645833333333333</v>
      </c>
      <c r="AM38" s="51">
        <f t="shared" si="1"/>
        <v>3.6018691289371851E-2</v>
      </c>
    </row>
    <row r="39" spans="1:39" x14ac:dyDescent="0.25">
      <c r="A39" s="71">
        <v>43555</v>
      </c>
      <c r="B39" s="72">
        <v>263.41000000000003</v>
      </c>
      <c r="C39" s="73">
        <v>369.78</v>
      </c>
      <c r="D39" s="147">
        <v>43747</v>
      </c>
      <c r="E39" s="75" t="s">
        <v>803</v>
      </c>
      <c r="F39" s="73">
        <v>41.95</v>
      </c>
      <c r="G39" s="147"/>
      <c r="H39" s="75"/>
      <c r="I39" s="73"/>
      <c r="J39" s="234"/>
      <c r="K39" s="73"/>
      <c r="L39" s="71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20.02</v>
      </c>
      <c r="W39" s="894"/>
      <c r="X39" s="1199"/>
      <c r="Y39" s="73"/>
      <c r="Z39" s="894">
        <v>43647</v>
      </c>
      <c r="AA39" s="1199" t="s">
        <v>959</v>
      </c>
      <c r="AB39" s="73">
        <v>110.26</v>
      </c>
      <c r="AC39" s="894"/>
      <c r="AD39" s="1199"/>
      <c r="AE39" s="73"/>
      <c r="AF39" s="1112">
        <v>0.19</v>
      </c>
      <c r="AG39" s="1113">
        <v>7.07</v>
      </c>
      <c r="AH39" s="1110">
        <v>4649</v>
      </c>
      <c r="AI39" s="238">
        <v>54</v>
      </c>
      <c r="AJ39" s="838"/>
      <c r="AK39" s="839"/>
      <c r="AL39" s="51">
        <f t="shared" si="0"/>
        <v>1.4038191412626702</v>
      </c>
      <c r="AM39" s="51">
        <f t="shared" si="1"/>
        <v>7.5254499218708748E-2</v>
      </c>
    </row>
    <row r="40" spans="1:39" x14ac:dyDescent="0.25">
      <c r="A40" s="71">
        <v>43585</v>
      </c>
      <c r="B40" s="72">
        <v>184</v>
      </c>
      <c r="C40" s="73">
        <v>257.58</v>
      </c>
      <c r="D40" s="147"/>
      <c r="E40" s="75"/>
      <c r="F40" s="73"/>
      <c r="G40" s="147"/>
      <c r="H40" s="75"/>
      <c r="I40" s="73"/>
      <c r="J40" s="234"/>
      <c r="K40" s="73"/>
      <c r="L40" s="71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20.02</v>
      </c>
      <c r="W40" s="894"/>
      <c r="X40" s="1199"/>
      <c r="Y40" s="73"/>
      <c r="Z40" s="894">
        <v>43739</v>
      </c>
      <c r="AA40" s="1199" t="s">
        <v>960</v>
      </c>
      <c r="AB40" s="73">
        <v>110.26</v>
      </c>
      <c r="AC40" s="894"/>
      <c r="AD40" s="1199"/>
      <c r="AE40" s="73"/>
      <c r="AF40" s="1112">
        <v>0.19</v>
      </c>
      <c r="AG40" s="1113">
        <v>7.03</v>
      </c>
      <c r="AH40" s="1110">
        <v>3090</v>
      </c>
      <c r="AI40" s="238">
        <v>54</v>
      </c>
      <c r="AJ40" s="838"/>
      <c r="AK40" s="839"/>
      <c r="AL40" s="51">
        <f t="shared" si="0"/>
        <v>1.399891304347826</v>
      </c>
      <c r="AM40" s="51">
        <f t="shared" si="1"/>
        <v>7.1326662303864641E-2</v>
      </c>
    </row>
    <row r="41" spans="1:39" x14ac:dyDescent="0.25">
      <c r="A41" s="71">
        <v>43616</v>
      </c>
      <c r="B41" s="72">
        <v>237.37</v>
      </c>
      <c r="C41" s="73">
        <v>336.4</v>
      </c>
      <c r="D41" s="147"/>
      <c r="E41" s="75"/>
      <c r="F41" s="73"/>
      <c r="G41" s="147"/>
      <c r="H41" s="75"/>
      <c r="I41" s="73"/>
      <c r="J41" s="234"/>
      <c r="K41" s="73"/>
      <c r="L41" s="71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0.18</v>
      </c>
      <c r="AG41" s="1113">
        <v>6.97</v>
      </c>
      <c r="AH41" s="1110">
        <v>4068</v>
      </c>
      <c r="AI41" s="238">
        <v>54</v>
      </c>
      <c r="AJ41" s="838"/>
      <c r="AK41" s="839"/>
      <c r="AL41" s="51">
        <f t="shared" si="0"/>
        <v>1.4171967813961326</v>
      </c>
      <c r="AM41" s="51">
        <f t="shared" si="1"/>
        <v>8.863213935217118E-2</v>
      </c>
    </row>
    <row r="42" spans="1:39" x14ac:dyDescent="0.25">
      <c r="A42" s="71">
        <v>43646</v>
      </c>
      <c r="B42" s="72">
        <v>283.10000000000002</v>
      </c>
      <c r="C42" s="73">
        <v>384.02</v>
      </c>
      <c r="D42" s="147"/>
      <c r="E42" s="75"/>
      <c r="F42" s="73"/>
      <c r="G42" s="147"/>
      <c r="H42" s="75"/>
      <c r="I42" s="73"/>
      <c r="J42" s="234"/>
      <c r="K42" s="73"/>
      <c r="L42" s="71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0.18</v>
      </c>
      <c r="AG42" s="1113">
        <v>6.9</v>
      </c>
      <c r="AH42" s="1110">
        <v>5001</v>
      </c>
      <c r="AI42" s="238">
        <v>51</v>
      </c>
      <c r="AJ42" s="838"/>
      <c r="AK42" s="839"/>
      <c r="AL42" s="51">
        <f t="shared" si="0"/>
        <v>1.356481808548216</v>
      </c>
      <c r="AM42" s="51">
        <f t="shared" si="1"/>
        <v>2.7917166504254576E-2</v>
      </c>
    </row>
    <row r="43" spans="1:39" x14ac:dyDescent="0.25">
      <c r="A43" s="71">
        <v>43677</v>
      </c>
      <c r="B43" s="72">
        <v>54.5</v>
      </c>
      <c r="C43" s="73">
        <v>74.33</v>
      </c>
      <c r="D43" s="147"/>
      <c r="E43" s="75"/>
      <c r="F43" s="73"/>
      <c r="G43" s="147"/>
      <c r="H43" s="75"/>
      <c r="I43" s="73"/>
      <c r="J43" s="234"/>
      <c r="K43" s="73"/>
      <c r="L43" s="71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0.18</v>
      </c>
      <c r="AG43" s="1113">
        <v>6.89</v>
      </c>
      <c r="AH43" s="1110">
        <v>930</v>
      </c>
      <c r="AI43" s="238">
        <v>53</v>
      </c>
      <c r="AJ43" s="838"/>
      <c r="AK43" s="839"/>
      <c r="AL43" s="51">
        <f t="shared" si="0"/>
        <v>1.3638532110091743</v>
      </c>
      <c r="AM43" s="51">
        <f t="shared" si="1"/>
        <v>3.528856896521293E-2</v>
      </c>
    </row>
    <row r="44" spans="1:39" x14ac:dyDescent="0.25">
      <c r="A44" s="71">
        <v>43708</v>
      </c>
      <c r="B44" s="72">
        <v>73</v>
      </c>
      <c r="C44" s="73">
        <v>99.41</v>
      </c>
      <c r="D44" s="147"/>
      <c r="E44" s="75"/>
      <c r="F44" s="73"/>
      <c r="G44" s="147"/>
      <c r="H44" s="75"/>
      <c r="I44" s="73"/>
      <c r="J44" s="234"/>
      <c r="K44" s="73"/>
      <c r="L44" s="71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0.18</v>
      </c>
      <c r="AG44" s="1113">
        <v>6.88</v>
      </c>
      <c r="AH44" s="1110">
        <v>1201</v>
      </c>
      <c r="AI44" s="238">
        <v>54</v>
      </c>
      <c r="AJ44" s="838"/>
      <c r="AK44" s="839"/>
      <c r="AL44" s="51">
        <f t="shared" si="0"/>
        <v>1.3617808219178082</v>
      </c>
      <c r="AM44" s="51">
        <f t="shared" si="1"/>
        <v>3.3216179873846841E-2</v>
      </c>
    </row>
    <row r="45" spans="1:39" x14ac:dyDescent="0.25">
      <c r="A45" s="71">
        <v>43738</v>
      </c>
      <c r="B45" s="72">
        <v>268.91000000000003</v>
      </c>
      <c r="C45" s="73">
        <v>367.49</v>
      </c>
      <c r="D45" s="147"/>
      <c r="E45" s="75"/>
      <c r="F45" s="73"/>
      <c r="G45" s="147"/>
      <c r="H45" s="75"/>
      <c r="I45" s="73"/>
      <c r="J45" s="234"/>
      <c r="K45" s="73"/>
      <c r="L45" s="71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0.18</v>
      </c>
      <c r="AG45" s="1113">
        <v>6.83</v>
      </c>
      <c r="AH45" s="1110">
        <v>4611</v>
      </c>
      <c r="AI45" s="238">
        <v>54</v>
      </c>
      <c r="AJ45" s="838"/>
      <c r="AK45" s="839"/>
      <c r="AL45" s="51">
        <f t="shared" si="0"/>
        <v>1.3665910527685843</v>
      </c>
      <c r="AM45" s="51">
        <f t="shared" si="1"/>
        <v>3.8026410724622872E-2</v>
      </c>
    </row>
    <row r="46" spans="1:39" x14ac:dyDescent="0.25">
      <c r="A46" s="71">
        <v>43769</v>
      </c>
      <c r="B46" s="72">
        <v>191.41</v>
      </c>
      <c r="C46" s="73">
        <v>262.52999999999997</v>
      </c>
      <c r="D46" s="147"/>
      <c r="E46" s="75"/>
      <c r="F46" s="73"/>
      <c r="G46" s="147"/>
      <c r="H46" s="75"/>
      <c r="I46" s="73"/>
      <c r="J46" s="234"/>
      <c r="K46" s="73"/>
      <c r="L46" s="71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0.18</v>
      </c>
      <c r="AG46" s="1113">
        <v>6.8</v>
      </c>
      <c r="AH46" s="1110">
        <v>3391</v>
      </c>
      <c r="AI46" s="238">
        <v>52</v>
      </c>
      <c r="AJ46" s="838"/>
      <c r="AK46" s="839"/>
      <c r="AL46" s="51">
        <f t="shared" si="0"/>
        <v>1.3715584347735228</v>
      </c>
      <c r="AM46" s="51">
        <f t="shared" si="1"/>
        <v>4.2993792729561386E-2</v>
      </c>
    </row>
    <row r="47" spans="1:39" x14ac:dyDescent="0.25">
      <c r="A47" s="71">
        <v>43799</v>
      </c>
      <c r="B47" s="72">
        <v>233.73</v>
      </c>
      <c r="C47" s="73">
        <v>320.66000000000003</v>
      </c>
      <c r="D47" s="147"/>
      <c r="E47" s="75"/>
      <c r="F47" s="73"/>
      <c r="G47" s="147"/>
      <c r="H47" s="75"/>
      <c r="I47" s="73"/>
      <c r="J47" s="234"/>
      <c r="K47" s="73"/>
      <c r="L47" s="71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0.18</v>
      </c>
      <c r="AG47" s="1113">
        <v>6.76</v>
      </c>
      <c r="AH47" s="1110">
        <v>4056</v>
      </c>
      <c r="AI47" s="238">
        <v>54</v>
      </c>
      <c r="AJ47" s="838"/>
      <c r="AK47" s="839"/>
      <c r="AL47" s="51">
        <f t="shared" si="0"/>
        <v>1.3719248705771618</v>
      </c>
      <c r="AM47" s="51">
        <f t="shared" si="1"/>
        <v>4.3360228533200429E-2</v>
      </c>
    </row>
    <row r="48" spans="1:39" x14ac:dyDescent="0.25">
      <c r="A48" s="71">
        <v>43830</v>
      </c>
      <c r="B48" s="72">
        <v>105.92</v>
      </c>
      <c r="C48" s="73">
        <v>146.18</v>
      </c>
      <c r="D48" s="147"/>
      <c r="E48" s="75"/>
      <c r="F48" s="73"/>
      <c r="G48" s="147"/>
      <c r="H48" s="75"/>
      <c r="I48" s="73"/>
      <c r="J48" s="234"/>
      <c r="K48" s="73"/>
      <c r="L48" s="71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0.18</v>
      </c>
      <c r="AG48" s="1113">
        <v>6.75</v>
      </c>
      <c r="AH48" s="1110">
        <v>1620</v>
      </c>
      <c r="AI48" s="238">
        <v>52</v>
      </c>
      <c r="AJ48" s="838"/>
      <c r="AK48" s="839"/>
      <c r="AL48" s="51">
        <f t="shared" si="0"/>
        <v>1.3800981873111784</v>
      </c>
      <c r="AM48" s="51">
        <f t="shared" si="1"/>
        <v>5.1533545267216985E-2</v>
      </c>
    </row>
    <row r="49" spans="1:39" x14ac:dyDescent="0.25">
      <c r="A49" s="71">
        <v>43861</v>
      </c>
      <c r="B49" s="72">
        <v>102.5</v>
      </c>
      <c r="C49" s="73">
        <v>141.47999999999999</v>
      </c>
      <c r="D49" s="147">
        <v>43853</v>
      </c>
      <c r="E49" s="75" t="s">
        <v>1063</v>
      </c>
      <c r="F49" s="73">
        <v>293.18</v>
      </c>
      <c r="G49" s="147">
        <v>43950</v>
      </c>
      <c r="H49" s="75" t="s">
        <v>510</v>
      </c>
      <c r="I49" s="73">
        <f>4.2+4.2+4.2+13.4+6.9+4.4+13.2</f>
        <v>50.5</v>
      </c>
      <c r="J49" s="234"/>
      <c r="K49" s="73"/>
      <c r="L49" s="71">
        <v>43861</v>
      </c>
      <c r="M49" s="73">
        <v>8.4</v>
      </c>
      <c r="N49" s="894">
        <v>43845</v>
      </c>
      <c r="O49" s="73">
        <v>50</v>
      </c>
      <c r="P49" s="71"/>
      <c r="Q49" s="73"/>
      <c r="R49" s="71"/>
      <c r="S49" s="73"/>
      <c r="T49" s="894">
        <v>43831</v>
      </c>
      <c r="U49" s="1199" t="s">
        <v>961</v>
      </c>
      <c r="V49" s="73">
        <v>20.02</v>
      </c>
      <c r="W49" s="894">
        <v>43942</v>
      </c>
      <c r="X49" s="1199" t="s">
        <v>1079</v>
      </c>
      <c r="Y49" s="73">
        <v>40</v>
      </c>
      <c r="Z49" s="894">
        <v>43831</v>
      </c>
      <c r="AA49" s="1199" t="s">
        <v>961</v>
      </c>
      <c r="AB49" s="73">
        <v>110.26</v>
      </c>
      <c r="AC49" s="894"/>
      <c r="AD49" s="1199"/>
      <c r="AE49" s="73"/>
      <c r="AF49" s="1112">
        <v>0.19</v>
      </c>
      <c r="AG49" s="1113">
        <v>6.63</v>
      </c>
      <c r="AH49" s="1110">
        <v>1871</v>
      </c>
      <c r="AI49" s="238">
        <v>49</v>
      </c>
      <c r="AJ49" s="838"/>
      <c r="AK49" s="839"/>
      <c r="AL49" s="51">
        <f t="shared" si="0"/>
        <v>1.3802926829268292</v>
      </c>
      <c r="AM49" s="51">
        <f t="shared" si="1"/>
        <v>5.1728040882867754E-2</v>
      </c>
    </row>
    <row r="50" spans="1:39" x14ac:dyDescent="0.25">
      <c r="A50" s="71">
        <v>43890</v>
      </c>
      <c r="B50" s="72">
        <v>95.3</v>
      </c>
      <c r="C50" s="73">
        <v>129.63</v>
      </c>
      <c r="D50" s="147">
        <v>43874</v>
      </c>
      <c r="E50" s="75" t="s">
        <v>969</v>
      </c>
      <c r="F50" s="73">
        <v>457.26</v>
      </c>
      <c r="G50" s="147">
        <v>43999</v>
      </c>
      <c r="H50" s="75" t="s">
        <v>510</v>
      </c>
      <c r="I50" s="73">
        <v>19.84</v>
      </c>
      <c r="J50" s="234"/>
      <c r="K50" s="73"/>
      <c r="L50" s="71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20.02</v>
      </c>
      <c r="W50" s="894"/>
      <c r="X50" s="1199"/>
      <c r="Y50" s="73"/>
      <c r="Z50" s="894">
        <v>43922</v>
      </c>
      <c r="AA50" s="1199" t="s">
        <v>1008</v>
      </c>
      <c r="AB50" s="73">
        <v>110.26</v>
      </c>
      <c r="AC50" s="894"/>
      <c r="AD50" s="1199"/>
      <c r="AE50" s="73"/>
      <c r="AF50" s="1112">
        <v>0.19</v>
      </c>
      <c r="AG50" s="1113">
        <v>6.72</v>
      </c>
      <c r="AH50" s="1110">
        <v>1635</v>
      </c>
      <c r="AI50" s="238">
        <v>49</v>
      </c>
      <c r="AJ50" s="838"/>
      <c r="AK50" s="839"/>
      <c r="AL50" s="51">
        <f t="shared" si="0"/>
        <v>1.3602308499475342</v>
      </c>
      <c r="AM50" s="51">
        <f t="shared" si="1"/>
        <v>3.1666207903572774E-2</v>
      </c>
    </row>
    <row r="51" spans="1:39" x14ac:dyDescent="0.25">
      <c r="A51" s="71">
        <v>43921</v>
      </c>
      <c r="B51" s="72">
        <v>17</v>
      </c>
      <c r="C51" s="73">
        <v>22.91</v>
      </c>
      <c r="D51" s="147">
        <v>43930</v>
      </c>
      <c r="E51" s="75" t="s">
        <v>1062</v>
      </c>
      <c r="F51" s="73">
        <v>41.95</v>
      </c>
      <c r="G51" s="147">
        <v>44561</v>
      </c>
      <c r="H51" s="75" t="s">
        <v>510</v>
      </c>
      <c r="I51" s="73">
        <v>4.5</v>
      </c>
      <c r="J51" s="234"/>
      <c r="K51" s="73"/>
      <c r="L51" s="71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20.02</v>
      </c>
      <c r="W51" s="894"/>
      <c r="X51" s="1199"/>
      <c r="Y51" s="73"/>
      <c r="Z51" s="894">
        <v>44007</v>
      </c>
      <c r="AA51" s="1199" t="s">
        <v>1223</v>
      </c>
      <c r="AB51" s="73">
        <v>110.26</v>
      </c>
      <c r="AC51" s="894"/>
      <c r="AD51" s="1199"/>
      <c r="AE51" s="73"/>
      <c r="AF51" s="1112">
        <v>0.19</v>
      </c>
      <c r="AG51" s="1113">
        <v>6.72</v>
      </c>
      <c r="AH51" s="1110">
        <v>194</v>
      </c>
      <c r="AI51" s="238">
        <v>54</v>
      </c>
      <c r="AJ51" s="838"/>
      <c r="AK51" s="839"/>
      <c r="AL51" s="51">
        <f t="shared" si="0"/>
        <v>1.3476470588235294</v>
      </c>
      <c r="AM51" s="51">
        <f t="shared" si="1"/>
        <v>1.9082416779568012E-2</v>
      </c>
    </row>
    <row r="52" spans="1:39" x14ac:dyDescent="0.25">
      <c r="A52" s="71">
        <v>43951</v>
      </c>
      <c r="B52" s="72">
        <v>15</v>
      </c>
      <c r="C52" s="73">
        <v>20.21</v>
      </c>
      <c r="D52" s="147">
        <v>44001</v>
      </c>
      <c r="E52" s="75" t="s">
        <v>1145</v>
      </c>
      <c r="F52" s="73">
        <v>849.82</v>
      </c>
      <c r="G52" s="147"/>
      <c r="H52" s="75"/>
      <c r="I52" s="73"/>
      <c r="J52" s="234"/>
      <c r="K52" s="73"/>
      <c r="L52" s="71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20.02</v>
      </c>
      <c r="W52" s="894"/>
      <c r="X52" s="1199"/>
      <c r="Y52" s="73"/>
      <c r="Z52" s="894">
        <v>44091</v>
      </c>
      <c r="AA52" s="1199" t="s">
        <v>1222</v>
      </c>
      <c r="AB52" s="73">
        <v>110.26</v>
      </c>
      <c r="AC52" s="894"/>
      <c r="AD52" s="1199"/>
      <c r="AE52" s="73"/>
      <c r="AF52" s="1112">
        <v>0.19</v>
      </c>
      <c r="AG52" s="1113">
        <v>6.72</v>
      </c>
      <c r="AH52" s="1110">
        <v>252</v>
      </c>
      <c r="AI52" s="238">
        <v>39</v>
      </c>
      <c r="AJ52" s="838"/>
      <c r="AK52" s="839"/>
      <c r="AL52" s="51">
        <f t="shared" si="0"/>
        <v>1.3473333333333335</v>
      </c>
      <c r="AM52" s="51">
        <f t="shared" si="1"/>
        <v>1.8768691289372086E-2</v>
      </c>
    </row>
    <row r="53" spans="1:39" x14ac:dyDescent="0.25">
      <c r="A53" s="71">
        <v>43982</v>
      </c>
      <c r="B53" s="72">
        <v>12</v>
      </c>
      <c r="C53" s="73">
        <v>15.37</v>
      </c>
      <c r="D53" s="147"/>
      <c r="E53" s="75"/>
      <c r="F53" s="73"/>
      <c r="G53" s="147"/>
      <c r="H53" s="75"/>
      <c r="I53" s="73"/>
      <c r="J53" s="234"/>
      <c r="K53" s="73"/>
      <c r="L53" s="71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0.19</v>
      </c>
      <c r="AG53" s="1113">
        <v>6.72</v>
      </c>
      <c r="AH53" s="1110">
        <v>107</v>
      </c>
      <c r="AI53" s="238">
        <v>54</v>
      </c>
      <c r="AJ53" s="838"/>
      <c r="AK53" s="839"/>
      <c r="AL53" s="51">
        <f t="shared" si="0"/>
        <v>1.2808333333333333</v>
      </c>
      <c r="AM53" s="51">
        <f t="shared" si="1"/>
        <v>-4.773130871062814E-2</v>
      </c>
    </row>
    <row r="54" spans="1:39" x14ac:dyDescent="0.25">
      <c r="A54" s="71">
        <v>44012</v>
      </c>
      <c r="B54" s="72">
        <v>12</v>
      </c>
      <c r="C54" s="73">
        <v>15.37</v>
      </c>
      <c r="D54" s="147"/>
      <c r="E54" s="75"/>
      <c r="F54" s="73"/>
      <c r="G54" s="147"/>
      <c r="H54" s="75"/>
      <c r="I54" s="73"/>
      <c r="J54" s="234"/>
      <c r="K54" s="73"/>
      <c r="L54" s="71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0.2</v>
      </c>
      <c r="AG54" s="1113">
        <v>6.73</v>
      </c>
      <c r="AH54" s="1110">
        <v>163</v>
      </c>
      <c r="AI54" s="238">
        <v>42</v>
      </c>
      <c r="AJ54" s="838"/>
      <c r="AK54" s="839"/>
      <c r="AL54" s="51">
        <f t="shared" si="0"/>
        <v>1.2808333333333333</v>
      </c>
      <c r="AM54" s="51">
        <f t="shared" si="1"/>
        <v>-4.773130871062814E-2</v>
      </c>
    </row>
    <row r="55" spans="1:39" x14ac:dyDescent="0.25">
      <c r="A55" s="71">
        <v>44043</v>
      </c>
      <c r="B55" s="72">
        <v>0</v>
      </c>
      <c r="C55" s="73">
        <v>0</v>
      </c>
      <c r="D55" s="147"/>
      <c r="E55" s="75"/>
      <c r="F55" s="73"/>
      <c r="G55" s="147"/>
      <c r="H55" s="75"/>
      <c r="I55" s="73"/>
      <c r="J55" s="234"/>
      <c r="K55" s="73"/>
      <c r="L55" s="71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0.2</v>
      </c>
      <c r="AG55" s="1113">
        <v>6.73</v>
      </c>
      <c r="AH55" s="1110">
        <v>0</v>
      </c>
      <c r="AI55" s="238">
        <v>42</v>
      </c>
      <c r="AJ55" s="838"/>
      <c r="AK55" s="839"/>
      <c r="AL55" s="51" t="e">
        <f t="shared" si="0"/>
        <v>#DIV/0!</v>
      </c>
      <c r="AM55" s="51" t="e">
        <f t="shared" si="1"/>
        <v>#DIV/0!</v>
      </c>
    </row>
    <row r="56" spans="1:39" x14ac:dyDescent="0.25">
      <c r="A56" s="71">
        <v>44074</v>
      </c>
      <c r="B56" s="72">
        <v>0</v>
      </c>
      <c r="C56" s="73">
        <v>0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0.21</v>
      </c>
      <c r="AG56" s="1113">
        <v>6.72</v>
      </c>
      <c r="AH56" s="1110">
        <v>0</v>
      </c>
      <c r="AI56" s="238">
        <v>42</v>
      </c>
      <c r="AJ56" s="838"/>
      <c r="AK56" s="839"/>
      <c r="AL56" s="51" t="e">
        <f t="shared" si="0"/>
        <v>#DIV/0!</v>
      </c>
      <c r="AM56" s="51" t="e">
        <f t="shared" si="1"/>
        <v>#DIV/0!</v>
      </c>
    </row>
    <row r="57" spans="1:39" x14ac:dyDescent="0.25">
      <c r="A57" s="71">
        <v>44104</v>
      </c>
      <c r="B57" s="72">
        <v>5</v>
      </c>
      <c r="C57" s="73">
        <v>6.4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0.21</v>
      </c>
      <c r="AG57" s="1113">
        <v>6.73</v>
      </c>
      <c r="AH57" s="1110">
        <v>45</v>
      </c>
      <c r="AI57" s="238">
        <v>37</v>
      </c>
      <c r="AJ57" s="838"/>
      <c r="AK57" s="839"/>
      <c r="AL57" s="51">
        <f t="shared" si="0"/>
        <v>1.28</v>
      </c>
      <c r="AM57" s="51">
        <f t="shared" si="1"/>
        <v>-4.8564642043961381E-2</v>
      </c>
    </row>
    <row r="58" spans="1:39" x14ac:dyDescent="0.25">
      <c r="A58" s="71">
        <v>44135</v>
      </c>
      <c r="B58" s="72">
        <v>3</v>
      </c>
      <c r="C58" s="73">
        <v>3.84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0.21</v>
      </c>
      <c r="AG58" s="1113">
        <v>6.72</v>
      </c>
      <c r="AH58" s="1110">
        <v>33</v>
      </c>
      <c r="AI58" s="238">
        <v>34</v>
      </c>
      <c r="AJ58" s="838"/>
      <c r="AK58" s="839"/>
      <c r="AL58" s="51">
        <f t="shared" si="0"/>
        <v>1.28</v>
      </c>
      <c r="AM58" s="51">
        <f t="shared" si="1"/>
        <v>-4.8564642043961381E-2</v>
      </c>
    </row>
    <row r="59" spans="1:39" x14ac:dyDescent="0.25">
      <c r="A59" s="71">
        <v>44165</v>
      </c>
      <c r="B59" s="72">
        <v>7.45</v>
      </c>
      <c r="C59" s="73">
        <v>8.57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0.21</v>
      </c>
      <c r="AG59" s="1113">
        <v>6.72</v>
      </c>
      <c r="AH59" s="1110">
        <v>64</v>
      </c>
      <c r="AI59" s="238">
        <v>54</v>
      </c>
      <c r="AJ59" s="838"/>
      <c r="AK59" s="839"/>
      <c r="AL59" s="51">
        <f t="shared" si="0"/>
        <v>1.1503355704697986</v>
      </c>
      <c r="AM59" s="51">
        <f t="shared" si="1"/>
        <v>-0.17822907157416279</v>
      </c>
    </row>
    <row r="60" spans="1:39" x14ac:dyDescent="0.25">
      <c r="A60" s="71">
        <v>44561</v>
      </c>
      <c r="B60" s="72">
        <v>14.36</v>
      </c>
      <c r="C60" s="73">
        <v>16.79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0.21</v>
      </c>
      <c r="AG60" s="1113">
        <v>6.73</v>
      </c>
      <c r="AH60" s="1110">
        <v>103</v>
      </c>
      <c r="AI60" s="238">
        <v>54</v>
      </c>
      <c r="AJ60" s="838"/>
      <c r="AK60" s="839"/>
      <c r="AL60" s="51">
        <f t="shared" si="0"/>
        <v>1.1692200557103063</v>
      </c>
      <c r="AM60" s="51">
        <f t="shared" si="1"/>
        <v>-0.15934458633365511</v>
      </c>
    </row>
    <row r="61" spans="1:39" x14ac:dyDescent="0.25">
      <c r="A61" s="71">
        <v>44227</v>
      </c>
      <c r="B61" s="72">
        <v>8.4</v>
      </c>
      <c r="C61" s="73">
        <v>9.91</v>
      </c>
      <c r="D61" s="147"/>
      <c r="E61" s="75"/>
      <c r="F61" s="73"/>
      <c r="G61" s="147"/>
      <c r="H61" s="75"/>
      <c r="I61" s="73"/>
      <c r="J61" s="234"/>
      <c r="K61" s="73"/>
      <c r="L61" s="1609">
        <v>44225</v>
      </c>
      <c r="M61" s="73">
        <v>8.4</v>
      </c>
      <c r="N61" s="894"/>
      <c r="O61" s="73"/>
      <c r="P61" s="71"/>
      <c r="Q61" s="73"/>
      <c r="R61" s="71"/>
      <c r="S61" s="73"/>
      <c r="T61" s="894"/>
      <c r="U61" s="1199"/>
      <c r="V61" s="73"/>
      <c r="W61" s="894">
        <v>44312</v>
      </c>
      <c r="X61" s="1199" t="s">
        <v>1329</v>
      </c>
      <c r="Y61" s="73">
        <v>40</v>
      </c>
      <c r="Z61" s="894">
        <v>44197</v>
      </c>
      <c r="AA61" s="1199" t="s">
        <v>1517</v>
      </c>
      <c r="AB61" s="73">
        <v>110.26</v>
      </c>
      <c r="AC61" s="894"/>
      <c r="AD61" s="1199"/>
      <c r="AE61" s="73"/>
      <c r="AF61" s="1112">
        <v>0.21</v>
      </c>
      <c r="AG61" s="1113">
        <v>6.73</v>
      </c>
      <c r="AH61" s="1110">
        <v>11</v>
      </c>
      <c r="AI61" s="238">
        <v>52</v>
      </c>
      <c r="AJ61" s="838"/>
      <c r="AK61" s="839"/>
      <c r="AL61" s="51">
        <f t="shared" si="0"/>
        <v>1.1797619047619048</v>
      </c>
      <c r="AM61" s="51">
        <f t="shared" si="1"/>
        <v>-0.14880273728205662</v>
      </c>
    </row>
    <row r="62" spans="1:39" x14ac:dyDescent="0.25">
      <c r="A62" s="71">
        <v>44255</v>
      </c>
      <c r="B62" s="72">
        <v>5.57</v>
      </c>
      <c r="C62" s="73">
        <v>6.68</v>
      </c>
      <c r="D62" s="147"/>
      <c r="E62" s="75"/>
      <c r="F62" s="73"/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>
        <v>44378</v>
      </c>
      <c r="U62" s="1199" t="s">
        <v>1402</v>
      </c>
      <c r="V62" s="73">
        <v>20.02</v>
      </c>
      <c r="W62" s="894"/>
      <c r="X62" s="1199"/>
      <c r="Y62" s="73"/>
      <c r="Z62" s="894">
        <v>44287</v>
      </c>
      <c r="AA62" s="1199" t="s">
        <v>1518</v>
      </c>
      <c r="AB62" s="73">
        <v>110.26</v>
      </c>
      <c r="AC62" s="894"/>
      <c r="AD62" s="1199"/>
      <c r="AE62" s="73"/>
      <c r="AF62" s="1112">
        <v>0.21</v>
      </c>
      <c r="AG62" s="1113">
        <v>6.74</v>
      </c>
      <c r="AH62" s="1110">
        <v>62</v>
      </c>
      <c r="AI62" s="238">
        <v>54</v>
      </c>
      <c r="AJ62" s="838"/>
      <c r="AK62" s="839"/>
      <c r="AL62" s="51">
        <f t="shared" si="0"/>
        <v>1.1992818671454217</v>
      </c>
      <c r="AM62" s="51">
        <f t="shared" si="1"/>
        <v>-0.12928277489853968</v>
      </c>
    </row>
    <row r="63" spans="1:39" x14ac:dyDescent="0.25">
      <c r="A63" s="71">
        <v>44286</v>
      </c>
      <c r="B63" s="72">
        <v>4.55</v>
      </c>
      <c r="C63" s="73">
        <v>5.51</v>
      </c>
      <c r="D63" s="147"/>
      <c r="E63" s="75"/>
      <c r="F63" s="73"/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>
        <v>44378</v>
      </c>
      <c r="AA63" s="1199" t="s">
        <v>1402</v>
      </c>
      <c r="AB63" s="73">
        <v>110.26</v>
      </c>
      <c r="AC63" s="894"/>
      <c r="AD63" s="1199"/>
      <c r="AE63" s="73"/>
      <c r="AF63" s="1112">
        <v>0.21</v>
      </c>
      <c r="AG63" s="1113">
        <v>6.74</v>
      </c>
      <c r="AH63" s="1110">
        <v>48</v>
      </c>
      <c r="AI63" s="238">
        <v>54</v>
      </c>
      <c r="AJ63" s="838"/>
      <c r="AK63" s="839"/>
      <c r="AL63" s="51">
        <f t="shared" si="0"/>
        <v>1.2109890109890109</v>
      </c>
      <c r="AM63" s="51">
        <f t="shared" si="1"/>
        <v>-0.1175756310549505</v>
      </c>
    </row>
    <row r="64" spans="1:39" x14ac:dyDescent="0.25">
      <c r="A64" s="71">
        <v>44316</v>
      </c>
      <c r="B64" s="72">
        <v>3</v>
      </c>
      <c r="C64" s="73">
        <v>3.63</v>
      </c>
      <c r="D64" s="147"/>
      <c r="E64" s="75"/>
      <c r="F64" s="73"/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>
        <v>44470</v>
      </c>
      <c r="AA64" s="1199" t="s">
        <v>1516</v>
      </c>
      <c r="AB64" s="73">
        <v>110.26</v>
      </c>
      <c r="AC64" s="894"/>
      <c r="AD64" s="1199"/>
      <c r="AE64" s="73"/>
      <c r="AF64" s="1112">
        <v>0.21</v>
      </c>
      <c r="AG64" s="1113">
        <v>6.74</v>
      </c>
      <c r="AH64" s="1110">
        <v>67</v>
      </c>
      <c r="AI64" s="238">
        <v>51</v>
      </c>
      <c r="AJ64" s="838"/>
      <c r="AK64" s="839"/>
      <c r="AL64" s="51">
        <f t="shared" si="0"/>
        <v>1.21</v>
      </c>
      <c r="AM64" s="51">
        <f t="shared" si="1"/>
        <v>-0.11856464204396144</v>
      </c>
    </row>
    <row r="65" spans="1:39" x14ac:dyDescent="0.25">
      <c r="A65" s="71">
        <v>44347</v>
      </c>
      <c r="B65" s="72">
        <v>4</v>
      </c>
      <c r="C65" s="73">
        <v>4.84</v>
      </c>
      <c r="D65" s="147"/>
      <c r="E65" s="75"/>
      <c r="F65" s="73"/>
      <c r="G65" s="147"/>
      <c r="H65" s="75"/>
      <c r="I65" s="73"/>
      <c r="J65" s="234"/>
      <c r="K65" s="73"/>
      <c r="L65" s="1609">
        <v>44320</v>
      </c>
      <c r="M65" s="73">
        <v>8.4</v>
      </c>
      <c r="N65" s="894">
        <v>44323</v>
      </c>
      <c r="O65" s="73">
        <v>50</v>
      </c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0.21</v>
      </c>
      <c r="AG65" s="1113">
        <v>6.74</v>
      </c>
      <c r="AH65" s="1110">
        <v>45</v>
      </c>
      <c r="AI65" s="238">
        <v>47</v>
      </c>
      <c r="AJ65" s="838"/>
      <c r="AK65" s="839"/>
      <c r="AL65" s="51">
        <f t="shared" si="0"/>
        <v>1.21</v>
      </c>
      <c r="AM65" s="51">
        <f t="shared" si="1"/>
        <v>-0.11856464204396144</v>
      </c>
    </row>
    <row r="66" spans="1:39" x14ac:dyDescent="0.25">
      <c r="A66" s="71">
        <v>44377</v>
      </c>
      <c r="B66" s="72">
        <v>26.11</v>
      </c>
      <c r="C66" s="73">
        <v>32.14</v>
      </c>
      <c r="D66" s="147"/>
      <c r="E66" s="75"/>
      <c r="F66" s="73"/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0.21</v>
      </c>
      <c r="AG66" s="1113">
        <v>6.76</v>
      </c>
      <c r="AH66" s="1110">
        <v>214</v>
      </c>
      <c r="AI66" s="238">
        <v>54</v>
      </c>
      <c r="AJ66" s="838"/>
      <c r="AK66" s="839"/>
      <c r="AL66" s="51">
        <f t="shared" si="0"/>
        <v>1.2309459977020298</v>
      </c>
      <c r="AM66" s="51">
        <f t="shared" si="1"/>
        <v>-9.7618644341931571E-2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ref="AF67:AF96" ca="1" si="2">$F$5</f>
        <v>0.21787569561559184</v>
      </c>
      <c r="AG67" s="1113">
        <f>SUM($B$9:B67)/($J$1-$B$4)*100</f>
        <v>6.7560932949705723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0.21787569561559184</v>
      </c>
      <c r="AG68" s="1113">
        <f>SUM($B$9:B68)/($J$1-$B$4)*100</f>
        <v>6.7560932949705723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0.21787569561559184</v>
      </c>
      <c r="AG69" s="1113">
        <f>SUM($B$9:B69)/($J$1-$B$4)*100</f>
        <v>6.7560932949705723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0.21787569561559184</v>
      </c>
      <c r="AG70" s="1113">
        <f>SUM($B$9:B70)/($J$1-$B$4)*100</f>
        <v>6.7560932949705723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0.21787569561559184</v>
      </c>
      <c r="AG71" s="1113">
        <f>SUM($B$9:B71)/($J$1-$B$4)*100</f>
        <v>6.7560932949705723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0.21787569561559184</v>
      </c>
      <c r="AG72" s="1113">
        <f>SUM($B$9:B72)/($J$1-$B$4)*100</f>
        <v>6.7560932949705723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>
        <v>44562</v>
      </c>
      <c r="AA73" s="1199" t="s">
        <v>1541</v>
      </c>
      <c r="AB73" s="73">
        <v>110.26</v>
      </c>
      <c r="AC73" s="894"/>
      <c r="AD73" s="1199"/>
      <c r="AE73" s="73"/>
      <c r="AF73" s="1112">
        <f t="shared" ca="1" si="2"/>
        <v>0.21787569561559184</v>
      </c>
      <c r="AG73" s="1113">
        <f>SUM($B$9:B73)/($J$1-$B$4)*100</f>
        <v>6.7560932949705723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0.21787569561559184</v>
      </c>
      <c r="AG74" s="1113">
        <f>SUM($B$9:B74)/($J$1-$B$4)*100</f>
        <v>6.7560932949705723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0.21787569561559184</v>
      </c>
      <c r="AG75" s="1113">
        <f>SUM($B$9:B75)/($J$1-$B$4)*100</f>
        <v>6.7560932949705723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0.21787569561559184</v>
      </c>
      <c r="AG76" s="1113">
        <f>SUM($B$9:B76)/($J$1-$B$4)*100</f>
        <v>6.7560932949705723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0.21787569561559184</v>
      </c>
      <c r="AG77" s="1113">
        <f>SUM($B$9:B77)/($J$1-$B$4)*100</f>
        <v>6.7560932949705723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0.21787569561559184</v>
      </c>
      <c r="AG78" s="1113">
        <f>SUM($B$9:B78)/($J$1-$B$4)*100</f>
        <v>6.7560932949705723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0.21787569561559184</v>
      </c>
      <c r="AG79" s="1113">
        <f>SUM($B$9:B79)/($J$1-$B$4)*100</f>
        <v>6.7560932949705723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161"/>
      <c r="H80" s="831"/>
      <c r="I80" s="835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0.21787569561559184</v>
      </c>
      <c r="AG80" s="1113">
        <f>SUM($B$9:B80)/($J$1-$B$4)*100</f>
        <v>6.7560932949705723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0.21787569561559184</v>
      </c>
      <c r="AG81" s="1113">
        <f>SUM($B$9:B81)/($J$1-$B$4)*100</f>
        <v>6.7560932949705723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0.21787569561559184</v>
      </c>
      <c r="AG82" s="1113">
        <f>SUM($B$9:B82)/($J$1-$B$4)*100</f>
        <v>6.7560932949705723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0.21787569561559184</v>
      </c>
      <c r="AG83" s="1113">
        <f>SUM($B$9:B83)/($J$1-$B$4)*100</f>
        <v>6.7560932949705723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0.21787569561559184</v>
      </c>
      <c r="AG84" s="1113">
        <f>SUM($B$9:B84)/($J$1-$B$4)*100</f>
        <v>6.7560932949705723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0.21787569561559184</v>
      </c>
      <c r="AG85" s="1113">
        <f>SUM($B$9:B85)/($J$1-$B$4)*100</f>
        <v>6.7560932949705723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0.21787569561559184</v>
      </c>
      <c r="AG86" s="1113">
        <f>SUM($B$9:B86)/($J$1-$B$4)*100</f>
        <v>6.7560932949705723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0.21787569561559184</v>
      </c>
      <c r="AG87" s="1113">
        <f>SUM($B$9:B87)/($J$1-$B$4)*100</f>
        <v>6.7560932949705723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0.21787569561559184</v>
      </c>
      <c r="AG88" s="1113">
        <f>SUM($B$9:B88)/($J$1-$B$4)*100</f>
        <v>6.7560932949705723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0.21787569561559184</v>
      </c>
      <c r="AG89" s="1113">
        <f>SUM($B$9:B89)/($J$1-$B$4)*100</f>
        <v>6.7560932949705723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0.21787569561559184</v>
      </c>
      <c r="AG90" s="1113">
        <f>SUM($B$9:B90)/($J$1-$B$4)*100</f>
        <v>6.7560932949705723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0.21787569561559184</v>
      </c>
      <c r="AG91" s="1113">
        <f>SUM($B$9:B91)/($J$1-$B$4)*100</f>
        <v>6.7560932949705723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0.21787569561559184</v>
      </c>
      <c r="AG92" s="1113">
        <f>SUM($B$9:B92)/($J$1-$B$4)*100</f>
        <v>6.7560932949705723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0.21787569561559184</v>
      </c>
      <c r="AG93" s="1113">
        <f>SUM($B$9:B93)/($J$1-$B$4)*100</f>
        <v>6.7560932949705723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0.21787569561559184</v>
      </c>
      <c r="AG94" s="1113">
        <f>SUM($B$9:B94)/($J$1-$B$4)*100</f>
        <v>6.7560932949705723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0.21787569561559184</v>
      </c>
      <c r="AG95" s="1113">
        <f>SUM($B$9:B95)/($J$1-$B$4)*100</f>
        <v>6.7560932949705723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0.21787569561559184</v>
      </c>
      <c r="AG96" s="1113">
        <f>SUM($B$9:B96)/($J$1-$B$4)*100</f>
        <v>6.7560932949705723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0.19336671441440628</v>
      </c>
      <c r="AG98" s="1109">
        <f>AVERAGE(AG9:AG97)</f>
        <v>6.9448045323763381</v>
      </c>
      <c r="AH98" s="1228">
        <f ca="1">SUMIFS($AH$9:$AH$97,$A$9:$A$97,"&gt;="&amp;$C99,$A$9:$A$97,"&lt;="&amp;$D99)</f>
        <v>4914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0.8107629638759688</v>
      </c>
      <c r="G99" s="1208">
        <f ca="1">J4+C101+F101+I101+K101+M101+O101+Q101+S101+V101+Y101+AB101+AE101</f>
        <v>1.0000000000000002</v>
      </c>
      <c r="H99" s="1210" t="s">
        <v>962</v>
      </c>
      <c r="I99" s="1207">
        <f ca="1">F99-F5</f>
        <v>0.59288726826037697</v>
      </c>
      <c r="J99" s="1303">
        <f ca="1">(F99/F5)-1</f>
        <v>2.7212180164713526</v>
      </c>
      <c r="K99" s="2253">
        <f ca="1">((D99-C99)/(365.25/12)*F3)+C102+F102+I102+K102+M102+O102+Q102+S102+AE106</f>
        <v>6753.3102531645582</v>
      </c>
      <c r="L99" s="2253"/>
      <c r="M99" s="1472" t="s">
        <v>1135</v>
      </c>
      <c r="N99" s="1470"/>
      <c r="O99" s="1471"/>
      <c r="P99" s="1189">
        <f ca="1">K99/AH98</f>
        <v>1.3743000108189984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7.94</v>
      </c>
      <c r="AH99" s="1226">
        <f>AVERAGE(AH9:AH97)</f>
        <v>1873.0740740740741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9.0207570207570198E-2</v>
      </c>
      <c r="D100" s="2252" t="s">
        <v>879</v>
      </c>
      <c r="E100" s="2246"/>
      <c r="F100" s="1180">
        <f ca="1">F102/$AH$98</f>
        <v>0.33419006919006922</v>
      </c>
      <c r="G100" s="2252" t="s">
        <v>881</v>
      </c>
      <c r="H100" s="2246"/>
      <c r="I100" s="1180">
        <f ca="1">I102/$AH$98</f>
        <v>1.522995522995523E-2</v>
      </c>
      <c r="J100" s="1181" t="s">
        <v>898</v>
      </c>
      <c r="K100" s="1180">
        <f ca="1">K102/$AH$98</f>
        <v>6.6178266178266174E-3</v>
      </c>
      <c r="L100" s="1181" t="s">
        <v>883</v>
      </c>
      <c r="M100" s="1180">
        <f ca="1">M102/$AH$98</f>
        <v>4.444444444444446E-2</v>
      </c>
      <c r="N100" s="1181" t="s">
        <v>908</v>
      </c>
      <c r="O100" s="1180">
        <f ca="1">O102/$AH$98</f>
        <v>2.0350020350020349E-2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2.0370370370370369E-2</v>
      </c>
      <c r="W100" s="2252" t="s">
        <v>912</v>
      </c>
      <c r="X100" s="2246"/>
      <c r="Y100" s="1180">
        <f ca="1">Y102/$AH$98</f>
        <v>1.6280016280016279E-2</v>
      </c>
      <c r="Z100" s="2252" t="s">
        <v>889</v>
      </c>
      <c r="AA100" s="2246"/>
      <c r="AB100" s="1180">
        <f ca="1">AB102/$AH$98</f>
        <v>0.20194139194139193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6.8221408221408222</v>
      </c>
      <c r="C101" s="1183">
        <f ca="1">C100/$F$99</f>
        <v>0.1112625689958998</v>
      </c>
      <c r="D101" s="1184"/>
      <c r="E101" s="1185"/>
      <c r="F101" s="1183">
        <f ca="1">F100/$F$99</f>
        <v>0.412192075958213</v>
      </c>
      <c r="G101" s="1184"/>
      <c r="H101" s="1185"/>
      <c r="I101" s="1183">
        <f ca="1">I100/$F$99</f>
        <v>1.8784719959513495E-2</v>
      </c>
      <c r="J101" s="1243">
        <f ca="1">COUNTIFS(J9:J97,"&gt;="&amp;$C$99,J9:J97,"&lt;=" &amp;$D$99)</f>
        <v>5</v>
      </c>
      <c r="K101" s="1183">
        <f ca="1">K100/$F$99</f>
        <v>8.162467839168611E-3</v>
      </c>
      <c r="L101" s="1184"/>
      <c r="M101" s="1183">
        <f ca="1">M100/$F$99</f>
        <v>5.4818049694785528E-2</v>
      </c>
      <c r="N101" s="1184"/>
      <c r="O101" s="1183">
        <f ca="1">O100/$F$99</f>
        <v>2.5099839603839515E-2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2.5124939443443354E-2</v>
      </c>
      <c r="W101" s="1184"/>
      <c r="X101" s="1185"/>
      <c r="Y101" s="1183">
        <f ca="1">Y100/$F$99</f>
        <v>2.0079871683071612E-2</v>
      </c>
      <c r="Z101" s="1184"/>
      <c r="AA101" s="1185"/>
      <c r="AB101" s="1183">
        <f ca="1">AB100/$F$99</f>
        <v>0.24907574832474105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335.24</v>
      </c>
      <c r="C102" s="1197">
        <f ca="1">SUMIFS($C$9:$C$97,$A$9:$A$97,"&gt;="&amp;$C99,$A$9:$A$97,"&lt;="&amp;$D99)</f>
        <v>443.28</v>
      </c>
      <c r="D102" s="2251" t="s">
        <v>880</v>
      </c>
      <c r="E102" s="2250"/>
      <c r="F102" s="1197">
        <f ca="1">SUMIFS($F$9:$F$97,$D$9:$D$97,"&gt;="&amp;$C99,$D$9:$D$97,"&lt;="&amp;$D99)</f>
        <v>1642.21</v>
      </c>
      <c r="G102" s="2251" t="s">
        <v>882</v>
      </c>
      <c r="H102" s="2250"/>
      <c r="I102" s="1197">
        <f ca="1">SUMIFS($I$9:$I$97,$G$9:$G$97,"&gt;="&amp;$C99,$G$9:$G$97,"&lt;="&amp;$D99)</f>
        <v>74.84</v>
      </c>
      <c r="J102" s="1157" t="s">
        <v>899</v>
      </c>
      <c r="K102" s="1158">
        <f ca="1">SUMIFS(K9:K97,J9:J97,"&gt;="&amp;$C99,J9:J97,"&lt;="&amp;$D99)</f>
        <v>32.519999999999996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100.1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992.34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4.4850350708834641E-4</v>
      </c>
      <c r="D103" s="1205" t="s">
        <v>897</v>
      </c>
      <c r="E103" s="1195"/>
      <c r="F103" s="1206">
        <f ca="1">F100-F6</f>
        <v>0.30245337257039728</v>
      </c>
      <c r="G103" s="1204" t="s">
        <v>897</v>
      </c>
      <c r="H103" s="1195"/>
      <c r="I103" s="1203">
        <f ca="1">I100-I6</f>
        <v>1.3367958574755626E-2</v>
      </c>
      <c r="J103" s="1205" t="s">
        <v>897</v>
      </c>
      <c r="K103" s="1206">
        <f ca="1">K100-K6</f>
        <v>4.9588749441266278E-3</v>
      </c>
      <c r="L103" s="1204" t="s">
        <v>897</v>
      </c>
      <c r="M103" s="1203">
        <f ca="1">M100-M6</f>
        <v>3.8774574510387294E-2</v>
      </c>
      <c r="N103" s="1205" t="s">
        <v>897</v>
      </c>
      <c r="O103" s="1206">
        <f ca="1">O100-O6</f>
        <v>1.8616963150467479E-2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1.7230590641940432E-2</v>
      </c>
      <c r="W103" s="1205" t="s">
        <v>897</v>
      </c>
      <c r="X103" s="1195"/>
      <c r="Y103" s="1206">
        <f ca="1">Y100-Y6</f>
        <v>1.4893570520373982E-2</v>
      </c>
      <c r="Z103" s="1205" t="s">
        <v>897</v>
      </c>
      <c r="AA103" s="1195"/>
      <c r="AB103" s="1206">
        <f ca="1">AB100-AB6</f>
        <v>0.18214285984083994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0.2385917785917786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0.29428055945125603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1172.44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s="52" customFormat="1" x14ac:dyDescent="0.25">
      <c r="A108" s="478">
        <v>43332</v>
      </c>
      <c r="B108" s="6" t="s">
        <v>376</v>
      </c>
      <c r="C108" s="6"/>
      <c r="D108" s="750" t="s">
        <v>392</v>
      </c>
      <c r="E108" s="776">
        <v>147376</v>
      </c>
      <c r="F108" s="764">
        <v>340.25</v>
      </c>
      <c r="G108" s="6" t="s">
        <v>378</v>
      </c>
      <c r="H108" s="6"/>
      <c r="I108" s="6"/>
      <c r="J108" s="229"/>
      <c r="L108" s="433"/>
      <c r="M108" s="479"/>
      <c r="N108" s="479"/>
    </row>
    <row r="109" spans="1:38" s="52" customFormat="1" x14ac:dyDescent="0.25">
      <c r="A109" s="478">
        <v>43356</v>
      </c>
      <c r="B109" s="6" t="s">
        <v>376</v>
      </c>
      <c r="C109" s="6"/>
      <c r="D109" s="750" t="s">
        <v>420</v>
      </c>
      <c r="E109" s="776">
        <v>149100</v>
      </c>
      <c r="F109" s="764">
        <v>139.97</v>
      </c>
      <c r="G109" s="6" t="s">
        <v>421</v>
      </c>
      <c r="H109" s="6"/>
      <c r="I109" s="6"/>
      <c r="J109" s="229"/>
      <c r="L109" s="433"/>
      <c r="M109" s="479"/>
      <c r="N109" s="479"/>
    </row>
    <row r="110" spans="1:38" s="52" customFormat="1" x14ac:dyDescent="0.25">
      <c r="A110" s="478">
        <v>43410</v>
      </c>
      <c r="B110" s="6" t="s">
        <v>385</v>
      </c>
      <c r="C110" s="6"/>
      <c r="D110" s="750" t="s">
        <v>479</v>
      </c>
      <c r="E110" s="776">
        <v>151691</v>
      </c>
      <c r="F110" s="764">
        <v>236.94</v>
      </c>
      <c r="G110" s="6" t="s">
        <v>480</v>
      </c>
      <c r="H110" s="6"/>
      <c r="I110" s="6"/>
      <c r="J110" s="229"/>
      <c r="L110" s="433"/>
      <c r="M110" s="479"/>
      <c r="N110" s="479"/>
    </row>
    <row r="111" spans="1:38" s="52" customFormat="1" x14ac:dyDescent="0.25">
      <c r="A111" s="478">
        <v>43648</v>
      </c>
      <c r="B111" s="6" t="s">
        <v>376</v>
      </c>
      <c r="C111" s="6"/>
      <c r="D111" s="750" t="s">
        <v>671</v>
      </c>
      <c r="E111" s="776">
        <v>177138</v>
      </c>
      <c r="F111" s="764">
        <v>341.68</v>
      </c>
      <c r="G111" s="6" t="s">
        <v>378</v>
      </c>
      <c r="H111" s="6"/>
      <c r="I111" s="6"/>
      <c r="J111" s="229"/>
      <c r="L111" s="433"/>
      <c r="M111" s="479"/>
      <c r="N111" s="479"/>
    </row>
    <row r="112" spans="1:38" s="7" customFormat="1" x14ac:dyDescent="0.25">
      <c r="A112" s="799">
        <v>43719</v>
      </c>
      <c r="B112" s="750" t="s">
        <v>744</v>
      </c>
      <c r="C112" s="750"/>
      <c r="D112" s="750" t="s">
        <v>779</v>
      </c>
      <c r="E112" s="776">
        <v>180000</v>
      </c>
      <c r="F112" s="764">
        <v>49.5</v>
      </c>
      <c r="G112" s="750" t="s">
        <v>725</v>
      </c>
      <c r="I112" s="1138"/>
      <c r="J112" s="918"/>
      <c r="L112" s="776"/>
      <c r="M112" s="909"/>
      <c r="N112" s="909"/>
    </row>
    <row r="113" spans="1:16" s="52" customFormat="1" x14ac:dyDescent="0.25">
      <c r="A113" s="478">
        <v>43747</v>
      </c>
      <c r="B113" s="6" t="s">
        <v>385</v>
      </c>
      <c r="C113" s="6"/>
      <c r="D113" s="750" t="s">
        <v>804</v>
      </c>
      <c r="E113" s="776">
        <v>184805</v>
      </c>
      <c r="F113" s="764">
        <v>41.95</v>
      </c>
      <c r="G113" s="750" t="s">
        <v>614</v>
      </c>
      <c r="H113" s="6"/>
      <c r="I113" s="6"/>
      <c r="J113" s="229"/>
      <c r="L113" s="433"/>
      <c r="M113" s="479"/>
      <c r="N113" s="479"/>
    </row>
    <row r="114" spans="1:16" s="800" customFormat="1" x14ac:dyDescent="0.25">
      <c r="A114" s="799">
        <v>43850</v>
      </c>
      <c r="B114" s="750" t="s">
        <v>376</v>
      </c>
      <c r="C114" s="750"/>
      <c r="D114" s="750" t="s">
        <v>862</v>
      </c>
      <c r="E114" s="776">
        <v>193282</v>
      </c>
      <c r="F114" s="764">
        <v>293.18</v>
      </c>
      <c r="G114" s="750" t="s">
        <v>750</v>
      </c>
      <c r="H114" s="750"/>
      <c r="I114" s="750" t="s">
        <v>861</v>
      </c>
      <c r="J114" s="764"/>
      <c r="L114" s="801"/>
      <c r="M114" s="802"/>
      <c r="N114" s="802"/>
    </row>
    <row r="115" spans="1:16" s="800" customFormat="1" x14ac:dyDescent="0.25">
      <c r="A115" s="799">
        <v>43872</v>
      </c>
      <c r="B115" s="750" t="s">
        <v>376</v>
      </c>
      <c r="C115" s="750"/>
      <c r="D115" s="750" t="s">
        <v>970</v>
      </c>
      <c r="E115" s="776">
        <v>195737</v>
      </c>
      <c r="F115" s="764">
        <v>457.26</v>
      </c>
      <c r="G115" s="750" t="s">
        <v>840</v>
      </c>
      <c r="H115" s="750"/>
      <c r="I115" s="750" t="s">
        <v>971</v>
      </c>
      <c r="J115" s="764"/>
      <c r="L115" s="801"/>
      <c r="M115" s="802"/>
      <c r="N115" s="802"/>
    </row>
    <row r="116" spans="1:16" s="52" customFormat="1" x14ac:dyDescent="0.25">
      <c r="A116" s="478">
        <v>43930</v>
      </c>
      <c r="B116" s="6" t="s">
        <v>385</v>
      </c>
      <c r="C116" s="6"/>
      <c r="D116" s="750" t="s">
        <v>1061</v>
      </c>
      <c r="E116" s="776">
        <v>196828</v>
      </c>
      <c r="F116" s="764">
        <v>41.95</v>
      </c>
      <c r="G116" s="750" t="s">
        <v>614</v>
      </c>
      <c r="H116" s="6"/>
      <c r="I116" s="6" t="s">
        <v>1060</v>
      </c>
      <c r="J116" s="229"/>
      <c r="L116" s="433"/>
      <c r="M116" s="479"/>
      <c r="N116" s="479"/>
    </row>
    <row r="117" spans="1:16" s="800" customFormat="1" x14ac:dyDescent="0.25">
      <c r="A117" s="799">
        <v>44000</v>
      </c>
      <c r="B117" s="750" t="s">
        <v>376</v>
      </c>
      <c r="C117" s="750"/>
      <c r="D117" s="750" t="s">
        <v>1144</v>
      </c>
      <c r="E117" s="776">
        <v>197089</v>
      </c>
      <c r="F117" s="764">
        <v>849.82</v>
      </c>
      <c r="G117" s="750" t="s">
        <v>378</v>
      </c>
      <c r="H117" s="750"/>
      <c r="I117" s="750" t="s">
        <v>1143</v>
      </c>
      <c r="J117" s="764"/>
      <c r="L117" s="801"/>
      <c r="M117" s="802"/>
      <c r="N117" s="802"/>
    </row>
    <row r="118" spans="1:16" s="600" customFormat="1" x14ac:dyDescent="0.25">
      <c r="A118" s="827"/>
      <c r="B118" s="537"/>
      <c r="C118" s="537"/>
      <c r="D118" s="537"/>
      <c r="E118" s="596"/>
      <c r="F118" s="751"/>
      <c r="G118" s="537"/>
      <c r="H118" s="828"/>
      <c r="I118" s="828"/>
      <c r="J118" s="618"/>
      <c r="K118" s="828"/>
      <c r="L118" s="829"/>
      <c r="M118" s="830"/>
      <c r="N118" s="596"/>
      <c r="O118" s="597"/>
      <c r="P118" s="597"/>
    </row>
    <row r="119" spans="1:16" x14ac:dyDescent="0.25">
      <c r="E119" s="57"/>
      <c r="I119" s="6"/>
    </row>
    <row r="120" spans="1:16" x14ac:dyDescent="0.25">
      <c r="E120" s="57"/>
      <c r="I120" s="476"/>
    </row>
    <row r="121" spans="1:16" x14ac:dyDescent="0.25">
      <c r="E121" s="57"/>
      <c r="I121" s="476"/>
    </row>
  </sheetData>
  <sortState ref="G9:I24">
    <sortCondition ref="G9:G24"/>
  </sortState>
  <mergeCells count="44"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8:AD8"/>
    <mergeCell ref="D100:E100"/>
    <mergeCell ref="G100:H100"/>
    <mergeCell ref="T100:U100"/>
    <mergeCell ref="W100:X100"/>
    <mergeCell ref="Z100:AA100"/>
    <mergeCell ref="K99:L99"/>
    <mergeCell ref="H1:I1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</mergeCells>
  <conditionalFormatting sqref="AM9:AM44 AM97:AM98">
    <cfRule type="cellIs" dxfId="194" priority="3" operator="greaterThan">
      <formula>0</formula>
    </cfRule>
    <cfRule type="cellIs" dxfId="193" priority="4" operator="lessThan">
      <formula>0</formula>
    </cfRule>
  </conditionalFormatting>
  <conditionalFormatting sqref="AF9:AF96">
    <cfRule type="cellIs" dxfId="192" priority="5" operator="lessThan">
      <formula>$AF$98</formula>
    </cfRule>
    <cfRule type="cellIs" dxfId="191" priority="6" operator="greaterThan">
      <formula>$AF$98</formula>
    </cfRule>
  </conditionalFormatting>
  <conditionalFormatting sqref="AG9:AG96">
    <cfRule type="cellIs" dxfId="190" priority="7" operator="equal">
      <formula>$AG$99</formula>
    </cfRule>
    <cfRule type="cellIs" dxfId="189" priority="8" operator="lessThan">
      <formula>$AG$98</formula>
    </cfRule>
    <cfRule type="cellIs" dxfId="188" priority="9" operator="greaterThan">
      <formula>$AG$98</formula>
    </cfRule>
  </conditionalFormatting>
  <conditionalFormatting sqref="AM45:AM96">
    <cfRule type="cellIs" dxfId="187" priority="1" operator="greaterThan">
      <formula>0</formula>
    </cfRule>
    <cfRule type="cellIs" dxfId="186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tabColor rgb="FF92D050"/>
  </sheetPr>
  <dimension ref="A1:AM121"/>
  <sheetViews>
    <sheetView workbookViewId="0">
      <pane xSplit="1" ySplit="8" topLeftCell="R60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23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thickTop="1" thickBot="1" x14ac:dyDescent="0.3">
      <c r="A1" s="1166" t="s">
        <v>25</v>
      </c>
      <c r="B1" s="1569" t="s">
        <v>26</v>
      </c>
      <c r="C1" s="1569"/>
      <c r="D1" s="1569"/>
      <c r="E1" s="1569"/>
      <c r="F1" s="1569"/>
      <c r="G1" s="1569"/>
      <c r="H1" s="2243" t="s">
        <v>1163</v>
      </c>
      <c r="I1" s="2244"/>
      <c r="J1" s="1572">
        <v>136438</v>
      </c>
      <c r="K1" s="1573">
        <f>J1-B4</f>
        <v>46514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ht="16.5" thickTop="1" x14ac:dyDescent="0.25">
      <c r="A2" s="1167" t="s">
        <v>927</v>
      </c>
      <c r="B2" s="1251">
        <v>40844</v>
      </c>
      <c r="C2" s="1251">
        <v>40844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20000</v>
      </c>
      <c r="C3" s="2264"/>
      <c r="D3" s="1372" t="s">
        <v>874</v>
      </c>
      <c r="E3" s="1169"/>
      <c r="F3" s="1175">
        <f ca="1">B3/G2/12</f>
        <v>120.40150316455697</v>
      </c>
      <c r="G3" s="2267" t="s">
        <v>875</v>
      </c>
      <c r="H3" s="2267"/>
      <c r="I3" s="1371">
        <f ca="1">F3/(F4/((TODAY()-C2)/365.25*12))</f>
        <v>0.10564282132351976</v>
      </c>
      <c r="J3" s="1171">
        <f ca="1">I3/$F$5</f>
        <v>0.26938464073633217</v>
      </c>
      <c r="K3" s="1375">
        <f ca="1">(B3/G2/365.25)/(F4/(TODAY()-C2))</f>
        <v>0.10564282132351978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3.1090274235944911E-2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89924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140902</v>
      </c>
      <c r="G4" s="1172" t="s">
        <v>876</v>
      </c>
      <c r="H4" s="1173"/>
      <c r="I4" s="1224">
        <f>F4-B4</f>
        <v>50978</v>
      </c>
      <c r="J4" s="1227">
        <f ca="1">I3/F99</f>
        <v>0.29826402196764185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7.9278859183396722E-2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0.39216349170746029</v>
      </c>
      <c r="G5" s="1211">
        <f ca="1">J3+C7+F7+I7+K7+M7+O7+Q7+S7+V7+Y7+AB7+AE7</f>
        <v>1</v>
      </c>
      <c r="H5" s="1380">
        <f>B3+C8+F8+I8+K8+M8+O8+Q8+S8+AE5</f>
        <v>34152.46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1584.9199999999996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877</v>
      </c>
      <c r="B6" s="1179"/>
      <c r="C6" s="1180">
        <f>C8/$K$1</f>
        <v>0.10165563056284127</v>
      </c>
      <c r="D6" s="2252" t="s">
        <v>879</v>
      </c>
      <c r="E6" s="2246"/>
      <c r="F6" s="1180">
        <f>F8/$I$4</f>
        <v>0.11867943034250067</v>
      </c>
      <c r="G6" s="2252" t="s">
        <v>881</v>
      </c>
      <c r="H6" s="2246"/>
      <c r="I6" s="1180">
        <f>I8/$I$4</f>
        <v>1.8317117187806507E-2</v>
      </c>
      <c r="J6" s="1181" t="s">
        <v>898</v>
      </c>
      <c r="K6" s="1180">
        <f>K8/$I$4</f>
        <v>8.2388481305661272E-5</v>
      </c>
      <c r="L6" s="1181" t="s">
        <v>883</v>
      </c>
      <c r="M6" s="1180">
        <f>M8/$I$4</f>
        <v>1.2772568558986213E-2</v>
      </c>
      <c r="N6" s="1181" t="s">
        <v>908</v>
      </c>
      <c r="O6" s="1180">
        <f>O8/$I$4</f>
        <v>3.9232610145552987E-3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5.2603083683157434E-3</v>
      </c>
      <c r="W6" s="2252" t="s">
        <v>912</v>
      </c>
      <c r="X6" s="2246"/>
      <c r="Y6" s="1180">
        <f>Y8/$I$4</f>
        <v>3.1386088116442386E-3</v>
      </c>
      <c r="Z6" s="2255" t="s">
        <v>1152</v>
      </c>
      <c r="AA6" s="2256"/>
      <c r="AB6" s="1180">
        <f>AB8/$I$4</f>
        <v>2.2691357055984931E-2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f>B8/K1*100</f>
        <v>7.6428602141290787</v>
      </c>
      <c r="C7" s="1183">
        <f ca="1">C6/$F$5</f>
        <v>0.25921747616086782</v>
      </c>
      <c r="D7" s="1184"/>
      <c r="E7" s="1185"/>
      <c r="F7" s="1183">
        <f ca="1">F6/$F$5</f>
        <v>0.30262743180344592</v>
      </c>
      <c r="G7" s="1184"/>
      <c r="H7" s="1185"/>
      <c r="I7" s="1183">
        <f ca="1">I6/$F$5</f>
        <v>4.6707859286071463E-2</v>
      </c>
      <c r="J7" s="1243">
        <f>COUNT(J9:J97)</f>
        <v>1</v>
      </c>
      <c r="K7" s="1183">
        <f ca="1">K6/$F$5</f>
        <v>2.1008707604817044E-4</v>
      </c>
      <c r="L7" s="1184"/>
      <c r="M7" s="1183">
        <f ca="1">M6/$F$5</f>
        <v>3.2569499275353464E-2</v>
      </c>
      <c r="N7" s="1184"/>
      <c r="O7" s="1183">
        <f ca="1">O6/$F$5</f>
        <v>1.0004146478484308E-2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1.3413559598351756E-2</v>
      </c>
      <c r="W7" s="1184"/>
      <c r="X7" s="1185"/>
      <c r="Y7" s="1183">
        <f ca="1">Y6/$F$5</f>
        <v>8.0033171827874443E-3</v>
      </c>
      <c r="Z7" s="1184"/>
      <c r="AA7" s="1185"/>
      <c r="AB7" s="1183">
        <f ca="1">AB6/$F$5</f>
        <v>5.7861982402257525E-2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3554.9999999999995</v>
      </c>
      <c r="C8" s="1156">
        <f>SUM(C9:C97)</f>
        <v>4728.4099999999989</v>
      </c>
      <c r="D8" s="2251" t="s">
        <v>880</v>
      </c>
      <c r="E8" s="2250"/>
      <c r="F8" s="1158">
        <f>SUM(F9:F97)</f>
        <v>6050.0399999999991</v>
      </c>
      <c r="G8" s="2251" t="s">
        <v>882</v>
      </c>
      <c r="H8" s="2250"/>
      <c r="I8" s="1158">
        <f>SUM(I9:I97)</f>
        <v>933.7700000000001</v>
      </c>
      <c r="J8" s="1157" t="s">
        <v>899</v>
      </c>
      <c r="K8" s="1158">
        <f>SUM(K9:K97)</f>
        <v>4.2</v>
      </c>
      <c r="L8" s="1157" t="s">
        <v>884</v>
      </c>
      <c r="M8" s="1158">
        <f>SUM(M9:M97)</f>
        <v>651.11999999999921</v>
      </c>
      <c r="N8" s="1157" t="s">
        <v>909</v>
      </c>
      <c r="O8" s="1158">
        <f>SUM(O9:O97)</f>
        <v>200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268.15999999999997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1156.7599999999998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-11.76</v>
      </c>
      <c r="AK8" s="833">
        <f>SUM(AK9:AK97)</f>
        <v>0</v>
      </c>
      <c r="AL8" s="54">
        <f>SUM(C9:C97)/SUM(B9:B97)</f>
        <v>1.3300731364275666</v>
      </c>
    </row>
    <row r="9" spans="1:39" x14ac:dyDescent="0.25">
      <c r="A9" s="64">
        <v>42643</v>
      </c>
      <c r="B9" s="65">
        <v>96.37</v>
      </c>
      <c r="C9" s="66">
        <v>116.5</v>
      </c>
      <c r="D9" s="67"/>
      <c r="E9" s="68"/>
      <c r="F9" s="66"/>
      <c r="G9" s="67">
        <v>42716</v>
      </c>
      <c r="H9" s="68" t="s">
        <v>99</v>
      </c>
      <c r="I9" s="66">
        <v>21.82</v>
      </c>
      <c r="J9" s="69">
        <v>43147</v>
      </c>
      <c r="K9" s="66">
        <v>4.2</v>
      </c>
      <c r="L9" s="1643"/>
      <c r="M9" s="66"/>
      <c r="N9" s="1152"/>
      <c r="O9" s="66"/>
      <c r="P9" s="64"/>
      <c r="Q9" s="66"/>
      <c r="R9" s="64"/>
      <c r="S9" s="66"/>
      <c r="T9" s="1152">
        <v>42710</v>
      </c>
      <c r="U9" s="1198" t="s">
        <v>95</v>
      </c>
      <c r="V9" s="66">
        <v>13.28</v>
      </c>
      <c r="W9" s="1152"/>
      <c r="X9" s="1198"/>
      <c r="Y9" s="66"/>
      <c r="Z9" s="1152">
        <v>42684</v>
      </c>
      <c r="AA9" s="1198" t="s">
        <v>95</v>
      </c>
      <c r="AB9" s="66">
        <v>49.14</v>
      </c>
      <c r="AC9" s="1152"/>
      <c r="AD9" s="1198"/>
      <c r="AE9" s="66"/>
      <c r="AF9" s="1118">
        <v>0.1</v>
      </c>
      <c r="AG9" s="1119">
        <v>8.18</v>
      </c>
      <c r="AH9" s="1117"/>
      <c r="AI9" s="237"/>
      <c r="AJ9" s="838"/>
      <c r="AK9" s="839"/>
      <c r="AL9" s="51">
        <f t="shared" ref="AL9:AL72" si="0">C9/B9</f>
        <v>1.2088824322922072</v>
      </c>
      <c r="AM9" s="51">
        <f t="shared" ref="AM9:AM72" si="1">AL9-$AL$8</f>
        <v>-0.12119070413535948</v>
      </c>
    </row>
    <row r="10" spans="1:39" x14ac:dyDescent="0.25">
      <c r="A10" s="71">
        <v>42674</v>
      </c>
      <c r="B10" s="72">
        <v>42.25</v>
      </c>
      <c r="C10" s="73">
        <v>51.98</v>
      </c>
      <c r="D10" s="345"/>
      <c r="E10" s="346"/>
      <c r="F10" s="347"/>
      <c r="G10" s="147"/>
      <c r="H10" s="75"/>
      <c r="I10" s="73"/>
      <c r="J10" s="234"/>
      <c r="K10" s="73"/>
      <c r="L10" s="1609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0.13</v>
      </c>
      <c r="AG10" s="1113">
        <v>8.35</v>
      </c>
      <c r="AH10" s="1110"/>
      <c r="AI10" s="238"/>
      <c r="AJ10" s="838"/>
      <c r="AK10" s="839"/>
      <c r="AL10" s="51">
        <f t="shared" si="0"/>
        <v>1.2302958579881655</v>
      </c>
      <c r="AM10" s="51">
        <f t="shared" si="1"/>
        <v>-9.9777278439401096E-2</v>
      </c>
    </row>
    <row r="11" spans="1:39" x14ac:dyDescent="0.25">
      <c r="A11" s="71">
        <v>42704</v>
      </c>
      <c r="B11" s="72">
        <v>21.63</v>
      </c>
      <c r="C11" s="73">
        <v>26.55</v>
      </c>
      <c r="D11" s="345"/>
      <c r="E11" s="346"/>
      <c r="F11" s="347"/>
      <c r="G11" s="345"/>
      <c r="H11" s="346"/>
      <c r="I11" s="347"/>
      <c r="J11" s="234"/>
      <c r="K11" s="73"/>
      <c r="L11" s="1609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0.13</v>
      </c>
      <c r="AG11" s="1113">
        <v>8.51</v>
      </c>
      <c r="AH11" s="1110"/>
      <c r="AI11" s="238"/>
      <c r="AJ11" s="838"/>
      <c r="AK11" s="839"/>
      <c r="AL11" s="51">
        <f t="shared" si="0"/>
        <v>1.2274618585298198</v>
      </c>
      <c r="AM11" s="51">
        <f t="shared" si="1"/>
        <v>-0.10261127789774682</v>
      </c>
    </row>
    <row r="12" spans="1:39" x14ac:dyDescent="0.25">
      <c r="A12" s="71">
        <v>42735</v>
      </c>
      <c r="B12" s="72">
        <v>27.55</v>
      </c>
      <c r="C12" s="73">
        <v>34.31</v>
      </c>
      <c r="D12" s="147"/>
      <c r="E12" s="75"/>
      <c r="F12" s="73"/>
      <c r="G12" s="345"/>
      <c r="H12" s="346"/>
      <c r="I12" s="347"/>
      <c r="J12" s="234"/>
      <c r="K12" s="73"/>
      <c r="L12" s="1609"/>
      <c r="M12" s="73"/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0.14000000000000001</v>
      </c>
      <c r="AG12" s="1113">
        <v>8.66</v>
      </c>
      <c r="AH12" s="1110"/>
      <c r="AI12" s="238"/>
      <c r="AJ12" s="838"/>
      <c r="AK12" s="839"/>
      <c r="AL12" s="51">
        <f t="shared" si="0"/>
        <v>1.245372050816697</v>
      </c>
      <c r="AM12" s="51">
        <f t="shared" si="1"/>
        <v>-8.4701085610869642E-2</v>
      </c>
    </row>
    <row r="13" spans="1:39" x14ac:dyDescent="0.25">
      <c r="A13" s="71">
        <v>42766</v>
      </c>
      <c r="B13" s="72">
        <v>34.24</v>
      </c>
      <c r="C13" s="73">
        <v>43.43</v>
      </c>
      <c r="D13" s="147">
        <v>42821</v>
      </c>
      <c r="E13" s="75" t="s">
        <v>131</v>
      </c>
      <c r="F13" s="73">
        <v>522.5</v>
      </c>
      <c r="G13" s="147">
        <v>42815</v>
      </c>
      <c r="H13" s="75" t="s">
        <v>132</v>
      </c>
      <c r="I13" s="73">
        <v>16.62</v>
      </c>
      <c r="J13" s="234"/>
      <c r="K13" s="73"/>
      <c r="L13" s="1609"/>
      <c r="M13" s="73"/>
      <c r="N13" s="894"/>
      <c r="O13" s="73"/>
      <c r="P13" s="71"/>
      <c r="Q13" s="73"/>
      <c r="R13" s="71"/>
      <c r="S13" s="73"/>
      <c r="T13" s="147">
        <v>42736</v>
      </c>
      <c r="U13" s="1199"/>
      <c r="V13" s="73">
        <v>13.28</v>
      </c>
      <c r="W13" s="894"/>
      <c r="X13" s="1199"/>
      <c r="Y13" s="73"/>
      <c r="Z13" s="147">
        <v>42736</v>
      </c>
      <c r="AA13" s="75"/>
      <c r="AB13" s="73">
        <v>49.14</v>
      </c>
      <c r="AC13" s="894"/>
      <c r="AD13" s="1199"/>
      <c r="AE13" s="73"/>
      <c r="AF13" s="1112">
        <v>0.14000000000000001</v>
      </c>
      <c r="AG13" s="1113">
        <v>8.81</v>
      </c>
      <c r="AH13" s="1110">
        <v>353</v>
      </c>
      <c r="AI13" s="238">
        <v>56.96</v>
      </c>
      <c r="AJ13" s="838"/>
      <c r="AK13" s="839"/>
      <c r="AL13" s="51">
        <f t="shared" si="0"/>
        <v>1.2683995327102804</v>
      </c>
      <c r="AM13" s="51">
        <f t="shared" si="1"/>
        <v>-6.1673603717286252E-2</v>
      </c>
    </row>
    <row r="14" spans="1:39" x14ac:dyDescent="0.25">
      <c r="A14" s="71">
        <v>42794</v>
      </c>
      <c r="B14" s="72">
        <v>42.83</v>
      </c>
      <c r="C14" s="73">
        <v>54.98</v>
      </c>
      <c r="D14" s="147">
        <v>42989</v>
      </c>
      <c r="E14" s="75" t="s">
        <v>184</v>
      </c>
      <c r="F14" s="73">
        <v>1860.12</v>
      </c>
      <c r="G14" s="1162">
        <v>43077</v>
      </c>
      <c r="H14" s="75" t="s">
        <v>191</v>
      </c>
      <c r="I14" s="73">
        <v>49.5</v>
      </c>
      <c r="J14" s="234"/>
      <c r="K14" s="73"/>
      <c r="L14" s="1609"/>
      <c r="M14" s="73"/>
      <c r="N14" s="894"/>
      <c r="O14" s="73"/>
      <c r="P14" s="71"/>
      <c r="Q14" s="73"/>
      <c r="R14" s="71"/>
      <c r="S14" s="73"/>
      <c r="T14" s="894">
        <v>42809</v>
      </c>
      <c r="U14" s="1199"/>
      <c r="V14" s="73">
        <v>13.28</v>
      </c>
      <c r="W14" s="894"/>
      <c r="X14" s="1199"/>
      <c r="Y14" s="73"/>
      <c r="Z14" s="894">
        <v>42809</v>
      </c>
      <c r="AA14" s="1199"/>
      <c r="AB14" s="73">
        <v>49.14</v>
      </c>
      <c r="AC14" s="894"/>
      <c r="AD14" s="1199"/>
      <c r="AE14" s="73"/>
      <c r="AF14" s="1112">
        <v>0.14000000000000001</v>
      </c>
      <c r="AG14" s="1113">
        <v>8.8800000000000008</v>
      </c>
      <c r="AH14" s="1110">
        <v>463</v>
      </c>
      <c r="AI14" s="238">
        <v>47.13</v>
      </c>
      <c r="AJ14" s="838"/>
      <c r="AK14" s="839"/>
      <c r="AL14" s="51">
        <f t="shared" si="0"/>
        <v>1.2836796637870651</v>
      </c>
      <c r="AM14" s="51">
        <f t="shared" si="1"/>
        <v>-4.6393472640501532E-2</v>
      </c>
    </row>
    <row r="15" spans="1:39" x14ac:dyDescent="0.25">
      <c r="A15" s="71">
        <v>42825</v>
      </c>
      <c r="B15" s="72">
        <v>27.74</v>
      </c>
      <c r="C15" s="73">
        <v>35.450000000000003</v>
      </c>
      <c r="D15" s="147">
        <v>43021</v>
      </c>
      <c r="E15" s="75" t="s">
        <v>174</v>
      </c>
      <c r="F15" s="73">
        <v>504.14</v>
      </c>
      <c r="G15" s="147"/>
      <c r="H15" s="75"/>
      <c r="I15" s="73"/>
      <c r="J15" s="234"/>
      <c r="K15" s="73"/>
      <c r="L15" s="1609"/>
      <c r="M15" s="73"/>
      <c r="N15" s="894"/>
      <c r="O15" s="73"/>
      <c r="P15" s="71"/>
      <c r="Q15" s="73"/>
      <c r="R15" s="71"/>
      <c r="S15" s="73"/>
      <c r="T15" s="147">
        <v>42901</v>
      </c>
      <c r="U15" s="1199"/>
      <c r="V15" s="73">
        <v>13.28</v>
      </c>
      <c r="W15" s="894"/>
      <c r="X15" s="1199"/>
      <c r="Y15" s="73"/>
      <c r="Z15" s="147">
        <v>42901</v>
      </c>
      <c r="AA15" s="75"/>
      <c r="AB15" s="73">
        <v>49.14</v>
      </c>
      <c r="AC15" s="894"/>
      <c r="AD15" s="1199"/>
      <c r="AE15" s="73"/>
      <c r="AF15" s="1112">
        <v>0.32</v>
      </c>
      <c r="AG15" s="1113">
        <v>8.9499999999999993</v>
      </c>
      <c r="AH15" s="1110">
        <v>286</v>
      </c>
      <c r="AI15" s="238">
        <v>58.39</v>
      </c>
      <c r="AJ15" s="838"/>
      <c r="AK15" s="839"/>
      <c r="AL15" s="51">
        <f t="shared" si="0"/>
        <v>1.277937995674117</v>
      </c>
      <c r="AM15" s="51">
        <f t="shared" si="1"/>
        <v>-5.2135140753449605E-2</v>
      </c>
    </row>
    <row r="16" spans="1:39" x14ac:dyDescent="0.25">
      <c r="A16" s="71">
        <v>42855</v>
      </c>
      <c r="B16" s="72">
        <v>91.15</v>
      </c>
      <c r="C16" s="73">
        <v>117.26</v>
      </c>
      <c r="D16" s="147"/>
      <c r="E16" s="75"/>
      <c r="F16" s="73"/>
      <c r="G16" s="147"/>
      <c r="H16" s="75"/>
      <c r="I16" s="73"/>
      <c r="J16" s="836"/>
      <c r="K16" s="835"/>
      <c r="L16" s="1644"/>
      <c r="M16" s="835"/>
      <c r="N16" s="1153"/>
      <c r="O16" s="835"/>
      <c r="P16" s="834"/>
      <c r="Q16" s="835"/>
      <c r="R16" s="834"/>
      <c r="S16" s="73"/>
      <c r="T16" s="894">
        <v>43008</v>
      </c>
      <c r="U16" s="1199"/>
      <c r="V16" s="73">
        <v>13.28</v>
      </c>
      <c r="W16" s="1153"/>
      <c r="X16" s="1200"/>
      <c r="Y16" s="835"/>
      <c r="Z16" s="894">
        <v>43008</v>
      </c>
      <c r="AA16" s="1199"/>
      <c r="AB16" s="73">
        <v>49.14</v>
      </c>
      <c r="AC16" s="1153"/>
      <c r="AD16" s="1200"/>
      <c r="AE16" s="835"/>
      <c r="AF16" s="1112">
        <v>0.27</v>
      </c>
      <c r="AG16" s="1113">
        <v>8.84</v>
      </c>
      <c r="AH16" s="1110">
        <v>1069</v>
      </c>
      <c r="AI16" s="238">
        <v>39.24</v>
      </c>
      <c r="AJ16" s="838"/>
      <c r="AK16" s="839"/>
      <c r="AL16" s="51">
        <f t="shared" si="0"/>
        <v>1.286450905101481</v>
      </c>
      <c r="AM16" s="51">
        <f t="shared" si="1"/>
        <v>-4.362223132608567E-2</v>
      </c>
    </row>
    <row r="17" spans="1:39" x14ac:dyDescent="0.25">
      <c r="A17" s="71">
        <v>42886</v>
      </c>
      <c r="B17" s="72">
        <v>96.52</v>
      </c>
      <c r="C17" s="73">
        <v>121.93</v>
      </c>
      <c r="D17" s="147"/>
      <c r="E17" s="75"/>
      <c r="F17" s="73"/>
      <c r="G17" s="1162"/>
      <c r="H17" s="75"/>
      <c r="I17" s="73"/>
      <c r="J17" s="234"/>
      <c r="K17" s="73"/>
      <c r="L17" s="1609"/>
      <c r="M17" s="73"/>
      <c r="N17" s="894"/>
      <c r="O17" s="73"/>
      <c r="P17" s="71"/>
      <c r="Q17" s="73"/>
      <c r="R17" s="71"/>
      <c r="S17" s="73"/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0.24</v>
      </c>
      <c r="AG17" s="1113">
        <v>8.8800000000000008</v>
      </c>
      <c r="AH17" s="1110">
        <v>1068</v>
      </c>
      <c r="AI17" s="238">
        <v>14.08</v>
      </c>
      <c r="AJ17" s="838"/>
      <c r="AK17" s="839"/>
      <c r="AL17" s="51">
        <f t="shared" si="0"/>
        <v>1.2632615002072112</v>
      </c>
      <c r="AM17" s="51">
        <f t="shared" si="1"/>
        <v>-6.6811636220355464E-2</v>
      </c>
    </row>
    <row r="18" spans="1:39" x14ac:dyDescent="0.25">
      <c r="A18" s="71">
        <v>42916</v>
      </c>
      <c r="B18" s="72">
        <v>74.31</v>
      </c>
      <c r="C18" s="73">
        <v>91.08</v>
      </c>
      <c r="D18" s="147"/>
      <c r="E18" s="75"/>
      <c r="F18" s="73"/>
      <c r="G18" s="147"/>
      <c r="H18" s="75"/>
      <c r="I18" s="73"/>
      <c r="J18" s="431"/>
      <c r="K18" s="347"/>
      <c r="L18" s="1642"/>
      <c r="M18" s="347"/>
      <c r="N18" s="945"/>
      <c r="O18" s="347"/>
      <c r="P18" s="1160"/>
      <c r="Q18" s="347"/>
      <c r="R18" s="1160"/>
      <c r="S18" s="73"/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0.23</v>
      </c>
      <c r="AG18" s="1113">
        <v>8.92</v>
      </c>
      <c r="AH18" s="1110">
        <v>809</v>
      </c>
      <c r="AI18" s="238">
        <v>48.77</v>
      </c>
      <c r="AJ18" s="838"/>
      <c r="AK18" s="839"/>
      <c r="AL18" s="51">
        <f t="shared" si="0"/>
        <v>1.2256762212353653</v>
      </c>
      <c r="AM18" s="51">
        <f t="shared" si="1"/>
        <v>-0.10439691519220129</v>
      </c>
    </row>
    <row r="19" spans="1:39" x14ac:dyDescent="0.25">
      <c r="A19" s="71">
        <v>42947</v>
      </c>
      <c r="B19" s="72">
        <v>27.94</v>
      </c>
      <c r="C19" s="73">
        <v>32.53</v>
      </c>
      <c r="D19" s="147"/>
      <c r="E19" s="75"/>
      <c r="F19" s="73"/>
      <c r="G19" s="147"/>
      <c r="H19" s="75"/>
      <c r="I19" s="73"/>
      <c r="J19" s="234"/>
      <c r="K19" s="73"/>
      <c r="L19" s="1609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0.23</v>
      </c>
      <c r="AG19" s="1113">
        <v>8.9600000000000009</v>
      </c>
      <c r="AH19" s="1110">
        <v>288</v>
      </c>
      <c r="AI19" s="238">
        <v>56.58</v>
      </c>
      <c r="AJ19" s="838"/>
      <c r="AK19" s="839"/>
      <c r="AL19" s="51">
        <f t="shared" si="0"/>
        <v>1.1642806012884752</v>
      </c>
      <c r="AM19" s="51">
        <f t="shared" si="1"/>
        <v>-0.16579253513909142</v>
      </c>
    </row>
    <row r="20" spans="1:39" x14ac:dyDescent="0.25">
      <c r="A20" s="71">
        <v>42978</v>
      </c>
      <c r="B20" s="72">
        <v>31.15</v>
      </c>
      <c r="C20" s="73">
        <v>36.26</v>
      </c>
      <c r="D20" s="147"/>
      <c r="E20" s="75"/>
      <c r="F20" s="73"/>
      <c r="G20" s="147"/>
      <c r="H20" s="75"/>
      <c r="I20" s="73"/>
      <c r="J20" s="234"/>
      <c r="K20" s="73"/>
      <c r="L20" s="1609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0.22</v>
      </c>
      <c r="AG20" s="1113">
        <v>8.98</v>
      </c>
      <c r="AH20" s="1110">
        <v>330</v>
      </c>
      <c r="AI20" s="238">
        <v>25.43</v>
      </c>
      <c r="AJ20" s="838"/>
      <c r="AK20" s="839"/>
      <c r="AL20" s="51">
        <f t="shared" si="0"/>
        <v>1.1640449438202247</v>
      </c>
      <c r="AM20" s="51">
        <f t="shared" si="1"/>
        <v>-0.16602819260734192</v>
      </c>
    </row>
    <row r="21" spans="1:39" x14ac:dyDescent="0.25">
      <c r="A21" s="71">
        <v>43008</v>
      </c>
      <c r="B21" s="72">
        <v>59.43</v>
      </c>
      <c r="C21" s="73">
        <v>73.88</v>
      </c>
      <c r="D21" s="147"/>
      <c r="E21" s="75"/>
      <c r="F21" s="73"/>
      <c r="G21" s="147"/>
      <c r="H21" s="75"/>
      <c r="I21" s="73"/>
      <c r="J21" s="234"/>
      <c r="K21" s="73"/>
      <c r="L21" s="1609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0.21</v>
      </c>
      <c r="AG21" s="1113">
        <v>9</v>
      </c>
      <c r="AH21" s="1110">
        <v>518</v>
      </c>
      <c r="AI21" s="238">
        <v>57</v>
      </c>
      <c r="AJ21" s="838">
        <v>-11.76</v>
      </c>
      <c r="AK21" s="839"/>
      <c r="AL21" s="51">
        <f t="shared" si="0"/>
        <v>1.2431431936732289</v>
      </c>
      <c r="AM21" s="51">
        <f t="shared" si="1"/>
        <v>-8.6929942754337741E-2</v>
      </c>
    </row>
    <row r="22" spans="1:39" x14ac:dyDescent="0.25">
      <c r="A22" s="71">
        <v>43039</v>
      </c>
      <c r="B22" s="72">
        <v>76</v>
      </c>
      <c r="C22" s="73">
        <v>94.05</v>
      </c>
      <c r="D22" s="147"/>
      <c r="E22" s="75"/>
      <c r="F22" s="73"/>
      <c r="G22" s="147"/>
      <c r="H22" s="75"/>
      <c r="I22" s="73"/>
      <c r="J22" s="234"/>
      <c r="K22" s="73"/>
      <c r="L22" s="1609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0.26</v>
      </c>
      <c r="AG22" s="1113">
        <v>9.01</v>
      </c>
      <c r="AH22" s="1110">
        <v>830</v>
      </c>
      <c r="AI22" s="238">
        <v>48.61</v>
      </c>
      <c r="AJ22" s="838"/>
      <c r="AK22" s="839"/>
      <c r="AL22" s="51">
        <f t="shared" si="0"/>
        <v>1.2375</v>
      </c>
      <c r="AM22" s="51">
        <f t="shared" si="1"/>
        <v>-9.2573136427566594E-2</v>
      </c>
    </row>
    <row r="23" spans="1:39" x14ac:dyDescent="0.25">
      <c r="A23" s="71">
        <v>43069</v>
      </c>
      <c r="B23" s="72">
        <v>127.31</v>
      </c>
      <c r="C23" s="73">
        <v>164.9</v>
      </c>
      <c r="D23" s="147"/>
      <c r="E23" s="75"/>
      <c r="F23" s="73"/>
      <c r="G23" s="147"/>
      <c r="H23" s="75"/>
      <c r="I23" s="73"/>
      <c r="J23" s="431"/>
      <c r="K23" s="347"/>
      <c r="L23" s="1642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0.64</v>
      </c>
      <c r="AG23" s="1113">
        <v>8.9700000000000006</v>
      </c>
      <c r="AH23" s="1110">
        <v>1460</v>
      </c>
      <c r="AI23" s="238">
        <v>33.94</v>
      </c>
      <c r="AJ23" s="838"/>
      <c r="AK23" s="839"/>
      <c r="AL23" s="51">
        <f t="shared" si="0"/>
        <v>1.2952635299662243</v>
      </c>
      <c r="AM23" s="51">
        <f t="shared" si="1"/>
        <v>-3.4809606461342346E-2</v>
      </c>
    </row>
    <row r="24" spans="1:39" x14ac:dyDescent="0.25">
      <c r="A24" s="71">
        <v>43100</v>
      </c>
      <c r="B24" s="72">
        <v>117.13</v>
      </c>
      <c r="C24" s="73">
        <v>149.71</v>
      </c>
      <c r="D24" s="147"/>
      <c r="E24" s="75"/>
      <c r="F24" s="73"/>
      <c r="G24" s="147"/>
      <c r="H24" s="75"/>
      <c r="I24" s="73"/>
      <c r="J24" s="234"/>
      <c r="K24" s="73"/>
      <c r="L24" s="1609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0.6</v>
      </c>
      <c r="AG24" s="1113">
        <v>8.94</v>
      </c>
      <c r="AH24" s="1110">
        <v>1337</v>
      </c>
      <c r="AI24" s="238">
        <v>47.29</v>
      </c>
      <c r="AJ24" s="838"/>
      <c r="AK24" s="839"/>
      <c r="AL24" s="51">
        <f t="shared" si="0"/>
        <v>1.2781524801502606</v>
      </c>
      <c r="AM24" s="51">
        <f t="shared" si="1"/>
        <v>-5.1920656277306021E-2</v>
      </c>
    </row>
    <row r="25" spans="1:39" x14ac:dyDescent="0.25">
      <c r="A25" s="71">
        <v>43131</v>
      </c>
      <c r="B25" s="72">
        <v>112.95</v>
      </c>
      <c r="C25" s="73">
        <v>149.43</v>
      </c>
      <c r="D25" s="528">
        <v>43145</v>
      </c>
      <c r="E25" s="516" t="s">
        <v>262</v>
      </c>
      <c r="F25" s="380">
        <v>624.89</v>
      </c>
      <c r="G25" s="147">
        <v>43188</v>
      </c>
      <c r="H25" s="75" t="s">
        <v>302</v>
      </c>
      <c r="I25" s="73">
        <v>660</v>
      </c>
      <c r="J25" s="234"/>
      <c r="K25" s="73"/>
      <c r="L25" s="1609"/>
      <c r="M25" s="73"/>
      <c r="N25" s="1153">
        <v>43125</v>
      </c>
      <c r="O25" s="835">
        <v>50</v>
      </c>
      <c r="P25" s="71"/>
      <c r="Q25" s="73"/>
      <c r="R25" s="71"/>
      <c r="S25" s="73"/>
      <c r="T25" s="894">
        <v>43101</v>
      </c>
      <c r="U25" s="1199" t="s">
        <v>953</v>
      </c>
      <c r="V25" s="73">
        <v>13.28</v>
      </c>
      <c r="W25" s="894">
        <v>43251</v>
      </c>
      <c r="X25" s="1199" t="s">
        <v>945</v>
      </c>
      <c r="Y25" s="73">
        <v>40</v>
      </c>
      <c r="Z25" s="894">
        <v>43101</v>
      </c>
      <c r="AA25" s="1199" t="s">
        <v>953</v>
      </c>
      <c r="AB25" s="73">
        <v>49.14</v>
      </c>
      <c r="AC25" s="894"/>
      <c r="AD25" s="1199"/>
      <c r="AE25" s="73"/>
      <c r="AF25" s="1112">
        <v>0.63</v>
      </c>
      <c r="AG25" s="1113">
        <v>9.01</v>
      </c>
      <c r="AH25" s="1110">
        <v>1303</v>
      </c>
      <c r="AI25" s="238">
        <v>49.38</v>
      </c>
      <c r="AJ25" s="838"/>
      <c r="AK25" s="839"/>
      <c r="AL25" s="51">
        <f t="shared" si="0"/>
        <v>1.3229747675962815</v>
      </c>
      <c r="AM25" s="51">
        <f t="shared" si="1"/>
        <v>-7.0983688312851179E-3</v>
      </c>
    </row>
    <row r="26" spans="1:39" x14ac:dyDescent="0.25">
      <c r="A26" s="71">
        <v>43159</v>
      </c>
      <c r="B26" s="72">
        <v>57.47</v>
      </c>
      <c r="C26" s="73">
        <v>75.64</v>
      </c>
      <c r="D26" s="147">
        <v>43340</v>
      </c>
      <c r="E26" s="75" t="s">
        <v>388</v>
      </c>
      <c r="F26" s="73">
        <v>239.66</v>
      </c>
      <c r="G26" s="147">
        <v>43434</v>
      </c>
      <c r="H26" s="75" t="s">
        <v>510</v>
      </c>
      <c r="I26" s="73">
        <v>29.1</v>
      </c>
      <c r="J26" s="234"/>
      <c r="K26" s="73"/>
      <c r="L26" s="1609"/>
      <c r="M26" s="73"/>
      <c r="N26" s="894"/>
      <c r="O26" s="73"/>
      <c r="P26" s="71"/>
      <c r="Q26" s="73"/>
      <c r="R26" s="71"/>
      <c r="S26" s="73"/>
      <c r="T26" s="894">
        <v>43191</v>
      </c>
      <c r="U26" s="1199" t="s">
        <v>954</v>
      </c>
      <c r="V26" s="73">
        <v>13.28</v>
      </c>
      <c r="W26" s="894"/>
      <c r="X26" s="1199"/>
      <c r="Y26" s="73"/>
      <c r="Z26" s="894">
        <v>43191</v>
      </c>
      <c r="AA26" s="1199" t="s">
        <v>954</v>
      </c>
      <c r="AB26" s="73">
        <v>49.14</v>
      </c>
      <c r="AC26" s="894"/>
      <c r="AD26" s="1199"/>
      <c r="AE26" s="73"/>
      <c r="AF26" s="1112">
        <v>0.66</v>
      </c>
      <c r="AG26" s="1113">
        <v>8.99</v>
      </c>
      <c r="AH26" s="1110">
        <v>667</v>
      </c>
      <c r="AI26" s="238">
        <v>23.08</v>
      </c>
      <c r="AJ26" s="838"/>
      <c r="AK26" s="839"/>
      <c r="AL26" s="51">
        <f t="shared" si="0"/>
        <v>1.3161649556290238</v>
      </c>
      <c r="AM26" s="51">
        <f t="shared" si="1"/>
        <v>-1.3908180798542835E-2</v>
      </c>
    </row>
    <row r="27" spans="1:39" x14ac:dyDescent="0.25">
      <c r="A27" s="71">
        <v>43190</v>
      </c>
      <c r="B27" s="72">
        <v>88.26</v>
      </c>
      <c r="C27" s="73">
        <v>116.97</v>
      </c>
      <c r="D27" s="147">
        <v>43381</v>
      </c>
      <c r="E27" s="75" t="s">
        <v>463</v>
      </c>
      <c r="F27" s="73">
        <v>225.28</v>
      </c>
      <c r="G27" s="147"/>
      <c r="H27" s="75"/>
      <c r="I27" s="73"/>
      <c r="J27" s="234"/>
      <c r="K27" s="73"/>
      <c r="L27" s="1609"/>
      <c r="M27" s="73"/>
      <c r="N27" s="894"/>
      <c r="O27" s="73"/>
      <c r="P27" s="71"/>
      <c r="Q27" s="73"/>
      <c r="R27" s="71"/>
      <c r="S27" s="73"/>
      <c r="T27" s="894">
        <v>43282</v>
      </c>
      <c r="U27" s="1199" t="s">
        <v>955</v>
      </c>
      <c r="V27" s="73">
        <v>13.28</v>
      </c>
      <c r="W27" s="945"/>
      <c r="X27" s="1201"/>
      <c r="Y27" s="347"/>
      <c r="Z27" s="894">
        <v>43282</v>
      </c>
      <c r="AA27" s="1199" t="s">
        <v>955</v>
      </c>
      <c r="AB27" s="73">
        <v>49.14</v>
      </c>
      <c r="AC27" s="894"/>
      <c r="AD27" s="1199"/>
      <c r="AE27" s="73"/>
      <c r="AF27" s="1112">
        <v>0.54</v>
      </c>
      <c r="AG27" s="1113">
        <v>8.94</v>
      </c>
      <c r="AH27" s="1110">
        <v>1051</v>
      </c>
      <c r="AI27" s="238">
        <v>30.82</v>
      </c>
      <c r="AJ27" s="838"/>
      <c r="AK27" s="839"/>
      <c r="AL27" s="51">
        <f t="shared" si="0"/>
        <v>1.3252889191026511</v>
      </c>
      <c r="AM27" s="51">
        <f t="shared" si="1"/>
        <v>-4.7842173249155184E-3</v>
      </c>
    </row>
    <row r="28" spans="1:39" x14ac:dyDescent="0.25">
      <c r="A28" s="71">
        <v>43220</v>
      </c>
      <c r="B28" s="72">
        <v>82.9</v>
      </c>
      <c r="C28" s="73">
        <v>112.14</v>
      </c>
      <c r="D28" s="147"/>
      <c r="E28" s="75"/>
      <c r="F28" s="73"/>
      <c r="G28" s="147"/>
      <c r="H28" s="75"/>
      <c r="I28" s="73"/>
      <c r="J28" s="234"/>
      <c r="K28" s="73"/>
      <c r="L28" s="1609"/>
      <c r="M28" s="73"/>
      <c r="N28" s="894"/>
      <c r="O28" s="73"/>
      <c r="P28" s="71"/>
      <c r="Q28" s="73"/>
      <c r="R28" s="71"/>
      <c r="S28" s="73"/>
      <c r="T28" s="894">
        <v>43374</v>
      </c>
      <c r="U28" s="1199" t="s">
        <v>956</v>
      </c>
      <c r="V28" s="73">
        <v>13.28</v>
      </c>
      <c r="W28" s="894"/>
      <c r="X28" s="1199"/>
      <c r="Y28" s="73"/>
      <c r="Z28" s="894">
        <v>43374</v>
      </c>
      <c r="AA28" s="1199" t="s">
        <v>956</v>
      </c>
      <c r="AB28" s="73">
        <v>49.14</v>
      </c>
      <c r="AC28" s="894"/>
      <c r="AD28" s="1199"/>
      <c r="AE28" s="73"/>
      <c r="AF28" s="1112">
        <v>0.52</v>
      </c>
      <c r="AG28" s="1113">
        <v>8.92</v>
      </c>
      <c r="AH28" s="1110">
        <v>969</v>
      </c>
      <c r="AI28" s="238">
        <v>46.43</v>
      </c>
      <c r="AJ28" s="838"/>
      <c r="AK28" s="839"/>
      <c r="AL28" s="51">
        <f t="shared" si="0"/>
        <v>1.3527141133896259</v>
      </c>
      <c r="AM28" s="51">
        <f t="shared" si="1"/>
        <v>2.2640976962059245E-2</v>
      </c>
    </row>
    <row r="29" spans="1:39" x14ac:dyDescent="0.25">
      <c r="A29" s="71">
        <v>43251</v>
      </c>
      <c r="B29" s="72">
        <v>122.43</v>
      </c>
      <c r="C29" s="73">
        <v>171.63</v>
      </c>
      <c r="D29" s="147"/>
      <c r="E29" s="75"/>
      <c r="F29" s="73"/>
      <c r="G29" s="147"/>
      <c r="H29" s="75"/>
      <c r="I29" s="73"/>
      <c r="J29" s="234"/>
      <c r="K29" s="73"/>
      <c r="L29" s="1609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0.49</v>
      </c>
      <c r="AG29" s="1113">
        <v>8.8800000000000008</v>
      </c>
      <c r="AH29" s="1110">
        <v>1440</v>
      </c>
      <c r="AI29" s="238">
        <v>21.5</v>
      </c>
      <c r="AJ29" s="838"/>
      <c r="AK29" s="839"/>
      <c r="AL29" s="51">
        <f t="shared" si="0"/>
        <v>1.4018622886547414</v>
      </c>
      <c r="AM29" s="51">
        <f t="shared" si="1"/>
        <v>7.1789152227174746E-2</v>
      </c>
    </row>
    <row r="30" spans="1:39" x14ac:dyDescent="0.25">
      <c r="A30" s="71">
        <v>43281</v>
      </c>
      <c r="B30" s="72">
        <v>137.29</v>
      </c>
      <c r="C30" s="73">
        <v>195.1</v>
      </c>
      <c r="D30" s="147"/>
      <c r="E30" s="75"/>
      <c r="F30" s="73"/>
      <c r="G30" s="147"/>
      <c r="H30" s="75"/>
      <c r="I30" s="73"/>
      <c r="J30" s="234"/>
      <c r="K30" s="73"/>
      <c r="L30" s="1609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0.47</v>
      </c>
      <c r="AG30" s="1113">
        <v>8.84</v>
      </c>
      <c r="AH30" s="1110">
        <v>1632</v>
      </c>
      <c r="AI30" s="238">
        <v>41.21</v>
      </c>
      <c r="AJ30" s="838"/>
      <c r="AK30" s="839"/>
      <c r="AL30" s="51">
        <f t="shared" si="0"/>
        <v>1.4210794668220554</v>
      </c>
      <c r="AM30" s="51">
        <f t="shared" si="1"/>
        <v>9.1006330394488799E-2</v>
      </c>
    </row>
    <row r="31" spans="1:39" x14ac:dyDescent="0.25">
      <c r="A31" s="71">
        <v>43312</v>
      </c>
      <c r="B31" s="72">
        <v>86.48</v>
      </c>
      <c r="C31" s="73">
        <v>121.88</v>
      </c>
      <c r="D31" s="147"/>
      <c r="E31" s="75"/>
      <c r="F31" s="73"/>
      <c r="G31" s="147"/>
      <c r="H31" s="75"/>
      <c r="I31" s="73"/>
      <c r="J31" s="234"/>
      <c r="K31" s="73"/>
      <c r="L31" s="1609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0.45</v>
      </c>
      <c r="AG31" s="1113">
        <v>8.83</v>
      </c>
      <c r="AH31" s="1110">
        <v>1003</v>
      </c>
      <c r="AI31" s="238">
        <v>8.73</v>
      </c>
      <c r="AJ31" s="838"/>
      <c r="AK31" s="839"/>
      <c r="AL31" s="51">
        <f t="shared" si="0"/>
        <v>1.4093432007400555</v>
      </c>
      <c r="AM31" s="51">
        <f t="shared" si="1"/>
        <v>7.9270064312488842E-2</v>
      </c>
    </row>
    <row r="32" spans="1:39" x14ac:dyDescent="0.25">
      <c r="A32" s="71">
        <v>43343</v>
      </c>
      <c r="B32" s="72">
        <v>119.44</v>
      </c>
      <c r="C32" s="73">
        <v>168.63</v>
      </c>
      <c r="D32" s="528"/>
      <c r="E32" s="516"/>
      <c r="F32" s="380"/>
      <c r="G32" s="147"/>
      <c r="H32" s="75"/>
      <c r="I32" s="73"/>
      <c r="J32" s="234"/>
      <c r="K32" s="73"/>
      <c r="L32" s="1609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0.45</v>
      </c>
      <c r="AG32" s="1113">
        <v>8.81</v>
      </c>
      <c r="AH32" s="1110">
        <v>1402</v>
      </c>
      <c r="AI32" s="238">
        <v>45.29</v>
      </c>
      <c r="AJ32" s="838"/>
      <c r="AK32" s="839"/>
      <c r="AL32" s="51">
        <f t="shared" si="0"/>
        <v>1.4118385800401876</v>
      </c>
      <c r="AM32" s="51">
        <f t="shared" si="1"/>
        <v>8.1765443612620947E-2</v>
      </c>
    </row>
    <row r="33" spans="1:39" x14ac:dyDescent="0.25">
      <c r="A33" s="71">
        <v>43373</v>
      </c>
      <c r="B33" s="72">
        <v>112.22</v>
      </c>
      <c r="C33" s="73">
        <v>160.26</v>
      </c>
      <c r="D33" s="147"/>
      <c r="E33" s="75"/>
      <c r="F33" s="73"/>
      <c r="G33" s="147"/>
      <c r="H33" s="75"/>
      <c r="I33" s="73"/>
      <c r="J33" s="234"/>
      <c r="K33" s="73"/>
      <c r="L33" s="1609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0.44</v>
      </c>
      <c r="AG33" s="1113">
        <v>8.7899999999999991</v>
      </c>
      <c r="AH33" s="1110">
        <v>1311</v>
      </c>
      <c r="AI33" s="238">
        <v>34.17</v>
      </c>
      <c r="AJ33" s="838"/>
      <c r="AK33" s="839"/>
      <c r="AL33" s="51">
        <f t="shared" si="0"/>
        <v>1.4280876849046515</v>
      </c>
      <c r="AM33" s="51">
        <f t="shared" si="1"/>
        <v>9.8014548477084906E-2</v>
      </c>
    </row>
    <row r="34" spans="1:39" x14ac:dyDescent="0.25">
      <c r="A34" s="71">
        <v>43404</v>
      </c>
      <c r="B34" s="72">
        <v>79.290000000000006</v>
      </c>
      <c r="C34" s="73">
        <v>115.5</v>
      </c>
      <c r="D34" s="147"/>
      <c r="E34" s="75"/>
      <c r="F34" s="73"/>
      <c r="G34" s="147"/>
      <c r="H34" s="75"/>
      <c r="I34" s="73"/>
      <c r="J34" s="234"/>
      <c r="K34" s="73"/>
      <c r="L34" s="1609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0.43</v>
      </c>
      <c r="AG34" s="1113">
        <v>8.7899999999999991</v>
      </c>
      <c r="AH34" s="1110">
        <v>914</v>
      </c>
      <c r="AI34" s="238">
        <v>6.88</v>
      </c>
      <c r="AJ34" s="838"/>
      <c r="AK34" s="839"/>
      <c r="AL34" s="51">
        <f t="shared" si="0"/>
        <v>1.4566780174044645</v>
      </c>
      <c r="AM34" s="51">
        <f t="shared" si="1"/>
        <v>0.12660488097689782</v>
      </c>
    </row>
    <row r="35" spans="1:39" x14ac:dyDescent="0.25">
      <c r="A35" s="71">
        <v>43434</v>
      </c>
      <c r="B35" s="72">
        <v>80.98</v>
      </c>
      <c r="C35" s="73">
        <v>116.88</v>
      </c>
      <c r="D35" s="147"/>
      <c r="E35" s="75"/>
      <c r="F35" s="73"/>
      <c r="G35" s="147"/>
      <c r="H35" s="75"/>
      <c r="I35" s="73"/>
      <c r="J35" s="234"/>
      <c r="K35" s="73"/>
      <c r="L35" s="1609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0.43</v>
      </c>
      <c r="AG35" s="1113">
        <v>8.7799999999999994</v>
      </c>
      <c r="AH35" s="1110">
        <v>943</v>
      </c>
      <c r="AI35" s="238">
        <v>26.4</v>
      </c>
      <c r="AJ35" s="838"/>
      <c r="AK35" s="839"/>
      <c r="AL35" s="51">
        <f t="shared" si="0"/>
        <v>1.4433193381081748</v>
      </c>
      <c r="AM35" s="51">
        <f t="shared" si="1"/>
        <v>0.11324620168060817</v>
      </c>
    </row>
    <row r="36" spans="1:39" x14ac:dyDescent="0.25">
      <c r="A36" s="71">
        <v>43465</v>
      </c>
      <c r="B36" s="72">
        <v>83.02</v>
      </c>
      <c r="C36" s="73">
        <v>114.1</v>
      </c>
      <c r="D36" s="147"/>
      <c r="E36" s="75"/>
      <c r="F36" s="73"/>
      <c r="G36" s="147"/>
      <c r="H36" s="75"/>
      <c r="I36" s="73"/>
      <c r="J36" s="234"/>
      <c r="K36" s="73"/>
      <c r="L36" s="1609">
        <v>43480</v>
      </c>
      <c r="M36" s="73">
        <v>331.92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0.43</v>
      </c>
      <c r="AG36" s="1113">
        <v>8.77</v>
      </c>
      <c r="AH36" s="1110">
        <v>984</v>
      </c>
      <c r="AI36" s="238">
        <v>40.880000000000003</v>
      </c>
      <c r="AJ36" s="838"/>
      <c r="AK36" s="839"/>
      <c r="AL36" s="51">
        <f t="shared" si="0"/>
        <v>1.3743676222596966</v>
      </c>
      <c r="AM36" s="51">
        <f t="shared" si="1"/>
        <v>4.4294485832129915E-2</v>
      </c>
    </row>
    <row r="37" spans="1:39" x14ac:dyDescent="0.25">
      <c r="A37" s="71">
        <v>43496</v>
      </c>
      <c r="B37" s="72">
        <v>42.91</v>
      </c>
      <c r="C37" s="73">
        <v>58.36</v>
      </c>
      <c r="D37" s="147">
        <v>43523</v>
      </c>
      <c r="E37" s="75" t="s">
        <v>564</v>
      </c>
      <c r="F37" s="73">
        <v>246.92</v>
      </c>
      <c r="G37" s="147">
        <v>43830</v>
      </c>
      <c r="H37" s="75" t="s">
        <v>811</v>
      </c>
      <c r="I37" s="73">
        <v>138.53</v>
      </c>
      <c r="J37" s="234"/>
      <c r="K37" s="73"/>
      <c r="L37" s="1609">
        <v>43480</v>
      </c>
      <c r="M37" s="73">
        <v>8.4</v>
      </c>
      <c r="N37" s="894">
        <v>43475</v>
      </c>
      <c r="O37" s="73">
        <v>50</v>
      </c>
      <c r="P37" s="71"/>
      <c r="Q37" s="73"/>
      <c r="R37" s="71"/>
      <c r="S37" s="73"/>
      <c r="T37" s="894">
        <v>43466</v>
      </c>
      <c r="U37" s="1199" t="s">
        <v>957</v>
      </c>
      <c r="V37" s="73">
        <v>13.28</v>
      </c>
      <c r="W37" s="894">
        <v>43588</v>
      </c>
      <c r="X37" s="1199" t="s">
        <v>923</v>
      </c>
      <c r="Y37" s="73">
        <v>40</v>
      </c>
      <c r="Z37" s="894">
        <v>43466</v>
      </c>
      <c r="AA37" s="1199" t="s">
        <v>957</v>
      </c>
      <c r="AB37" s="73">
        <v>49.14</v>
      </c>
      <c r="AC37" s="894"/>
      <c r="AD37" s="1199"/>
      <c r="AE37" s="73"/>
      <c r="AF37" s="1112">
        <v>0.43</v>
      </c>
      <c r="AG37" s="1113">
        <v>8.6999999999999993</v>
      </c>
      <c r="AH37" s="1110">
        <v>675</v>
      </c>
      <c r="AI37" s="238">
        <v>58</v>
      </c>
      <c r="AJ37" s="838"/>
      <c r="AK37" s="839"/>
      <c r="AL37" s="51">
        <f t="shared" si="0"/>
        <v>1.3600559310184108</v>
      </c>
      <c r="AM37" s="51">
        <f t="shared" si="1"/>
        <v>2.9982794590844186E-2</v>
      </c>
    </row>
    <row r="38" spans="1:39" x14ac:dyDescent="0.25">
      <c r="A38" s="71">
        <v>43524</v>
      </c>
      <c r="B38" s="72">
        <v>76</v>
      </c>
      <c r="C38" s="73">
        <v>104.78</v>
      </c>
      <c r="D38" s="147">
        <v>43524</v>
      </c>
      <c r="E38" s="75" t="s">
        <v>780</v>
      </c>
      <c r="F38" s="73">
        <v>67.2</v>
      </c>
      <c r="G38" s="147">
        <v>43809</v>
      </c>
      <c r="H38" s="75" t="s">
        <v>510</v>
      </c>
      <c r="I38" s="73">
        <v>18.2</v>
      </c>
      <c r="J38" s="234"/>
      <c r="K38" s="73"/>
      <c r="L38" s="1609">
        <v>43511</v>
      </c>
      <c r="M38" s="73">
        <v>8.4</v>
      </c>
      <c r="N38" s="894"/>
      <c r="O38" s="73"/>
      <c r="P38" s="71"/>
      <c r="Q38" s="73"/>
      <c r="R38" s="71"/>
      <c r="S38" s="73"/>
      <c r="T38" s="894">
        <v>43556</v>
      </c>
      <c r="U38" s="1199" t="s">
        <v>958</v>
      </c>
      <c r="V38" s="73">
        <v>13.28</v>
      </c>
      <c r="W38" s="894"/>
      <c r="X38" s="1199"/>
      <c r="Y38" s="73"/>
      <c r="Z38" s="894">
        <v>43556</v>
      </c>
      <c r="AA38" s="1199" t="s">
        <v>958</v>
      </c>
      <c r="AB38" s="73">
        <v>49.14</v>
      </c>
      <c r="AC38" s="894"/>
      <c r="AD38" s="1199"/>
      <c r="AE38" s="73"/>
      <c r="AF38" s="1112">
        <v>0.44</v>
      </c>
      <c r="AG38" s="1113">
        <v>8.6</v>
      </c>
      <c r="AH38" s="1110">
        <v>1183</v>
      </c>
      <c r="AI38" s="238">
        <v>32</v>
      </c>
      <c r="AJ38" s="838"/>
      <c r="AK38" s="839"/>
      <c r="AL38" s="51">
        <f t="shared" si="0"/>
        <v>1.3786842105263157</v>
      </c>
      <c r="AM38" s="51">
        <f t="shared" si="1"/>
        <v>4.8611074098749096E-2</v>
      </c>
    </row>
    <row r="39" spans="1:39" x14ac:dyDescent="0.25">
      <c r="A39" s="71">
        <v>43555</v>
      </c>
      <c r="B39" s="72">
        <v>44</v>
      </c>
      <c r="C39" s="73">
        <v>61.17</v>
      </c>
      <c r="D39" s="147">
        <v>43566</v>
      </c>
      <c r="E39" s="75" t="s">
        <v>625</v>
      </c>
      <c r="F39" s="73">
        <v>41.95</v>
      </c>
      <c r="G39" s="147"/>
      <c r="H39" s="75"/>
      <c r="I39" s="73"/>
      <c r="J39" s="234"/>
      <c r="K39" s="73"/>
      <c r="L39" s="1609">
        <v>43528</v>
      </c>
      <c r="M39" s="73">
        <v>8.4</v>
      </c>
      <c r="N39" s="894"/>
      <c r="O39" s="73"/>
      <c r="P39" s="71"/>
      <c r="Q39" s="73"/>
      <c r="R39" s="71"/>
      <c r="S39" s="73"/>
      <c r="T39" s="894">
        <v>43647</v>
      </c>
      <c r="U39" s="1199" t="s">
        <v>959</v>
      </c>
      <c r="V39" s="73">
        <v>17.440000000000001</v>
      </c>
      <c r="W39" s="894"/>
      <c r="X39" s="1199"/>
      <c r="Y39" s="73"/>
      <c r="Z39" s="894">
        <v>43647</v>
      </c>
      <c r="AA39" s="1199" t="s">
        <v>959</v>
      </c>
      <c r="AB39" s="73">
        <v>56.02</v>
      </c>
      <c r="AC39" s="894"/>
      <c r="AD39" s="1199"/>
      <c r="AE39" s="73"/>
      <c r="AF39" s="1112">
        <v>0.44</v>
      </c>
      <c r="AG39" s="1113">
        <v>8.58</v>
      </c>
      <c r="AH39" s="1110">
        <v>577</v>
      </c>
      <c r="AI39" s="238">
        <v>60</v>
      </c>
      <c r="AJ39" s="838"/>
      <c r="AK39" s="839"/>
      <c r="AL39" s="51">
        <f t="shared" si="0"/>
        <v>1.3902272727272729</v>
      </c>
      <c r="AM39" s="51">
        <f t="shared" si="1"/>
        <v>6.0154136299706229E-2</v>
      </c>
    </row>
    <row r="40" spans="1:39" x14ac:dyDescent="0.25">
      <c r="A40" s="71">
        <v>43585</v>
      </c>
      <c r="B40" s="72">
        <v>47.2</v>
      </c>
      <c r="C40" s="73">
        <v>65.930000000000007</v>
      </c>
      <c r="D40" s="147">
        <v>43724</v>
      </c>
      <c r="E40" s="75" t="s">
        <v>695</v>
      </c>
      <c r="F40" s="73">
        <v>735.86</v>
      </c>
      <c r="G40" s="147"/>
      <c r="H40" s="75"/>
      <c r="I40" s="73"/>
      <c r="J40" s="234"/>
      <c r="K40" s="73"/>
      <c r="L40" s="1609">
        <v>43563</v>
      </c>
      <c r="M40" s="73">
        <v>8.4</v>
      </c>
      <c r="N40" s="894"/>
      <c r="O40" s="73"/>
      <c r="P40" s="71"/>
      <c r="Q40" s="73"/>
      <c r="R40" s="71"/>
      <c r="S40" s="73"/>
      <c r="T40" s="894">
        <v>43739</v>
      </c>
      <c r="U40" s="1199" t="s">
        <v>960</v>
      </c>
      <c r="V40" s="73">
        <v>17.440000000000001</v>
      </c>
      <c r="W40" s="894"/>
      <c r="X40" s="1199"/>
      <c r="Y40" s="73"/>
      <c r="Z40" s="894">
        <v>43739</v>
      </c>
      <c r="AA40" s="1199" t="s">
        <v>960</v>
      </c>
      <c r="AB40" s="73">
        <v>56.02</v>
      </c>
      <c r="AC40" s="894"/>
      <c r="AD40" s="1199"/>
      <c r="AE40" s="73"/>
      <c r="AF40" s="1112">
        <v>0.43</v>
      </c>
      <c r="AG40" s="1113">
        <v>8.52</v>
      </c>
      <c r="AH40" s="1110">
        <v>728</v>
      </c>
      <c r="AI40" s="238">
        <v>60</v>
      </c>
      <c r="AJ40" s="838"/>
      <c r="AK40" s="839"/>
      <c r="AL40" s="51">
        <f t="shared" si="0"/>
        <v>1.3968220338983051</v>
      </c>
      <c r="AM40" s="51">
        <f t="shared" si="1"/>
        <v>6.6748897470738422E-2</v>
      </c>
    </row>
    <row r="41" spans="1:39" x14ac:dyDescent="0.25">
      <c r="A41" s="71">
        <v>43616</v>
      </c>
      <c r="B41" s="72">
        <v>75</v>
      </c>
      <c r="C41" s="73">
        <v>106.14</v>
      </c>
      <c r="D41" s="147">
        <v>43773</v>
      </c>
      <c r="E41" s="75" t="s">
        <v>719</v>
      </c>
      <c r="F41" s="73">
        <v>41.95</v>
      </c>
      <c r="G41" s="147"/>
      <c r="H41" s="75"/>
      <c r="I41" s="73"/>
      <c r="J41" s="234"/>
      <c r="K41" s="73"/>
      <c r="L41" s="1609">
        <v>43593</v>
      </c>
      <c r="M41" s="73">
        <v>8.4</v>
      </c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0.43</v>
      </c>
      <c r="AG41" s="1113">
        <v>8.4499999999999993</v>
      </c>
      <c r="AH41" s="1110">
        <v>1144</v>
      </c>
      <c r="AI41" s="238">
        <v>60</v>
      </c>
      <c r="AJ41" s="838"/>
      <c r="AK41" s="839"/>
      <c r="AL41" s="51">
        <f t="shared" si="0"/>
        <v>1.4152</v>
      </c>
      <c r="AM41" s="51">
        <f t="shared" si="1"/>
        <v>8.5126863572433376E-2</v>
      </c>
    </row>
    <row r="42" spans="1:39" x14ac:dyDescent="0.25">
      <c r="A42" s="71">
        <v>43646</v>
      </c>
      <c r="B42" s="72">
        <v>57.5</v>
      </c>
      <c r="C42" s="73">
        <v>79.86</v>
      </c>
      <c r="D42" s="147">
        <v>43847</v>
      </c>
      <c r="E42" s="75" t="s">
        <v>845</v>
      </c>
      <c r="F42" s="73">
        <v>108.92</v>
      </c>
      <c r="G42" s="147"/>
      <c r="H42" s="75"/>
      <c r="I42" s="73"/>
      <c r="J42" s="234"/>
      <c r="K42" s="73"/>
      <c r="L42" s="1609">
        <v>43623</v>
      </c>
      <c r="M42" s="73">
        <v>8.4</v>
      </c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0.42</v>
      </c>
      <c r="AG42" s="1113">
        <v>8.3699999999999992</v>
      </c>
      <c r="AH42" s="1110">
        <v>949</v>
      </c>
      <c r="AI42" s="238">
        <v>58</v>
      </c>
      <c r="AJ42" s="838"/>
      <c r="AK42" s="839"/>
      <c r="AL42" s="51">
        <f t="shared" si="0"/>
        <v>1.3888695652173912</v>
      </c>
      <c r="AM42" s="51">
        <f t="shared" si="1"/>
        <v>5.8796428789824606E-2</v>
      </c>
    </row>
    <row r="43" spans="1:39" x14ac:dyDescent="0.25">
      <c r="A43" s="71">
        <v>43677</v>
      </c>
      <c r="B43" s="72">
        <v>62</v>
      </c>
      <c r="C43" s="73">
        <v>85.55</v>
      </c>
      <c r="D43" s="147">
        <v>43787</v>
      </c>
      <c r="E43" s="75" t="s">
        <v>812</v>
      </c>
      <c r="F43" s="73">
        <v>110.77</v>
      </c>
      <c r="G43" s="1162"/>
      <c r="H43" s="75"/>
      <c r="I43" s="73"/>
      <c r="J43" s="234"/>
      <c r="K43" s="73"/>
      <c r="L43" s="1609">
        <v>43653</v>
      </c>
      <c r="M43" s="73">
        <v>8.4</v>
      </c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0.41</v>
      </c>
      <c r="AG43" s="1113">
        <v>8.31</v>
      </c>
      <c r="AH43" s="1110">
        <v>953</v>
      </c>
      <c r="AI43" s="238">
        <v>51</v>
      </c>
      <c r="AJ43" s="838"/>
      <c r="AK43" s="839"/>
      <c r="AL43" s="51">
        <f t="shared" si="0"/>
        <v>1.3798387096774194</v>
      </c>
      <c r="AM43" s="51">
        <f t="shared" si="1"/>
        <v>4.9765573249852757E-2</v>
      </c>
    </row>
    <row r="44" spans="1:39" x14ac:dyDescent="0.25">
      <c r="A44" s="71">
        <v>43708</v>
      </c>
      <c r="B44" s="72">
        <v>81.510000000000005</v>
      </c>
      <c r="C44" s="73">
        <v>111.24</v>
      </c>
      <c r="D44" s="147"/>
      <c r="E44" s="75"/>
      <c r="F44" s="73"/>
      <c r="G44" s="147"/>
      <c r="H44" s="75"/>
      <c r="I44" s="73"/>
      <c r="J44" s="234"/>
      <c r="K44" s="73"/>
      <c r="L44" s="1609">
        <v>43682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0.41</v>
      </c>
      <c r="AG44" s="1113">
        <v>8.26</v>
      </c>
      <c r="AH44" s="1110">
        <v>1194</v>
      </c>
      <c r="AI44" s="238">
        <v>60</v>
      </c>
      <c r="AJ44" s="838"/>
      <c r="AK44" s="839"/>
      <c r="AL44" s="51">
        <f t="shared" si="0"/>
        <v>1.3647405226352594</v>
      </c>
      <c r="AM44" s="51">
        <f t="shared" si="1"/>
        <v>3.4667386207692719E-2</v>
      </c>
    </row>
    <row r="45" spans="1:39" x14ac:dyDescent="0.25">
      <c r="A45" s="71">
        <v>43738</v>
      </c>
      <c r="B45" s="72">
        <v>57.1</v>
      </c>
      <c r="C45" s="73">
        <v>77.95</v>
      </c>
      <c r="D45" s="147"/>
      <c r="E45" s="75"/>
      <c r="F45" s="73"/>
      <c r="G45" s="147"/>
      <c r="H45" s="75"/>
      <c r="I45" s="73"/>
      <c r="J45" s="234"/>
      <c r="K45" s="73"/>
      <c r="L45" s="1609">
        <v>43713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0.42</v>
      </c>
      <c r="AG45" s="1113">
        <v>8.19</v>
      </c>
      <c r="AH45" s="1110">
        <v>955</v>
      </c>
      <c r="AI45" s="238">
        <v>58</v>
      </c>
      <c r="AJ45" s="838"/>
      <c r="AK45" s="839"/>
      <c r="AL45" s="51">
        <f t="shared" si="0"/>
        <v>1.3651488616462346</v>
      </c>
      <c r="AM45" s="51">
        <f t="shared" si="1"/>
        <v>3.5075725218667975E-2</v>
      </c>
    </row>
    <row r="46" spans="1:39" x14ac:dyDescent="0.25">
      <c r="A46" s="71">
        <v>43769</v>
      </c>
      <c r="B46" s="72">
        <v>52.5</v>
      </c>
      <c r="C46" s="73">
        <v>72.3</v>
      </c>
      <c r="D46" s="147"/>
      <c r="E46" s="75"/>
      <c r="F46" s="73"/>
      <c r="G46" s="147"/>
      <c r="H46" s="75"/>
      <c r="I46" s="73"/>
      <c r="J46" s="234"/>
      <c r="K46" s="73"/>
      <c r="L46" s="1609">
        <v>43746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0.42</v>
      </c>
      <c r="AG46" s="1113">
        <v>8.14</v>
      </c>
      <c r="AH46" s="1110">
        <v>835</v>
      </c>
      <c r="AI46" s="238">
        <v>59</v>
      </c>
      <c r="AJ46" s="838"/>
      <c r="AK46" s="839"/>
      <c r="AL46" s="51">
        <f t="shared" si="0"/>
        <v>1.377142857142857</v>
      </c>
      <c r="AM46" s="51">
        <f t="shared" si="1"/>
        <v>4.7069720715290364E-2</v>
      </c>
    </row>
    <row r="47" spans="1:39" x14ac:dyDescent="0.25">
      <c r="A47" s="71">
        <v>43799</v>
      </c>
      <c r="B47" s="72">
        <v>77.5</v>
      </c>
      <c r="C47" s="73">
        <v>107.21</v>
      </c>
      <c r="D47" s="147"/>
      <c r="E47" s="75"/>
      <c r="F47" s="73"/>
      <c r="G47" s="147"/>
      <c r="H47" s="75"/>
      <c r="I47" s="73"/>
      <c r="J47" s="234"/>
      <c r="K47" s="73"/>
      <c r="L47" s="1609">
        <v>43788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0.41</v>
      </c>
      <c r="AG47" s="1113">
        <v>8.11</v>
      </c>
      <c r="AH47" s="1110">
        <v>1081</v>
      </c>
      <c r="AI47" s="238">
        <v>60</v>
      </c>
      <c r="AJ47" s="838"/>
      <c r="AK47" s="839"/>
      <c r="AL47" s="51">
        <f t="shared" si="0"/>
        <v>1.3833548387096772</v>
      </c>
      <c r="AM47" s="51">
        <f t="shared" si="1"/>
        <v>5.3281702282110599E-2</v>
      </c>
    </row>
    <row r="48" spans="1:39" x14ac:dyDescent="0.25">
      <c r="A48" s="71">
        <v>43830</v>
      </c>
      <c r="B48" s="72">
        <v>60.5</v>
      </c>
      <c r="C48" s="73">
        <v>83.87</v>
      </c>
      <c r="D48" s="147"/>
      <c r="E48" s="75"/>
      <c r="F48" s="73"/>
      <c r="G48" s="147"/>
      <c r="H48" s="75"/>
      <c r="I48" s="73"/>
      <c r="J48" s="234"/>
      <c r="K48" s="73"/>
      <c r="L48" s="1609">
        <v>43818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0.42</v>
      </c>
      <c r="AG48" s="1113">
        <v>8.08</v>
      </c>
      <c r="AH48" s="1110">
        <v>901</v>
      </c>
      <c r="AI48" s="238">
        <v>60</v>
      </c>
      <c r="AJ48" s="838"/>
      <c r="AK48" s="839"/>
      <c r="AL48" s="51">
        <f t="shared" si="0"/>
        <v>1.3862809917355372</v>
      </c>
      <c r="AM48" s="51">
        <f t="shared" si="1"/>
        <v>5.6207855307970567E-2</v>
      </c>
    </row>
    <row r="49" spans="1:39" x14ac:dyDescent="0.25">
      <c r="A49" s="71">
        <v>43861</v>
      </c>
      <c r="B49" s="72">
        <v>62</v>
      </c>
      <c r="C49" s="73">
        <v>85.89</v>
      </c>
      <c r="D49" s="147">
        <v>43928</v>
      </c>
      <c r="E49" s="75" t="s">
        <v>1075</v>
      </c>
      <c r="F49" s="73">
        <v>41.95</v>
      </c>
      <c r="G49" s="147"/>
      <c r="H49" s="75"/>
      <c r="I49" s="73"/>
      <c r="J49" s="234"/>
      <c r="K49" s="73"/>
      <c r="L49" s="1609">
        <v>43861</v>
      </c>
      <c r="M49" s="73">
        <v>8.4</v>
      </c>
      <c r="N49" s="894">
        <v>43845</v>
      </c>
      <c r="O49" s="73">
        <v>50</v>
      </c>
      <c r="P49" s="71"/>
      <c r="Q49" s="73"/>
      <c r="R49" s="71"/>
      <c r="S49" s="73"/>
      <c r="T49" s="894">
        <v>43831</v>
      </c>
      <c r="U49" s="1199" t="s">
        <v>961</v>
      </c>
      <c r="V49" s="73">
        <v>17.440000000000001</v>
      </c>
      <c r="W49" s="894">
        <v>43942</v>
      </c>
      <c r="X49" s="1199" t="s">
        <v>1079</v>
      </c>
      <c r="Y49" s="73">
        <v>40</v>
      </c>
      <c r="Z49" s="894">
        <v>43831</v>
      </c>
      <c r="AA49" s="1199" t="s">
        <v>961</v>
      </c>
      <c r="AB49" s="73">
        <v>56.02</v>
      </c>
      <c r="AC49" s="894"/>
      <c r="AD49" s="1199"/>
      <c r="AE49" s="73"/>
      <c r="AF49" s="1112">
        <v>0.42</v>
      </c>
      <c r="AG49" s="1113">
        <v>8.0299999999999994</v>
      </c>
      <c r="AH49" s="1110">
        <v>989</v>
      </c>
      <c r="AI49" s="238">
        <v>50</v>
      </c>
      <c r="AJ49" s="838"/>
      <c r="AK49" s="839"/>
      <c r="AL49" s="51">
        <f t="shared" si="0"/>
        <v>1.3853225806451612</v>
      </c>
      <c r="AM49" s="51">
        <f t="shared" si="1"/>
        <v>5.524944421759459E-2</v>
      </c>
    </row>
    <row r="50" spans="1:39" x14ac:dyDescent="0.25">
      <c r="A50" s="71">
        <v>43890</v>
      </c>
      <c r="B50" s="72">
        <v>68.5</v>
      </c>
      <c r="C50" s="73">
        <v>93.19</v>
      </c>
      <c r="D50" s="528">
        <v>44116</v>
      </c>
      <c r="E50" s="516" t="s">
        <v>1235</v>
      </c>
      <c r="F50" s="380">
        <v>260.51</v>
      </c>
      <c r="G50" s="147"/>
      <c r="H50" s="75"/>
      <c r="I50" s="73"/>
      <c r="J50" s="234"/>
      <c r="K50" s="73"/>
      <c r="L50" s="1609">
        <v>43873</v>
      </c>
      <c r="M50" s="73">
        <v>8.4</v>
      </c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17.440000000000001</v>
      </c>
      <c r="W50" s="894"/>
      <c r="X50" s="1199"/>
      <c r="Y50" s="73"/>
      <c r="Z50" s="894">
        <v>43922</v>
      </c>
      <c r="AA50" s="1199" t="s">
        <v>1008</v>
      </c>
      <c r="AB50" s="73">
        <v>56.02</v>
      </c>
      <c r="AC50" s="894"/>
      <c r="AD50" s="1199"/>
      <c r="AE50" s="73"/>
      <c r="AF50" s="1112">
        <v>0.41</v>
      </c>
      <c r="AG50" s="1113">
        <v>7.99</v>
      </c>
      <c r="AH50" s="1110">
        <v>1021</v>
      </c>
      <c r="AI50" s="238">
        <v>59</v>
      </c>
      <c r="AJ50" s="838"/>
      <c r="AK50" s="839"/>
      <c r="AL50" s="51">
        <f t="shared" si="0"/>
        <v>1.3604379562043796</v>
      </c>
      <c r="AM50" s="51">
        <f t="shared" si="1"/>
        <v>3.0364819776812935E-2</v>
      </c>
    </row>
    <row r="51" spans="1:39" x14ac:dyDescent="0.25">
      <c r="A51" s="71">
        <v>43921</v>
      </c>
      <c r="B51" s="72">
        <v>24</v>
      </c>
      <c r="C51" s="73">
        <v>32.65</v>
      </c>
      <c r="D51" s="147"/>
      <c r="E51" s="75"/>
      <c r="F51" s="73"/>
      <c r="G51" s="147"/>
      <c r="H51" s="75"/>
      <c r="I51" s="73"/>
      <c r="J51" s="234"/>
      <c r="K51" s="73"/>
      <c r="L51" s="1609">
        <v>43899</v>
      </c>
      <c r="M51" s="73">
        <v>8.4</v>
      </c>
      <c r="N51" s="894"/>
      <c r="O51" s="73"/>
      <c r="P51" s="71"/>
      <c r="Q51" s="73"/>
      <c r="R51" s="71"/>
      <c r="S51" s="73"/>
      <c r="T51" s="894">
        <v>44006</v>
      </c>
      <c r="U51" s="1199" t="s">
        <v>1223</v>
      </c>
      <c r="V51" s="73">
        <v>17.440000000000001</v>
      </c>
      <c r="W51" s="894"/>
      <c r="X51" s="1199"/>
      <c r="Y51" s="73"/>
      <c r="Z51" s="894">
        <v>44007</v>
      </c>
      <c r="AA51" s="1199" t="s">
        <v>1223</v>
      </c>
      <c r="AB51" s="73">
        <v>56.02</v>
      </c>
      <c r="AC51" s="894"/>
      <c r="AD51" s="1199"/>
      <c r="AE51" s="73"/>
      <c r="AF51" s="1112">
        <v>0.43</v>
      </c>
      <c r="AG51" s="1113">
        <v>8.19</v>
      </c>
      <c r="AH51" s="1110">
        <v>402</v>
      </c>
      <c r="AI51" s="238">
        <v>35</v>
      </c>
      <c r="AJ51" s="838"/>
      <c r="AK51" s="839"/>
      <c r="AL51" s="51">
        <f t="shared" si="0"/>
        <v>1.3604166666666666</v>
      </c>
      <c r="AM51" s="51">
        <f t="shared" si="1"/>
        <v>3.0343530239099969E-2</v>
      </c>
    </row>
    <row r="52" spans="1:39" x14ac:dyDescent="0.25">
      <c r="A52" s="71">
        <v>43951</v>
      </c>
      <c r="B52" s="72">
        <v>24.5</v>
      </c>
      <c r="C52" s="73">
        <v>31.69</v>
      </c>
      <c r="D52" s="147"/>
      <c r="E52" s="75"/>
      <c r="F52" s="73"/>
      <c r="G52" s="147"/>
      <c r="H52" s="75"/>
      <c r="I52" s="73"/>
      <c r="J52" s="234"/>
      <c r="K52" s="73"/>
      <c r="L52" s="1609">
        <v>43929</v>
      </c>
      <c r="M52" s="73">
        <v>8.4</v>
      </c>
      <c r="N52" s="894"/>
      <c r="O52" s="73"/>
      <c r="P52" s="71"/>
      <c r="Q52" s="73"/>
      <c r="R52" s="71"/>
      <c r="S52" s="73"/>
      <c r="T52" s="894">
        <v>44091</v>
      </c>
      <c r="U52" s="1199" t="s">
        <v>1224</v>
      </c>
      <c r="V52" s="73">
        <v>17.440000000000001</v>
      </c>
      <c r="W52" s="894"/>
      <c r="X52" s="1199"/>
      <c r="Y52" s="73"/>
      <c r="Z52" s="894">
        <v>44091</v>
      </c>
      <c r="AA52" s="1199" t="s">
        <v>1222</v>
      </c>
      <c r="AB52" s="73">
        <v>56.02</v>
      </c>
      <c r="AC52" s="894"/>
      <c r="AD52" s="1199"/>
      <c r="AE52" s="73"/>
      <c r="AF52" s="1112">
        <v>0.42</v>
      </c>
      <c r="AG52" s="1113">
        <v>7.94</v>
      </c>
      <c r="AH52" s="1110">
        <v>453</v>
      </c>
      <c r="AI52" s="238">
        <v>54</v>
      </c>
      <c r="AJ52" s="838"/>
      <c r="AK52" s="839"/>
      <c r="AL52" s="51">
        <f t="shared" si="0"/>
        <v>1.293469387755102</v>
      </c>
      <c r="AM52" s="51">
        <f t="shared" si="1"/>
        <v>-3.6603748672464631E-2</v>
      </c>
    </row>
    <row r="53" spans="1:39" x14ac:dyDescent="0.25">
      <c r="A53" s="71">
        <v>43982</v>
      </c>
      <c r="B53" s="72">
        <v>14</v>
      </c>
      <c r="C53" s="73">
        <v>18.11</v>
      </c>
      <c r="D53" s="147"/>
      <c r="E53" s="75"/>
      <c r="F53" s="73"/>
      <c r="G53" s="147"/>
      <c r="H53" s="75"/>
      <c r="I53" s="73"/>
      <c r="J53" s="234"/>
      <c r="K53" s="73"/>
      <c r="L53" s="1609">
        <v>43958</v>
      </c>
      <c r="M53" s="73">
        <v>8.4</v>
      </c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0.42</v>
      </c>
      <c r="AG53" s="1113">
        <v>7.94</v>
      </c>
      <c r="AH53" s="1110">
        <v>198</v>
      </c>
      <c r="AI53" s="238">
        <v>40</v>
      </c>
      <c r="AJ53" s="838"/>
      <c r="AK53" s="839"/>
      <c r="AL53" s="51">
        <f t="shared" si="0"/>
        <v>1.2935714285714286</v>
      </c>
      <c r="AM53" s="51">
        <f t="shared" si="1"/>
        <v>-3.6501707856138044E-2</v>
      </c>
    </row>
    <row r="54" spans="1:39" x14ac:dyDescent="0.25">
      <c r="A54" s="71">
        <v>44012</v>
      </c>
      <c r="B54" s="72">
        <v>80.5</v>
      </c>
      <c r="C54" s="73">
        <v>98.97</v>
      </c>
      <c r="D54" s="147"/>
      <c r="E54" s="75"/>
      <c r="F54" s="73"/>
      <c r="G54" s="147"/>
      <c r="H54" s="75"/>
      <c r="I54" s="73"/>
      <c r="J54" s="234"/>
      <c r="K54" s="73"/>
      <c r="L54" s="1609">
        <v>43983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0.42</v>
      </c>
      <c r="AG54" s="1113">
        <v>7.89</v>
      </c>
      <c r="AH54" s="1110">
        <v>1252</v>
      </c>
      <c r="AI54" s="238">
        <v>60</v>
      </c>
      <c r="AJ54" s="838"/>
      <c r="AK54" s="839"/>
      <c r="AL54" s="51">
        <f t="shared" si="0"/>
        <v>1.2294409937888198</v>
      </c>
      <c r="AM54" s="51">
        <f t="shared" si="1"/>
        <v>-0.10063214263874687</v>
      </c>
    </row>
    <row r="55" spans="1:39" x14ac:dyDescent="0.25">
      <c r="A55" s="71">
        <v>44043</v>
      </c>
      <c r="B55" s="72">
        <v>61</v>
      </c>
      <c r="C55" s="73">
        <v>74.7</v>
      </c>
      <c r="D55" s="147"/>
      <c r="E55" s="75"/>
      <c r="F55" s="73"/>
      <c r="G55" s="147"/>
      <c r="H55" s="75"/>
      <c r="I55" s="73"/>
      <c r="J55" s="234"/>
      <c r="K55" s="73"/>
      <c r="L55" s="1609">
        <v>44025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v>0.41</v>
      </c>
      <c r="AG55" s="1113">
        <v>7.7</v>
      </c>
      <c r="AH55" s="1110">
        <v>1093</v>
      </c>
      <c r="AI55" s="238">
        <v>61</v>
      </c>
      <c r="AJ55" s="838"/>
      <c r="AK55" s="839"/>
      <c r="AL55" s="51">
        <f t="shared" si="0"/>
        <v>1.2245901639344263</v>
      </c>
      <c r="AM55" s="51">
        <f t="shared" si="1"/>
        <v>-0.10548297249314031</v>
      </c>
    </row>
    <row r="56" spans="1:39" x14ac:dyDescent="0.25">
      <c r="A56" s="71">
        <v>44074</v>
      </c>
      <c r="B56" s="72">
        <v>56</v>
      </c>
      <c r="C56" s="73">
        <v>68.150000000000006</v>
      </c>
      <c r="D56" s="147"/>
      <c r="E56" s="75"/>
      <c r="F56" s="73"/>
      <c r="G56" s="147"/>
      <c r="H56" s="75"/>
      <c r="I56" s="73"/>
      <c r="J56" s="234"/>
      <c r="K56" s="73"/>
      <c r="L56" s="1609">
        <v>44053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0.4</v>
      </c>
      <c r="AG56" s="1113">
        <v>7.7</v>
      </c>
      <c r="AH56" s="1110">
        <v>877</v>
      </c>
      <c r="AI56" s="238">
        <v>52</v>
      </c>
      <c r="AJ56" s="838"/>
      <c r="AK56" s="839"/>
      <c r="AL56" s="51">
        <f t="shared" si="0"/>
        <v>1.2169642857142857</v>
      </c>
      <c r="AM56" s="51">
        <f t="shared" si="1"/>
        <v>-0.11310885071328092</v>
      </c>
    </row>
    <row r="57" spans="1:39" x14ac:dyDescent="0.25">
      <c r="A57" s="71">
        <v>44104</v>
      </c>
      <c r="B57" s="72">
        <v>49</v>
      </c>
      <c r="C57" s="73">
        <v>59.05</v>
      </c>
      <c r="D57" s="147"/>
      <c r="E57" s="75"/>
      <c r="F57" s="73"/>
      <c r="G57" s="147"/>
      <c r="H57" s="75"/>
      <c r="I57" s="73"/>
      <c r="J57" s="234"/>
      <c r="K57" s="73"/>
      <c r="L57" s="1609">
        <v>44084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0.41</v>
      </c>
      <c r="AG57" s="1113">
        <v>7.73</v>
      </c>
      <c r="AH57" s="1110">
        <v>768</v>
      </c>
      <c r="AI57" s="238">
        <v>60</v>
      </c>
      <c r="AJ57" s="838"/>
      <c r="AK57" s="839"/>
      <c r="AL57" s="51">
        <f t="shared" si="0"/>
        <v>1.2051020408163264</v>
      </c>
      <c r="AM57" s="51">
        <f t="shared" si="1"/>
        <v>-0.1249710956112402</v>
      </c>
    </row>
    <row r="58" spans="1:39" x14ac:dyDescent="0.25">
      <c r="A58" s="71">
        <v>44135</v>
      </c>
      <c r="B58" s="72">
        <v>30</v>
      </c>
      <c r="C58" s="73">
        <v>36.159999999999997</v>
      </c>
      <c r="D58" s="147"/>
      <c r="E58" s="75"/>
      <c r="F58" s="73"/>
      <c r="G58" s="147"/>
      <c r="H58" s="75"/>
      <c r="I58" s="73"/>
      <c r="J58" s="234"/>
      <c r="K58" s="73"/>
      <c r="L58" s="1609">
        <v>44119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v>0.41</v>
      </c>
      <c r="AG58" s="1113">
        <v>7.69</v>
      </c>
      <c r="AH58" s="1110">
        <v>510</v>
      </c>
      <c r="AI58" s="238">
        <v>30</v>
      </c>
      <c r="AJ58" s="838"/>
      <c r="AK58" s="839"/>
      <c r="AL58" s="51">
        <f t="shared" si="0"/>
        <v>1.2053333333333331</v>
      </c>
      <c r="AM58" s="51">
        <f t="shared" si="1"/>
        <v>-0.12473980309423349</v>
      </c>
    </row>
    <row r="59" spans="1:39" x14ac:dyDescent="0.25">
      <c r="A59" s="71">
        <v>44165</v>
      </c>
      <c r="B59" s="72">
        <v>20</v>
      </c>
      <c r="C59" s="73">
        <v>24.03</v>
      </c>
      <c r="D59" s="147"/>
      <c r="E59" s="75"/>
      <c r="F59" s="73"/>
      <c r="G59" s="147"/>
      <c r="H59" s="75"/>
      <c r="I59" s="73"/>
      <c r="J59" s="234"/>
      <c r="K59" s="73"/>
      <c r="L59" s="1609">
        <v>44145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v>0.42</v>
      </c>
      <c r="AG59" s="1113">
        <v>7.6</v>
      </c>
      <c r="AH59" s="1110">
        <v>296</v>
      </c>
      <c r="AI59" s="238">
        <v>60</v>
      </c>
      <c r="AJ59" s="838"/>
      <c r="AK59" s="839"/>
      <c r="AL59" s="51">
        <f t="shared" si="0"/>
        <v>1.2015</v>
      </c>
      <c r="AM59" s="51">
        <f t="shared" si="1"/>
        <v>-0.12857313642756663</v>
      </c>
    </row>
    <row r="60" spans="1:39" x14ac:dyDescent="0.25">
      <c r="A60" s="71">
        <v>44196</v>
      </c>
      <c r="B60" s="72">
        <v>23.5</v>
      </c>
      <c r="C60" s="73">
        <v>28.62</v>
      </c>
      <c r="D60" s="147"/>
      <c r="E60" s="75"/>
      <c r="F60" s="73"/>
      <c r="G60" s="147"/>
      <c r="H60" s="75"/>
      <c r="I60" s="73"/>
      <c r="J60" s="234"/>
      <c r="K60" s="73"/>
      <c r="L60" s="1609">
        <v>44196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v>0.41</v>
      </c>
      <c r="AG60" s="1113">
        <v>7.53</v>
      </c>
      <c r="AH60" s="1110">
        <v>412</v>
      </c>
      <c r="AI60" s="238">
        <v>60</v>
      </c>
      <c r="AJ60" s="838"/>
      <c r="AK60" s="839"/>
      <c r="AL60" s="51">
        <f t="shared" si="0"/>
        <v>1.2178723404255321</v>
      </c>
      <c r="AM60" s="51">
        <f t="shared" si="1"/>
        <v>-0.11220079600203459</v>
      </c>
    </row>
    <row r="61" spans="1:39" x14ac:dyDescent="0.25">
      <c r="A61" s="71">
        <v>44227</v>
      </c>
      <c r="B61" s="72">
        <v>11</v>
      </c>
      <c r="C61" s="73">
        <v>13.4</v>
      </c>
      <c r="D61" s="528">
        <v>44250</v>
      </c>
      <c r="E61" s="516" t="s">
        <v>1279</v>
      </c>
      <c r="F61" s="380">
        <v>417.42</v>
      </c>
      <c r="G61" s="147"/>
      <c r="H61" s="75"/>
      <c r="I61" s="73"/>
      <c r="J61" s="234"/>
      <c r="K61" s="73"/>
      <c r="L61" s="1609">
        <v>44225</v>
      </c>
      <c r="M61" s="73">
        <v>8.4</v>
      </c>
      <c r="N61" s="894">
        <v>44216</v>
      </c>
      <c r="O61" s="73">
        <v>50</v>
      </c>
      <c r="P61" s="71"/>
      <c r="Q61" s="73"/>
      <c r="R61" s="71"/>
      <c r="S61" s="73"/>
      <c r="T61" s="894"/>
      <c r="U61" s="1199"/>
      <c r="V61" s="73"/>
      <c r="W61" s="894">
        <v>44312</v>
      </c>
      <c r="X61" s="1199" t="s">
        <v>1329</v>
      </c>
      <c r="Y61" s="73">
        <v>40</v>
      </c>
      <c r="Z61" s="894">
        <v>44197</v>
      </c>
      <c r="AA61" s="1199" t="s">
        <v>1517</v>
      </c>
      <c r="AB61" s="73">
        <v>56.02</v>
      </c>
      <c r="AC61" s="894"/>
      <c r="AD61" s="1199"/>
      <c r="AE61" s="73"/>
      <c r="AF61" s="1112">
        <v>0.41</v>
      </c>
      <c r="AG61" s="1113">
        <v>7.55</v>
      </c>
      <c r="AH61" s="1110">
        <v>192</v>
      </c>
      <c r="AI61" s="238">
        <v>49</v>
      </c>
      <c r="AJ61" s="838"/>
      <c r="AK61" s="839"/>
      <c r="AL61" s="51">
        <f t="shared" si="0"/>
        <v>1.2181818181818183</v>
      </c>
      <c r="AM61" s="51">
        <f t="shared" si="1"/>
        <v>-0.11189131824574838</v>
      </c>
    </row>
    <row r="62" spans="1:39" x14ac:dyDescent="0.25">
      <c r="A62" s="71">
        <v>44255</v>
      </c>
      <c r="B62" s="72">
        <v>20</v>
      </c>
      <c r="C62" s="73">
        <v>24.36</v>
      </c>
      <c r="D62" s="147"/>
      <c r="E62" s="75"/>
      <c r="F62" s="73"/>
      <c r="G62" s="147"/>
      <c r="H62" s="75"/>
      <c r="I62" s="73"/>
      <c r="J62" s="234"/>
      <c r="K62" s="73"/>
      <c r="L62" s="1609">
        <v>44231</v>
      </c>
      <c r="M62" s="73">
        <v>8.4</v>
      </c>
      <c r="N62" s="894"/>
      <c r="O62" s="73"/>
      <c r="P62" s="71"/>
      <c r="Q62" s="73"/>
      <c r="R62" s="71"/>
      <c r="S62" s="73"/>
      <c r="T62" s="894">
        <v>44378</v>
      </c>
      <c r="U62" s="1199" t="s">
        <v>1402</v>
      </c>
      <c r="V62" s="73">
        <v>17.440000000000001</v>
      </c>
      <c r="W62" s="894"/>
      <c r="X62" s="1199"/>
      <c r="Y62" s="73"/>
      <c r="Z62" s="894">
        <v>44287</v>
      </c>
      <c r="AA62" s="1199" t="s">
        <v>1518</v>
      </c>
      <c r="AB62" s="73">
        <v>56.02</v>
      </c>
      <c r="AC62" s="894"/>
      <c r="AD62" s="1199"/>
      <c r="AE62" s="73"/>
      <c r="AF62" s="1112">
        <v>0.41</v>
      </c>
      <c r="AG62" s="1113">
        <v>7.59</v>
      </c>
      <c r="AH62" s="1110">
        <v>306</v>
      </c>
      <c r="AI62" s="238">
        <v>29</v>
      </c>
      <c r="AJ62" s="838"/>
      <c r="AK62" s="839"/>
      <c r="AL62" s="51">
        <f t="shared" si="0"/>
        <v>1.218</v>
      </c>
      <c r="AM62" s="51">
        <f t="shared" si="1"/>
        <v>-0.11207313642756667</v>
      </c>
    </row>
    <row r="63" spans="1:39" x14ac:dyDescent="0.25">
      <c r="A63" s="71">
        <v>44286</v>
      </c>
      <c r="B63" s="72">
        <v>13</v>
      </c>
      <c r="C63" s="73">
        <v>15.83</v>
      </c>
      <c r="D63" s="147"/>
      <c r="E63" s="75"/>
      <c r="F63" s="73"/>
      <c r="G63" s="147"/>
      <c r="H63" s="75"/>
      <c r="I63" s="73"/>
      <c r="J63" s="234"/>
      <c r="K63" s="73"/>
      <c r="L63" s="1609">
        <v>44264</v>
      </c>
      <c r="M63" s="73">
        <v>8.4</v>
      </c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>
        <v>44378</v>
      </c>
      <c r="AA63" s="1199" t="s">
        <v>1402</v>
      </c>
      <c r="AB63" s="73">
        <v>56.02</v>
      </c>
      <c r="AC63" s="894"/>
      <c r="AD63" s="1199"/>
      <c r="AE63" s="73"/>
      <c r="AF63" s="1112">
        <v>0.41</v>
      </c>
      <c r="AG63" s="1113">
        <v>7.58</v>
      </c>
      <c r="AH63" s="1110">
        <v>227</v>
      </c>
      <c r="AI63" s="238">
        <v>16</v>
      </c>
      <c r="AJ63" s="838"/>
      <c r="AK63" s="839"/>
      <c r="AL63" s="51">
        <f t="shared" si="0"/>
        <v>1.2176923076923076</v>
      </c>
      <c r="AM63" s="51">
        <f t="shared" si="1"/>
        <v>-0.11238082873525901</v>
      </c>
    </row>
    <row r="64" spans="1:39" x14ac:dyDescent="0.25">
      <c r="A64" s="71">
        <v>44316</v>
      </c>
      <c r="B64" s="72">
        <v>25</v>
      </c>
      <c r="C64" s="73">
        <v>33.619999999999997</v>
      </c>
      <c r="D64" s="147"/>
      <c r="E64" s="75"/>
      <c r="F64" s="73"/>
      <c r="G64" s="147"/>
      <c r="H64" s="75"/>
      <c r="I64" s="73"/>
      <c r="J64" s="234"/>
      <c r="K64" s="73"/>
      <c r="L64" s="1609">
        <v>44295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>
        <v>44470</v>
      </c>
      <c r="AA64" s="1199" t="s">
        <v>1516</v>
      </c>
      <c r="AB64" s="73">
        <v>56.02</v>
      </c>
      <c r="AC64" s="894"/>
      <c r="AD64" s="1199"/>
      <c r="AE64" s="73"/>
      <c r="AF64" s="1112">
        <v>0.41</v>
      </c>
      <c r="AG64" s="1113">
        <v>7.59</v>
      </c>
      <c r="AH64" s="1110">
        <v>423</v>
      </c>
      <c r="AI64" s="238">
        <v>50</v>
      </c>
      <c r="AJ64" s="838"/>
      <c r="AK64" s="839"/>
      <c r="AL64" s="51">
        <f t="shared" si="0"/>
        <v>1.3448</v>
      </c>
      <c r="AM64" s="51">
        <f t="shared" si="1"/>
        <v>1.4726863572433357E-2</v>
      </c>
    </row>
    <row r="65" spans="1:39" x14ac:dyDescent="0.25">
      <c r="A65" s="71">
        <v>44347</v>
      </c>
      <c r="B65" s="72">
        <v>42</v>
      </c>
      <c r="C65" s="73">
        <v>57.01</v>
      </c>
      <c r="D65" s="147"/>
      <c r="E65" s="75"/>
      <c r="F65" s="73"/>
      <c r="G65" s="147"/>
      <c r="H65" s="75"/>
      <c r="I65" s="73"/>
      <c r="J65" s="234"/>
      <c r="K65" s="73"/>
      <c r="L65" s="1609">
        <v>44320</v>
      </c>
      <c r="M65" s="73">
        <v>8.4</v>
      </c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v>0.41</v>
      </c>
      <c r="AG65" s="1113">
        <v>7.67</v>
      </c>
      <c r="AH65" s="1110">
        <v>603</v>
      </c>
      <c r="AI65" s="238">
        <v>60</v>
      </c>
      <c r="AJ65" s="838"/>
      <c r="AK65" s="839"/>
      <c r="AL65" s="51">
        <f t="shared" si="0"/>
        <v>1.3573809523809524</v>
      </c>
      <c r="AM65" s="51">
        <f t="shared" si="1"/>
        <v>2.7307815953385717E-2</v>
      </c>
    </row>
    <row r="66" spans="1:39" x14ac:dyDescent="0.25">
      <c r="A66" s="71">
        <v>44377</v>
      </c>
      <c r="B66" s="72">
        <v>41</v>
      </c>
      <c r="C66" s="73">
        <v>55.66</v>
      </c>
      <c r="D66" s="147"/>
      <c r="E66" s="75"/>
      <c r="F66" s="73"/>
      <c r="G66" s="147"/>
      <c r="H66" s="75"/>
      <c r="I66" s="73"/>
      <c r="J66" s="234"/>
      <c r="K66" s="73"/>
      <c r="L66" s="1785">
        <v>44351</v>
      </c>
      <c r="M66" s="73">
        <v>8.4</v>
      </c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v>0.4</v>
      </c>
      <c r="AG66" s="1113">
        <v>7.64</v>
      </c>
      <c r="AH66" s="1110">
        <v>719</v>
      </c>
      <c r="AI66" s="238">
        <v>19</v>
      </c>
      <c r="AJ66" s="838"/>
      <c r="AK66" s="839"/>
      <c r="AL66" s="51">
        <f t="shared" si="0"/>
        <v>1.357560975609756</v>
      </c>
      <c r="AM66" s="51">
        <f t="shared" si="1"/>
        <v>2.7487839182189333E-2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>
        <v>44383</v>
      </c>
      <c r="M67" s="73">
        <v>8.4</v>
      </c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ref="AF67:AF96" ca="1" si="2">$F$5</f>
        <v>0.39216349170746029</v>
      </c>
      <c r="AG67" s="1113">
        <f>SUM($B$9:B67)/($J$1-$B$4)*100</f>
        <v>7.6428602141290787</v>
      </c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785">
        <v>44415</v>
      </c>
      <c r="M68" s="73">
        <v>8.4</v>
      </c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2"/>
        <v>0.39216349170746029</v>
      </c>
      <c r="AG68" s="1113">
        <f>SUM($B$9:B68)/($J$1-$B$4)*100</f>
        <v>7.6428602141290787</v>
      </c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>
        <v>44446</v>
      </c>
      <c r="M69" s="73">
        <v>8.4</v>
      </c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2"/>
        <v>0.39216349170746029</v>
      </c>
      <c r="AG69" s="1113">
        <f>SUM($B$9:B69)/($J$1-$B$4)*100</f>
        <v>7.6428602141290787</v>
      </c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>
        <v>44470</v>
      </c>
      <c r="M70" s="73">
        <v>8.4</v>
      </c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2"/>
        <v>0.39216349170746029</v>
      </c>
      <c r="AG70" s="1113">
        <f>SUM($B$9:B70)/($J$1-$B$4)*100</f>
        <v>7.6428602141290787</v>
      </c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>
        <v>44504</v>
      </c>
      <c r="M71" s="73">
        <v>8.4</v>
      </c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2"/>
        <v>0.39216349170746029</v>
      </c>
      <c r="AG71" s="1113">
        <f>SUM($B$9:B71)/($J$1-$B$4)*100</f>
        <v>7.6428602141290787</v>
      </c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>
        <v>44531</v>
      </c>
      <c r="M72" s="73">
        <v>8.4</v>
      </c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2"/>
        <v>0.39216349170746029</v>
      </c>
      <c r="AG72" s="1113">
        <f>SUM($B$9:B72)/($J$1-$B$4)*100</f>
        <v>7.6428602141290787</v>
      </c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>
        <v>44565</v>
      </c>
      <c r="M73" s="73">
        <v>8.4</v>
      </c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>
        <v>44562</v>
      </c>
      <c r="AA73" s="1199" t="s">
        <v>1541</v>
      </c>
      <c r="AB73" s="73">
        <v>56.02</v>
      </c>
      <c r="AC73" s="894"/>
      <c r="AD73" s="1199"/>
      <c r="AE73" s="73"/>
      <c r="AF73" s="1112">
        <f t="shared" ca="1" si="2"/>
        <v>0.39216349170746029</v>
      </c>
      <c r="AG73" s="1113">
        <f>SUM($B$9:B73)/($J$1-$B$4)*100</f>
        <v>7.6428602141290787</v>
      </c>
      <c r="AH73" s="1110"/>
      <c r="AI73" s="238"/>
      <c r="AJ73" s="838"/>
      <c r="AK73" s="839"/>
      <c r="AL73" s="51" t="e">
        <f t="shared" ref="AL73:AL96" si="3">C73/B73</f>
        <v>#DIV/0!</v>
      </c>
      <c r="AM73" s="51" t="e">
        <f t="shared" ref="AM73:AM96" si="4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>
        <v>44594</v>
      </c>
      <c r="M74" s="73">
        <v>8.4</v>
      </c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2"/>
        <v>0.39216349170746029</v>
      </c>
      <c r="AG74" s="1113">
        <f>SUM($B$9:B74)/($J$1-$B$4)*100</f>
        <v>7.6428602141290787</v>
      </c>
      <c r="AH74" s="1110"/>
      <c r="AI74" s="238"/>
      <c r="AJ74" s="838"/>
      <c r="AK74" s="839"/>
      <c r="AL74" s="51" t="e">
        <f t="shared" si="3"/>
        <v>#DIV/0!</v>
      </c>
      <c r="AM74" s="51" t="e">
        <f t="shared" si="4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1609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2"/>
        <v>0.39216349170746029</v>
      </c>
      <c r="AG75" s="1113">
        <f>SUM($B$9:B75)/($J$1-$B$4)*100</f>
        <v>7.6428602141290787</v>
      </c>
      <c r="AH75" s="1110"/>
      <c r="AI75" s="238"/>
      <c r="AJ75" s="838"/>
      <c r="AK75" s="839"/>
      <c r="AL75" s="51" t="e">
        <f t="shared" si="3"/>
        <v>#DIV/0!</v>
      </c>
      <c r="AM75" s="51" t="e">
        <f t="shared" si="4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1609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2"/>
        <v>0.39216349170746029</v>
      </c>
      <c r="AG76" s="1113">
        <f>SUM($B$9:B76)/($J$1-$B$4)*100</f>
        <v>7.6428602141290787</v>
      </c>
      <c r="AH76" s="1110"/>
      <c r="AI76" s="238"/>
      <c r="AJ76" s="838"/>
      <c r="AK76" s="839"/>
      <c r="AL76" s="51" t="e">
        <f t="shared" si="3"/>
        <v>#DIV/0!</v>
      </c>
      <c r="AM76" s="51" t="e">
        <f t="shared" si="4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1609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2"/>
        <v>0.39216349170746029</v>
      </c>
      <c r="AG77" s="1113">
        <f>SUM($B$9:B77)/($J$1-$B$4)*100</f>
        <v>7.6428602141290787</v>
      </c>
      <c r="AH77" s="1110"/>
      <c r="AI77" s="238"/>
      <c r="AJ77" s="838"/>
      <c r="AK77" s="839"/>
      <c r="AL77" s="51" t="e">
        <f t="shared" si="3"/>
        <v>#DIV/0!</v>
      </c>
      <c r="AM77" s="51" t="e">
        <f t="shared" si="4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1609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2"/>
        <v>0.39216349170746029</v>
      </c>
      <c r="AG78" s="1113">
        <f>SUM($B$9:B78)/($J$1-$B$4)*100</f>
        <v>7.6428602141290787</v>
      </c>
      <c r="AH78" s="1110"/>
      <c r="AI78" s="238"/>
      <c r="AJ78" s="838"/>
      <c r="AK78" s="839"/>
      <c r="AL78" s="51" t="e">
        <f t="shared" si="3"/>
        <v>#DIV/0!</v>
      </c>
      <c r="AM78" s="51" t="e">
        <f t="shared" si="4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161"/>
      <c r="H79" s="831"/>
      <c r="I79" s="835"/>
      <c r="J79" s="234"/>
      <c r="K79" s="73"/>
      <c r="L79" s="1609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2"/>
        <v>0.39216349170746029</v>
      </c>
      <c r="AG79" s="1113">
        <f>SUM($B$9:B79)/($J$1-$B$4)*100</f>
        <v>7.6428602141290787</v>
      </c>
      <c r="AH79" s="1110"/>
      <c r="AI79" s="238"/>
      <c r="AJ79" s="838"/>
      <c r="AK79" s="839"/>
      <c r="AL79" s="51" t="e">
        <f t="shared" si="3"/>
        <v>#DIV/0!</v>
      </c>
      <c r="AM79" s="51" t="e">
        <f t="shared" si="4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1609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2"/>
        <v>0.39216349170746029</v>
      </c>
      <c r="AG80" s="1113">
        <f>SUM($B$9:B80)/($J$1-$B$4)*100</f>
        <v>7.6428602141290787</v>
      </c>
      <c r="AH80" s="1110"/>
      <c r="AI80" s="238"/>
      <c r="AJ80" s="838"/>
      <c r="AK80" s="839"/>
      <c r="AL80" s="51" t="e">
        <f t="shared" si="3"/>
        <v>#DIV/0!</v>
      </c>
      <c r="AM80" s="51" t="e">
        <f t="shared" si="4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1609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2"/>
        <v>0.39216349170746029</v>
      </c>
      <c r="AG81" s="1113">
        <f>SUM($B$9:B81)/($J$1-$B$4)*100</f>
        <v>7.6428602141290787</v>
      </c>
      <c r="AH81" s="1110"/>
      <c r="AI81" s="238"/>
      <c r="AJ81" s="838"/>
      <c r="AK81" s="839"/>
      <c r="AL81" s="51" t="e">
        <f t="shared" si="3"/>
        <v>#DIV/0!</v>
      </c>
      <c r="AM81" s="51" t="e">
        <f t="shared" si="4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1609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2"/>
        <v>0.39216349170746029</v>
      </c>
      <c r="AG82" s="1113">
        <f>SUM($B$9:B82)/($J$1-$B$4)*100</f>
        <v>7.6428602141290787</v>
      </c>
      <c r="AH82" s="1110"/>
      <c r="AI82" s="238"/>
      <c r="AJ82" s="838"/>
      <c r="AK82" s="839"/>
      <c r="AL82" s="51" t="e">
        <f t="shared" si="3"/>
        <v>#DIV/0!</v>
      </c>
      <c r="AM82" s="51" t="e">
        <f t="shared" si="4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1609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2"/>
        <v>0.39216349170746029</v>
      </c>
      <c r="AG83" s="1113">
        <f>SUM($B$9:B83)/($J$1-$B$4)*100</f>
        <v>7.6428602141290787</v>
      </c>
      <c r="AH83" s="1110"/>
      <c r="AI83" s="238"/>
      <c r="AJ83" s="838"/>
      <c r="AK83" s="839"/>
      <c r="AL83" s="51" t="e">
        <f t="shared" si="3"/>
        <v>#DIV/0!</v>
      </c>
      <c r="AM83" s="51" t="e">
        <f t="shared" si="4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1609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2"/>
        <v>0.39216349170746029</v>
      </c>
      <c r="AG84" s="1113">
        <f>SUM($B$9:B84)/($J$1-$B$4)*100</f>
        <v>7.6428602141290787</v>
      </c>
      <c r="AH84" s="1110"/>
      <c r="AI84" s="238"/>
      <c r="AJ84" s="838"/>
      <c r="AK84" s="839"/>
      <c r="AL84" s="51" t="e">
        <f t="shared" si="3"/>
        <v>#DIV/0!</v>
      </c>
      <c r="AM84" s="51" t="e">
        <f t="shared" si="4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1609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2"/>
        <v>0.39216349170746029</v>
      </c>
      <c r="AG85" s="1113">
        <f>SUM($B$9:B85)/($J$1-$B$4)*100</f>
        <v>7.6428602141290787</v>
      </c>
      <c r="AH85" s="1110"/>
      <c r="AI85" s="238"/>
      <c r="AJ85" s="838"/>
      <c r="AK85" s="839"/>
      <c r="AL85" s="51" t="e">
        <f t="shared" si="3"/>
        <v>#DIV/0!</v>
      </c>
      <c r="AM85" s="51" t="e">
        <f t="shared" si="4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1609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2"/>
        <v>0.39216349170746029</v>
      </c>
      <c r="AG86" s="1113">
        <f>SUM($B$9:B86)/($J$1-$B$4)*100</f>
        <v>7.6428602141290787</v>
      </c>
      <c r="AH86" s="1110"/>
      <c r="AI86" s="238"/>
      <c r="AJ86" s="838"/>
      <c r="AK86" s="839"/>
      <c r="AL86" s="51" t="e">
        <f t="shared" si="3"/>
        <v>#DIV/0!</v>
      </c>
      <c r="AM86" s="51" t="e">
        <f t="shared" si="4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1609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2"/>
        <v>0.39216349170746029</v>
      </c>
      <c r="AG87" s="1113">
        <f>SUM($B$9:B87)/($J$1-$B$4)*100</f>
        <v>7.6428602141290787</v>
      </c>
      <c r="AH87" s="1110"/>
      <c r="AI87" s="238"/>
      <c r="AJ87" s="838"/>
      <c r="AK87" s="839"/>
      <c r="AL87" s="51" t="e">
        <f t="shared" si="3"/>
        <v>#DIV/0!</v>
      </c>
      <c r="AM87" s="51" t="e">
        <f t="shared" si="4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1609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2"/>
        <v>0.39216349170746029</v>
      </c>
      <c r="AG88" s="1113">
        <f>SUM($B$9:B88)/($J$1-$B$4)*100</f>
        <v>7.6428602141290787</v>
      </c>
      <c r="AH88" s="1110"/>
      <c r="AI88" s="238"/>
      <c r="AJ88" s="838"/>
      <c r="AK88" s="839"/>
      <c r="AL88" s="51" t="e">
        <f t="shared" si="3"/>
        <v>#DIV/0!</v>
      </c>
      <c r="AM88" s="51" t="e">
        <f t="shared" si="4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1609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2"/>
        <v>0.39216349170746029</v>
      </c>
      <c r="AG89" s="1113">
        <f>SUM($B$9:B89)/($J$1-$B$4)*100</f>
        <v>7.6428602141290787</v>
      </c>
      <c r="AH89" s="1110"/>
      <c r="AI89" s="238"/>
      <c r="AJ89" s="838"/>
      <c r="AK89" s="839"/>
      <c r="AL89" s="51" t="e">
        <f t="shared" si="3"/>
        <v>#DIV/0!</v>
      </c>
      <c r="AM89" s="51" t="e">
        <f t="shared" si="4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1609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2"/>
        <v>0.39216349170746029</v>
      </c>
      <c r="AG90" s="1113">
        <f>SUM($B$9:B90)/($J$1-$B$4)*100</f>
        <v>7.6428602141290787</v>
      </c>
      <c r="AH90" s="1110"/>
      <c r="AI90" s="238"/>
      <c r="AJ90" s="838"/>
      <c r="AK90" s="839"/>
      <c r="AL90" s="51" t="e">
        <f t="shared" si="3"/>
        <v>#DIV/0!</v>
      </c>
      <c r="AM90" s="51" t="e">
        <f t="shared" si="4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1609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2"/>
        <v>0.39216349170746029</v>
      </c>
      <c r="AG91" s="1113">
        <f>SUM($B$9:B91)/($J$1-$B$4)*100</f>
        <v>7.6428602141290787</v>
      </c>
      <c r="AH91" s="1110"/>
      <c r="AI91" s="238"/>
      <c r="AJ91" s="838"/>
      <c r="AK91" s="839"/>
      <c r="AL91" s="51" t="e">
        <f t="shared" si="3"/>
        <v>#DIV/0!</v>
      </c>
      <c r="AM91" s="51" t="e">
        <f t="shared" si="4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1609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2"/>
        <v>0.39216349170746029</v>
      </c>
      <c r="AG92" s="1113">
        <f>SUM($B$9:B92)/($J$1-$B$4)*100</f>
        <v>7.6428602141290787</v>
      </c>
      <c r="AH92" s="1110"/>
      <c r="AI92" s="238"/>
      <c r="AJ92" s="838"/>
      <c r="AK92" s="839"/>
      <c r="AL92" s="51" t="e">
        <f t="shared" si="3"/>
        <v>#DIV/0!</v>
      </c>
      <c r="AM92" s="51" t="e">
        <f t="shared" si="4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1609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2"/>
        <v>0.39216349170746029</v>
      </c>
      <c r="AG93" s="1113">
        <f>SUM($B$9:B93)/($J$1-$B$4)*100</f>
        <v>7.6428602141290787</v>
      </c>
      <c r="AH93" s="1110"/>
      <c r="AI93" s="238"/>
      <c r="AJ93" s="838"/>
      <c r="AK93" s="839"/>
      <c r="AL93" s="51" t="e">
        <f t="shared" si="3"/>
        <v>#DIV/0!</v>
      </c>
      <c r="AM93" s="51" t="e">
        <f t="shared" si="4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1609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2"/>
        <v>0.39216349170746029</v>
      </c>
      <c r="AG94" s="1113">
        <f>SUM($B$9:B94)/($J$1-$B$4)*100</f>
        <v>7.6428602141290787</v>
      </c>
      <c r="AH94" s="1110"/>
      <c r="AI94" s="238"/>
      <c r="AJ94" s="838"/>
      <c r="AK94" s="839"/>
      <c r="AL94" s="51" t="e">
        <f t="shared" si="3"/>
        <v>#DIV/0!</v>
      </c>
      <c r="AM94" s="51" t="e">
        <f t="shared" si="4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1609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2"/>
        <v>0.39216349170746029</v>
      </c>
      <c r="AG95" s="1113">
        <f>SUM($B$9:B95)/($J$1-$B$4)*100</f>
        <v>7.6428602141290787</v>
      </c>
      <c r="AH95" s="1110"/>
      <c r="AI95" s="238"/>
      <c r="AJ95" s="838"/>
      <c r="AK95" s="839"/>
      <c r="AL95" s="51" t="e">
        <f t="shared" si="3"/>
        <v>#DIV/0!</v>
      </c>
      <c r="AM95" s="51" t="e">
        <f t="shared" si="4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1609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2"/>
        <v>0.39216349170746029</v>
      </c>
      <c r="AG96" s="1113">
        <f>SUM($B$9:B96)/($J$1-$B$4)*100</f>
        <v>7.6428602141290787</v>
      </c>
      <c r="AH96" s="1110"/>
      <c r="AI96" s="238"/>
      <c r="AJ96" s="838"/>
      <c r="AK96" s="839"/>
      <c r="AL96" s="51" t="e">
        <f t="shared" si="3"/>
        <v>#DIV/0!</v>
      </c>
      <c r="AM96" s="51" t="e">
        <f t="shared" si="4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896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0.38880573580936134</v>
      </c>
      <c r="AG98" s="1109">
        <f>AVERAGE(AG9:AG97)</f>
        <v>8.1401796184530966</v>
      </c>
      <c r="AH98" s="1228">
        <f ca="1">SUMIFS($AH$9:$AH$97,$A$9:$A$97,"&gt;="&amp;$C99,$A$9:$A$97,"&lt;="&amp;$D99)</f>
        <v>10741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0.35419230461185419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-3.7971187095606096E-2</v>
      </c>
      <c r="J99" s="1303">
        <f ca="1">(F99/F5)-1</f>
        <v>-9.6824890379982653E-2</v>
      </c>
      <c r="K99" s="2253">
        <f ca="1">((D99-C99)/(365.25/12)*F3)+C102+F102+I102+K102+M102+O102+Q102+S102+AE106</f>
        <v>5739.2902531645568</v>
      </c>
      <c r="L99" s="2253"/>
      <c r="M99" s="1472" t="s">
        <v>1135</v>
      </c>
      <c r="N99" s="1470"/>
      <c r="O99" s="1471"/>
      <c r="P99" s="1189">
        <f ca="1">K99/AH98</f>
        <v>0.53433481548874007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9.01</v>
      </c>
      <c r="AH99" s="1226">
        <f>AVERAGE(AH9:AH97)</f>
        <v>821.22222222222217</v>
      </c>
      <c r="AI99" s="150"/>
      <c r="AJ99" s="150"/>
      <c r="AK99" s="150"/>
    </row>
    <row r="100" spans="1:38" s="561" customFormat="1" x14ac:dyDescent="0.25">
      <c r="A100" s="1178" t="s">
        <v>877</v>
      </c>
      <c r="B100" s="1179"/>
      <c r="C100" s="1180">
        <f ca="1">C102/$AH$98</f>
        <v>7.9237501163765003E-2</v>
      </c>
      <c r="D100" s="2252" t="s">
        <v>879</v>
      </c>
      <c r="E100" s="2246"/>
      <c r="F100" s="1180">
        <f ca="1">F102/$AH$98</f>
        <v>7.7162275393352575E-2</v>
      </c>
      <c r="G100" s="2252" t="s">
        <v>881</v>
      </c>
      <c r="H100" s="2246"/>
      <c r="I100" s="1180">
        <f ca="1">I102/$AH$98</f>
        <v>0</v>
      </c>
      <c r="J100" s="1181" t="s">
        <v>898</v>
      </c>
      <c r="K100" s="1180">
        <f ca="1">K102/$AH$98</f>
        <v>0</v>
      </c>
      <c r="L100" s="1181" t="s">
        <v>883</v>
      </c>
      <c r="M100" s="1180">
        <f ca="1">M102/$AH$98</f>
        <v>2.0333302299599672E-2</v>
      </c>
      <c r="N100" s="1181" t="s">
        <v>908</v>
      </c>
      <c r="O100" s="1180">
        <f ca="1">O102/$AH$98</f>
        <v>9.3101201005492979E-3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8.1184247276789873E-3</v>
      </c>
      <c r="W100" s="2252" t="s">
        <v>912</v>
      </c>
      <c r="X100" s="2246"/>
      <c r="Y100" s="1180">
        <f ca="1">Y102/$AH$98</f>
        <v>7.4480960804394376E-3</v>
      </c>
      <c r="Z100" s="2252" t="s">
        <v>889</v>
      </c>
      <c r="AA100" s="2246"/>
      <c r="AB100" s="1180">
        <f ca="1">AB102/$AH$98</f>
        <v>4.6939763522949443E-2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f ca="1">B102/AH98*100</f>
        <v>6.1912298668652825</v>
      </c>
      <c r="C101" s="1183">
        <f ca="1">C100/$F$99</f>
        <v>0.22371322056417445</v>
      </c>
      <c r="D101" s="1184"/>
      <c r="E101" s="1185"/>
      <c r="F101" s="1183">
        <f ca="1">F100/$F$99</f>
        <v>0.21785418369806697</v>
      </c>
      <c r="G101" s="1184"/>
      <c r="H101" s="1185"/>
      <c r="I101" s="1183">
        <f ca="1">I100/$F$99</f>
        <v>0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5.7407521379896048E-2</v>
      </c>
      <c r="N101" s="1184"/>
      <c r="O101" s="1183">
        <f ca="1">O100/$F$99</f>
        <v>2.6285495137315033E-2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2.2920951759738708E-2</v>
      </c>
      <c r="W101" s="1184"/>
      <c r="X101" s="1185"/>
      <c r="Y101" s="1183">
        <f ca="1">Y100/$F$99</f>
        <v>2.1028396109852025E-2</v>
      </c>
      <c r="Z101" s="1184"/>
      <c r="AA101" s="1185"/>
      <c r="AB101" s="1183">
        <f ca="1">AB100/$F$99</f>
        <v>0.13252620938331491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665</v>
      </c>
      <c r="C102" s="1197">
        <f ca="1">SUMIFS($C$9:$C$97,$A$9:$A$97,"&gt;="&amp;$C99,$A$9:$A$97,"&lt;="&amp;$D99)</f>
        <v>851.08999999999992</v>
      </c>
      <c r="D102" s="2251" t="s">
        <v>880</v>
      </c>
      <c r="E102" s="2250"/>
      <c r="F102" s="1197">
        <f ca="1">SUMIFS($F$9:$F$97,$D$9:$D$97,"&gt;="&amp;$C99,$D$9:$D$97,"&lt;="&amp;$D99)</f>
        <v>828.8</v>
      </c>
      <c r="G102" s="2251" t="s">
        <v>882</v>
      </c>
      <c r="H102" s="2250"/>
      <c r="I102" s="1197">
        <f ca="1">SUMIFS($I$9:$I$97,$G$9:$G$97,"&gt;="&amp;$C99,$G$9:$G$97,"&lt;="&amp;$D99)</f>
        <v>0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87.2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504.17999999999995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 ca="1">C100-C6</f>
        <v>-2.2418129399076267E-2</v>
      </c>
      <c r="D103" s="1205" t="s">
        <v>897</v>
      </c>
      <c r="E103" s="1195"/>
      <c r="F103" s="1206">
        <f ca="1">F100-F6</f>
        <v>-4.1517154949148094E-2</v>
      </c>
      <c r="G103" s="1204" t="s">
        <v>897</v>
      </c>
      <c r="H103" s="1195"/>
      <c r="I103" s="1203">
        <f ca="1">I100-I6</f>
        <v>-1.8317117187806507E-2</v>
      </c>
      <c r="J103" s="1205" t="s">
        <v>897</v>
      </c>
      <c r="K103" s="1206">
        <f ca="1">K100-K6</f>
        <v>-8.2388481305661272E-5</v>
      </c>
      <c r="L103" s="1204" t="s">
        <v>897</v>
      </c>
      <c r="M103" s="1203">
        <f ca="1">M100-M6</f>
        <v>7.5607337406134595E-3</v>
      </c>
      <c r="N103" s="1205" t="s">
        <v>897</v>
      </c>
      <c r="O103" s="1206">
        <f ca="1">O100-O6</f>
        <v>5.3868590859939992E-3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2.858116359363244E-3</v>
      </c>
      <c r="W103" s="1205" t="s">
        <v>897</v>
      </c>
      <c r="X103" s="1195"/>
      <c r="Y103" s="1206">
        <f ca="1">Y100-Y6</f>
        <v>4.3094872687951986E-3</v>
      </c>
      <c r="Z103" s="1205" t="s">
        <v>897</v>
      </c>
      <c r="AA103" s="1195"/>
      <c r="AB103" s="1206">
        <f ca="1">AB100-AB6</f>
        <v>2.4248406466964512E-2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6.2506284331067863E-2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0.17647555725290562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671.37999999999988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s="52" customFormat="1" x14ac:dyDescent="0.25">
      <c r="A108" s="478">
        <v>43145</v>
      </c>
      <c r="B108" s="6" t="s">
        <v>263</v>
      </c>
      <c r="C108" s="6"/>
      <c r="D108" s="6">
        <v>2018024</v>
      </c>
      <c r="E108" s="6"/>
      <c r="F108" s="229">
        <v>624.89</v>
      </c>
      <c r="G108" s="6" t="s">
        <v>264</v>
      </c>
      <c r="I108" s="6"/>
      <c r="J108" s="229"/>
      <c r="L108" s="433"/>
      <c r="M108" s="479"/>
      <c r="N108" s="479"/>
    </row>
    <row r="109" spans="1:38" s="52" customFormat="1" x14ac:dyDescent="0.25">
      <c r="A109" s="478">
        <v>43340</v>
      </c>
      <c r="B109" s="6" t="s">
        <v>376</v>
      </c>
      <c r="C109" s="6"/>
      <c r="D109" s="750" t="s">
        <v>389</v>
      </c>
      <c r="E109" s="776">
        <v>110179</v>
      </c>
      <c r="F109" s="764">
        <v>239.66</v>
      </c>
      <c r="G109" s="6" t="s">
        <v>381</v>
      </c>
      <c r="I109" s="6"/>
      <c r="J109" s="229"/>
      <c r="L109" s="433"/>
      <c r="M109" s="479"/>
      <c r="N109" s="479"/>
    </row>
    <row r="110" spans="1:38" s="52" customFormat="1" x14ac:dyDescent="0.25">
      <c r="A110" s="478">
        <v>43381</v>
      </c>
      <c r="B110" s="750" t="s">
        <v>385</v>
      </c>
      <c r="C110" s="6"/>
      <c r="D110" s="750" t="s">
        <v>464</v>
      </c>
      <c r="E110" s="776">
        <v>111865</v>
      </c>
      <c r="F110" s="764">
        <v>225.28</v>
      </c>
      <c r="G110" s="6" t="s">
        <v>332</v>
      </c>
      <c r="I110" s="6"/>
      <c r="J110" s="229"/>
      <c r="L110" s="433"/>
      <c r="M110" s="479"/>
      <c r="N110" s="479"/>
    </row>
    <row r="111" spans="1:38" s="800" customFormat="1" x14ac:dyDescent="0.25">
      <c r="A111" s="799">
        <v>43523</v>
      </c>
      <c r="B111" s="750" t="s">
        <v>385</v>
      </c>
      <c r="C111" s="750"/>
      <c r="D111" s="750" t="s">
        <v>565</v>
      </c>
      <c r="E111" s="776"/>
      <c r="F111" s="764">
        <v>246.92</v>
      </c>
      <c r="G111" s="750" t="s">
        <v>555</v>
      </c>
      <c r="I111" s="750"/>
      <c r="J111" s="764"/>
      <c r="L111" s="801"/>
      <c r="M111" s="802"/>
      <c r="N111" s="802"/>
    </row>
    <row r="112" spans="1:38" s="800" customFormat="1" x14ac:dyDescent="0.25">
      <c r="A112" s="799">
        <v>43524</v>
      </c>
      <c r="B112" s="750" t="s">
        <v>376</v>
      </c>
      <c r="C112" s="750"/>
      <c r="D112" s="750" t="s">
        <v>575</v>
      </c>
      <c r="E112" s="776">
        <v>116277</v>
      </c>
      <c r="F112" s="764">
        <v>67.2</v>
      </c>
      <c r="G112" s="750" t="s">
        <v>557</v>
      </c>
      <c r="I112" s="750"/>
      <c r="J112" s="764"/>
      <c r="L112" s="801"/>
      <c r="M112" s="802"/>
      <c r="N112" s="802"/>
    </row>
    <row r="113" spans="1:14" s="800" customFormat="1" x14ac:dyDescent="0.25">
      <c r="A113" s="799">
        <v>43566</v>
      </c>
      <c r="B113" s="750" t="s">
        <v>385</v>
      </c>
      <c r="C113" s="750"/>
      <c r="D113" s="750" t="s">
        <v>626</v>
      </c>
      <c r="E113" s="776">
        <v>117234</v>
      </c>
      <c r="F113" s="764">
        <v>41.95</v>
      </c>
      <c r="G113" s="750" t="s">
        <v>614</v>
      </c>
      <c r="I113" s="750"/>
      <c r="J113" s="764"/>
      <c r="L113" s="801"/>
      <c r="M113" s="802"/>
      <c r="N113" s="802"/>
    </row>
    <row r="114" spans="1:14" s="828" customFormat="1" x14ac:dyDescent="0.25">
      <c r="A114" s="827">
        <v>43725</v>
      </c>
      <c r="B114" s="537" t="s">
        <v>376</v>
      </c>
      <c r="C114" s="537"/>
      <c r="D114" s="537" t="s">
        <v>696</v>
      </c>
      <c r="E114" s="596">
        <v>122538</v>
      </c>
      <c r="F114" s="618">
        <v>735.86</v>
      </c>
      <c r="G114" s="537" t="s">
        <v>378</v>
      </c>
      <c r="I114" s="537"/>
      <c r="J114" s="618"/>
      <c r="L114" s="829"/>
      <c r="M114" s="830"/>
      <c r="N114" s="830"/>
    </row>
    <row r="115" spans="1:14" s="800" customFormat="1" x14ac:dyDescent="0.25">
      <c r="A115" s="799">
        <v>43773</v>
      </c>
      <c r="B115" s="750" t="s">
        <v>385</v>
      </c>
      <c r="C115" s="750"/>
      <c r="D115" s="750" t="s">
        <v>720</v>
      </c>
      <c r="E115" s="776">
        <v>123828</v>
      </c>
      <c r="F115" s="764">
        <v>41.95</v>
      </c>
      <c r="G115" s="750" t="s">
        <v>614</v>
      </c>
      <c r="I115" s="750"/>
      <c r="J115" s="764"/>
      <c r="L115" s="801"/>
      <c r="M115" s="802"/>
      <c r="N115" s="802"/>
    </row>
    <row r="116" spans="1:14" s="800" customFormat="1" x14ac:dyDescent="0.25">
      <c r="A116" s="799">
        <v>43839</v>
      </c>
      <c r="B116" s="750" t="s">
        <v>376</v>
      </c>
      <c r="C116" s="750"/>
      <c r="D116" s="750" t="s">
        <v>846</v>
      </c>
      <c r="E116" s="776">
        <v>125906</v>
      </c>
      <c r="F116" s="764">
        <v>108.92</v>
      </c>
      <c r="G116" s="750" t="s">
        <v>750</v>
      </c>
      <c r="J116" s="764"/>
      <c r="K116" s="750" t="s">
        <v>847</v>
      </c>
      <c r="L116" s="801"/>
      <c r="M116" s="802"/>
      <c r="N116" s="802"/>
    </row>
    <row r="117" spans="1:14" s="800" customFormat="1" x14ac:dyDescent="0.25">
      <c r="A117" s="799">
        <v>43790</v>
      </c>
      <c r="B117" s="750" t="s">
        <v>376</v>
      </c>
      <c r="C117" s="750"/>
      <c r="D117" s="750" t="s">
        <v>813</v>
      </c>
      <c r="E117" s="776">
        <v>124463</v>
      </c>
      <c r="F117" s="764">
        <v>110.77</v>
      </c>
      <c r="G117" s="750" t="s">
        <v>814</v>
      </c>
      <c r="J117" s="764"/>
      <c r="K117" s="750"/>
      <c r="L117" s="801"/>
      <c r="M117" s="802"/>
      <c r="N117" s="802"/>
    </row>
    <row r="118" spans="1:14" s="800" customFormat="1" x14ac:dyDescent="0.25">
      <c r="A118" s="799">
        <v>43928</v>
      </c>
      <c r="B118" s="750" t="s">
        <v>385</v>
      </c>
      <c r="C118" s="750"/>
      <c r="D118" s="750" t="s">
        <v>1074</v>
      </c>
      <c r="E118" s="776">
        <v>128232</v>
      </c>
      <c r="F118" s="764">
        <v>41.95</v>
      </c>
      <c r="G118" s="750" t="s">
        <v>614</v>
      </c>
      <c r="J118" s="764"/>
      <c r="K118" s="750" t="s">
        <v>1073</v>
      </c>
      <c r="L118" s="801"/>
      <c r="M118" s="802"/>
      <c r="N118" s="802"/>
    </row>
    <row r="119" spans="1:14" s="828" customFormat="1" x14ac:dyDescent="0.25">
      <c r="A119" s="827">
        <v>44116</v>
      </c>
      <c r="B119" s="537" t="s">
        <v>376</v>
      </c>
      <c r="C119" s="537"/>
      <c r="D119" s="537" t="s">
        <v>1234</v>
      </c>
      <c r="E119" s="596">
        <v>132906</v>
      </c>
      <c r="F119" s="618">
        <v>260.51</v>
      </c>
      <c r="G119" s="537" t="s">
        <v>378</v>
      </c>
      <c r="I119" s="537"/>
      <c r="J119" s="618"/>
      <c r="K119" s="828" t="s">
        <v>1236</v>
      </c>
      <c r="L119" s="829"/>
      <c r="M119" s="830"/>
      <c r="N119" s="830"/>
    </row>
    <row r="120" spans="1:14" s="828" customFormat="1" x14ac:dyDescent="0.25">
      <c r="A120" s="827">
        <v>44250</v>
      </c>
      <c r="B120" s="537" t="s">
        <v>376</v>
      </c>
      <c r="C120" s="537"/>
      <c r="D120" s="537" t="s">
        <v>1278</v>
      </c>
      <c r="E120" s="596">
        <v>134356</v>
      </c>
      <c r="F120" s="618">
        <v>417.42</v>
      </c>
      <c r="G120" s="537" t="s">
        <v>1280</v>
      </c>
      <c r="I120" s="537"/>
      <c r="J120" s="618"/>
      <c r="K120" s="828" t="s">
        <v>1281</v>
      </c>
      <c r="L120" s="829"/>
      <c r="M120" s="830"/>
      <c r="N120" s="830"/>
    </row>
    <row r="121" spans="1:14" x14ac:dyDescent="0.25">
      <c r="E121" s="57"/>
      <c r="I121" s="476"/>
    </row>
  </sheetData>
  <sortState ref="G9:I58">
    <sortCondition ref="G9:G58"/>
  </sortState>
  <mergeCells count="44">
    <mergeCell ref="AJ1:AK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8:AD8"/>
    <mergeCell ref="D100:E100"/>
    <mergeCell ref="G100:H100"/>
    <mergeCell ref="T100:U100"/>
    <mergeCell ref="W100:X100"/>
    <mergeCell ref="Z100:AA100"/>
    <mergeCell ref="K99:L99"/>
    <mergeCell ref="H1:I1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</mergeCells>
  <conditionalFormatting sqref="AM9:AM44 AM97:AM98">
    <cfRule type="cellIs" dxfId="185" priority="3" operator="greaterThan">
      <formula>0</formula>
    </cfRule>
    <cfRule type="cellIs" dxfId="184" priority="4" operator="lessThan">
      <formula>0</formula>
    </cfRule>
  </conditionalFormatting>
  <conditionalFormatting sqref="AF9:AF96">
    <cfRule type="cellIs" dxfId="183" priority="5" operator="lessThan">
      <formula>$AF$98</formula>
    </cfRule>
    <cfRule type="cellIs" dxfId="182" priority="6" operator="greaterThan">
      <formula>$AF$98</formula>
    </cfRule>
  </conditionalFormatting>
  <conditionalFormatting sqref="AG9:AG96">
    <cfRule type="cellIs" dxfId="181" priority="7" operator="equal">
      <formula>$AG$99</formula>
    </cfRule>
    <cfRule type="cellIs" dxfId="180" priority="8" operator="lessThan">
      <formula>$AG$98</formula>
    </cfRule>
    <cfRule type="cellIs" dxfId="179" priority="9" operator="greaterThan">
      <formula>$AG$98</formula>
    </cfRule>
  </conditionalFormatting>
  <conditionalFormatting sqref="AM45:AM96">
    <cfRule type="cellIs" dxfId="178" priority="1" operator="greaterThan">
      <formula>0</formula>
    </cfRule>
    <cfRule type="cellIs" dxfId="177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rgb="FF92D050"/>
  </sheetPr>
  <dimension ref="A1:AM121"/>
  <sheetViews>
    <sheetView workbookViewId="0">
      <pane xSplit="1" ySplit="8" topLeftCell="Q47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24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6" width="10.75" style="61" customWidth="1"/>
    <col min="37" max="16384" width="9" style="1"/>
  </cols>
  <sheetData>
    <row r="1" spans="1:39" s="1165" customFormat="1" ht="18.75" customHeight="1" thickTop="1" thickBot="1" x14ac:dyDescent="0.3">
      <c r="A1" s="1166" t="s">
        <v>164</v>
      </c>
      <c r="B1" s="1569" t="s">
        <v>949</v>
      </c>
      <c r="C1" s="1569"/>
      <c r="D1" s="1569"/>
      <c r="E1" s="1569"/>
      <c r="F1" s="1569"/>
      <c r="G1" s="1569"/>
      <c r="H1" s="2243" t="s">
        <v>1163</v>
      </c>
      <c r="I1" s="2244"/>
      <c r="J1" s="1572">
        <v>113411</v>
      </c>
      <c r="K1" s="1573">
        <f>J1-B4</f>
        <v>113406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90" t="s">
        <v>171</v>
      </c>
    </row>
    <row r="2" spans="1:39" s="561" customFormat="1" ht="16.5" thickTop="1" x14ac:dyDescent="0.25">
      <c r="A2" s="1167" t="s">
        <v>927</v>
      </c>
      <c r="B2" s="1251">
        <v>42913</v>
      </c>
      <c r="C2" s="1251">
        <v>42913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81"/>
    </row>
    <row r="3" spans="1:39" s="561" customFormat="1" x14ac:dyDescent="0.25">
      <c r="A3" s="1167" t="s">
        <v>870</v>
      </c>
      <c r="B3" s="2264">
        <v>35940</v>
      </c>
      <c r="C3" s="2264"/>
      <c r="D3" s="1285" t="s">
        <v>874</v>
      </c>
      <c r="E3" s="1169"/>
      <c r="F3" s="1175">
        <f ca="1">B3/G2/12</f>
        <v>216.36150118670886</v>
      </c>
      <c r="G3" s="2267" t="s">
        <v>875</v>
      </c>
      <c r="H3" s="2267"/>
      <c r="I3" s="1286">
        <f ca="1">F3/(I4/((TODAY()-C2)/365.25*12))</f>
        <v>0.10002829337158568</v>
      </c>
      <c r="J3" s="1171">
        <f ca="1">I3/$F$5</f>
        <v>0.39721467851464087</v>
      </c>
      <c r="K3" s="1375">
        <f ca="1">(B3/G2/365.25)/(I4/(TODAY()-C2))</f>
        <v>0.10002829337158568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3.2385240318320012E-2</v>
      </c>
      <c r="AF3" s="2270"/>
      <c r="AG3" s="2273"/>
      <c r="AH3" s="2276"/>
      <c r="AI3" s="2280"/>
      <c r="AJ3" s="2281"/>
    </row>
    <row r="4" spans="1:39" s="561" customFormat="1" ht="19.5" thickBot="1" x14ac:dyDescent="0.3">
      <c r="A4" s="1167" t="s">
        <v>869</v>
      </c>
      <c r="B4" s="2283">
        <v>5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120387</v>
      </c>
      <c r="G4" s="1172" t="s">
        <v>876</v>
      </c>
      <c r="H4" s="1173"/>
      <c r="I4" s="1224">
        <f>F4-B4</f>
        <v>120382</v>
      </c>
      <c r="J4" s="1227">
        <f ca="1">I3/F99</f>
        <v>0.32645000280308956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0.12860254222146933</v>
      </c>
      <c r="AF4" s="2270"/>
      <c r="AG4" s="2273"/>
      <c r="AH4" s="2276"/>
      <c r="AI4" s="2280"/>
      <c r="AJ4" s="2281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0.25182426224940918</v>
      </c>
      <c r="G5" s="1211">
        <f ca="1">J3+C7+F7+I7+K7+M7+O7+Q7+S7+V7+Y7+AB7+AE7</f>
        <v>1.0000000000000002</v>
      </c>
      <c r="H5" s="1380">
        <f>B3+C8+F8+I8+K8+M8+O8+Q8+S8+AE5</f>
        <v>53570.92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3898.5999999999995</v>
      </c>
      <c r="AF5" s="2270"/>
      <c r="AG5" s="2273"/>
      <c r="AH5" s="2276"/>
      <c r="AI5" s="2280"/>
      <c r="AJ5" s="2281"/>
    </row>
    <row r="6" spans="1:39" s="561" customFormat="1" x14ac:dyDescent="0.25">
      <c r="A6" s="1178" t="s">
        <v>877</v>
      </c>
      <c r="B6" s="1179"/>
      <c r="C6" s="1180">
        <f>C8/$K$1</f>
        <v>9.2113292065675506E-2</v>
      </c>
      <c r="D6" s="2252" t="s">
        <v>879</v>
      </c>
      <c r="E6" s="2246"/>
      <c r="F6" s="1180">
        <f>F8/$I$4</f>
        <v>1.2475536209732354E-2</v>
      </c>
      <c r="G6" s="2252" t="s">
        <v>881</v>
      </c>
      <c r="H6" s="2246"/>
      <c r="I6" s="1180">
        <f>I8/$I$4</f>
        <v>4.3173398016314729E-3</v>
      </c>
      <c r="J6" s="1181" t="s">
        <v>898</v>
      </c>
      <c r="K6" s="1180">
        <f>K8/$I$4</f>
        <v>3.4078184446179687E-3</v>
      </c>
      <c r="L6" s="1181" t="s">
        <v>883</v>
      </c>
      <c r="M6" s="1180">
        <f>M8/$I$4</f>
        <v>5.4353640909770495E-3</v>
      </c>
      <c r="N6" s="1181" t="s">
        <v>908</v>
      </c>
      <c r="O6" s="1180">
        <f>O8/$I$4</f>
        <v>1.6613779468691334E-3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2.3461148676712468E-3</v>
      </c>
      <c r="W6" s="2252" t="s">
        <v>912</v>
      </c>
      <c r="X6" s="2246"/>
      <c r="Y6" s="1180">
        <f>Y8/$I$4</f>
        <v>1.3291023574953066E-3</v>
      </c>
      <c r="Z6" s="2255" t="s">
        <v>1152</v>
      </c>
      <c r="AA6" s="2256"/>
      <c r="AB6" s="1180">
        <f>AB8/$I$4</f>
        <v>1.82410160987523E-2</v>
      </c>
      <c r="AC6" s="2252" t="s">
        <v>891</v>
      </c>
      <c r="AD6" s="2246"/>
      <c r="AE6" s="1182">
        <f>AE8/$I$4</f>
        <v>1.0469006994401156E-2</v>
      </c>
      <c r="AF6" s="2269"/>
      <c r="AG6" s="2273"/>
      <c r="AH6" s="2277"/>
      <c r="AI6" s="2281"/>
      <c r="AJ6" s="2281"/>
    </row>
    <row r="7" spans="1:39" s="561" customFormat="1" x14ac:dyDescent="0.25">
      <c r="A7" s="1192" t="s">
        <v>896</v>
      </c>
      <c r="B7" s="1193">
        <f>B8/K1*100</f>
        <v>6.8422129340599254</v>
      </c>
      <c r="C7" s="1183">
        <f ca="1">C6/$F$5</f>
        <v>0.36578402431472473</v>
      </c>
      <c r="D7" s="1184"/>
      <c r="E7" s="1185"/>
      <c r="F7" s="1183">
        <f ca="1">F6/$F$5</f>
        <v>4.9540644329879785E-2</v>
      </c>
      <c r="G7" s="1184"/>
      <c r="H7" s="1185"/>
      <c r="I7" s="1183">
        <f ca="1">I6/$F$5</f>
        <v>1.7144256725174233E-2</v>
      </c>
      <c r="J7" s="1243">
        <f>COUNT(J9:J97)</f>
        <v>48</v>
      </c>
      <c r="K7" s="1183">
        <f ca="1">K6/$F$5</f>
        <v>1.3532526271209057E-2</v>
      </c>
      <c r="L7" s="1184"/>
      <c r="M7" s="1183">
        <f ca="1">M6/$F$5</f>
        <v>2.1583957170869472E-2</v>
      </c>
      <c r="N7" s="1184"/>
      <c r="O7" s="1183">
        <f ca="1">O6/$F$5</f>
        <v>6.5973704520324913E-3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9.3164766838376833E-3</v>
      </c>
      <c r="W7" s="1184"/>
      <c r="X7" s="1185"/>
      <c r="Y7" s="1183">
        <f ca="1">Y6/$F$5</f>
        <v>5.2778963616259928E-3</v>
      </c>
      <c r="Z7" s="1184"/>
      <c r="AA7" s="1185"/>
      <c r="AB7" s="1183">
        <f ca="1">AB6/$F$5</f>
        <v>7.2435499009568111E-2</v>
      </c>
      <c r="AC7" s="1184"/>
      <c r="AD7" s="1185"/>
      <c r="AE7" s="1186">
        <f ca="1">AE6/$F$5</f>
        <v>4.1572670166437543E-2</v>
      </c>
      <c r="AF7" s="2269"/>
      <c r="AG7" s="2273"/>
      <c r="AH7" s="2277"/>
      <c r="AI7" s="2281"/>
      <c r="AJ7" s="2280"/>
    </row>
    <row r="8" spans="1:39" x14ac:dyDescent="0.25">
      <c r="A8" s="1191" t="s">
        <v>878</v>
      </c>
      <c r="B8" s="1220">
        <f>SUM(B9:B97)</f>
        <v>7759.4799999999987</v>
      </c>
      <c r="C8" s="1156">
        <f>SUM(C9:C97)</f>
        <v>10446.199999999997</v>
      </c>
      <c r="D8" s="2251" t="s">
        <v>880</v>
      </c>
      <c r="E8" s="2250"/>
      <c r="F8" s="1158">
        <f>SUM(F9:F97)</f>
        <v>1501.8300000000002</v>
      </c>
      <c r="G8" s="2251" t="s">
        <v>882</v>
      </c>
      <c r="H8" s="2250"/>
      <c r="I8" s="1158">
        <f>SUM(I9:I97)</f>
        <v>519.73</v>
      </c>
      <c r="J8" s="1157" t="s">
        <v>899</v>
      </c>
      <c r="K8" s="1158">
        <f>SUM(K9:K97)</f>
        <v>410.24000000000029</v>
      </c>
      <c r="L8" s="1157" t="s">
        <v>884</v>
      </c>
      <c r="M8" s="1158">
        <f>SUM(M9:M97)</f>
        <v>654.31999999999914</v>
      </c>
      <c r="N8" s="1157" t="s">
        <v>909</v>
      </c>
      <c r="O8" s="1158">
        <f>SUM(O9:O97)</f>
        <v>200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282.43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2195.8899999999994</v>
      </c>
      <c r="AC8" s="2251" t="s">
        <v>892</v>
      </c>
      <c r="AD8" s="2250"/>
      <c r="AE8" s="1176">
        <f>SUM(AE9:AE97)</f>
        <v>1260.28</v>
      </c>
      <c r="AF8" s="2271"/>
      <c r="AG8" s="2274"/>
      <c r="AH8" s="2278"/>
      <c r="AI8" s="2282"/>
      <c r="AJ8" s="343">
        <f>SUM(AJ9:AJ97)</f>
        <v>-156.01</v>
      </c>
      <c r="AK8" s="54">
        <f>SUM(C9:C97)/SUM(B9:B97)</f>
        <v>1.3462500064437306</v>
      </c>
    </row>
    <row r="9" spans="1:39" x14ac:dyDescent="0.25">
      <c r="A9" s="64">
        <v>42916</v>
      </c>
      <c r="B9" s="65">
        <v>0.48</v>
      </c>
      <c r="C9" s="66">
        <v>0.57999999999999996</v>
      </c>
      <c r="D9" s="67">
        <v>43019</v>
      </c>
      <c r="E9" s="68" t="s">
        <v>172</v>
      </c>
      <c r="F9" s="66">
        <v>207.1</v>
      </c>
      <c r="G9" s="67">
        <v>43017</v>
      </c>
      <c r="H9" s="68" t="s">
        <v>176</v>
      </c>
      <c r="I9" s="66">
        <v>349.2</v>
      </c>
      <c r="J9" s="69">
        <v>43137</v>
      </c>
      <c r="K9" s="66">
        <v>5.3</v>
      </c>
      <c r="L9" s="64"/>
      <c r="M9" s="66"/>
      <c r="N9" s="1152"/>
      <c r="O9" s="66"/>
      <c r="P9" s="64"/>
      <c r="Q9" s="66"/>
      <c r="R9" s="64"/>
      <c r="S9" s="66"/>
      <c r="T9" s="1152"/>
      <c r="U9" s="1198"/>
      <c r="V9" s="66"/>
      <c r="W9" s="1152"/>
      <c r="X9" s="1198"/>
      <c r="Y9" s="66"/>
      <c r="Z9" s="1152"/>
      <c r="AA9" s="1198"/>
      <c r="AB9" s="66"/>
      <c r="AC9" s="1152">
        <v>42937</v>
      </c>
      <c r="AD9" s="1198" t="s">
        <v>950</v>
      </c>
      <c r="AE9" s="66">
        <v>315.07</v>
      </c>
      <c r="AF9" s="1118">
        <v>2.17</v>
      </c>
      <c r="AG9" s="1119">
        <v>4.8</v>
      </c>
      <c r="AH9" s="1117">
        <v>10</v>
      </c>
      <c r="AI9" s="237">
        <v>62.52</v>
      </c>
      <c r="AJ9" s="237"/>
      <c r="AK9" s="51">
        <f t="shared" ref="AK9:AK72" si="0">C9/B9</f>
        <v>1.2083333333333333</v>
      </c>
      <c r="AL9" s="51">
        <f t="shared" ref="AL9:AL72" si="1">AK9-$AK$8</f>
        <v>-0.13791667311039735</v>
      </c>
    </row>
    <row r="10" spans="1:39" x14ac:dyDescent="0.25">
      <c r="A10" s="71">
        <v>42947</v>
      </c>
      <c r="B10" s="72">
        <v>87.52</v>
      </c>
      <c r="C10" s="73">
        <v>105.21000000000001</v>
      </c>
      <c r="D10" s="345"/>
      <c r="E10" s="346"/>
      <c r="F10" s="347"/>
      <c r="G10" s="147"/>
      <c r="H10" s="75"/>
      <c r="I10" s="73"/>
      <c r="J10" s="234">
        <v>43140</v>
      </c>
      <c r="K10" s="73">
        <v>5.3</v>
      </c>
      <c r="L10" s="71"/>
      <c r="M10" s="73"/>
      <c r="N10" s="894"/>
      <c r="O10" s="73"/>
      <c r="P10" s="71"/>
      <c r="Q10" s="73"/>
      <c r="R10" s="71"/>
      <c r="S10" s="73"/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0.19</v>
      </c>
      <c r="AG10" s="1113">
        <v>6.75</v>
      </c>
      <c r="AH10" s="1110">
        <v>1105</v>
      </c>
      <c r="AI10" s="238">
        <v>66</v>
      </c>
      <c r="AJ10" s="238">
        <v>-34.480000000000004</v>
      </c>
      <c r="AK10" s="51">
        <f t="shared" si="0"/>
        <v>1.2021252285191957</v>
      </c>
      <c r="AL10" s="51">
        <f t="shared" si="1"/>
        <v>-0.14412477792453493</v>
      </c>
      <c r="AM10" s="1" t="s">
        <v>194</v>
      </c>
    </row>
    <row r="11" spans="1:39" x14ac:dyDescent="0.25">
      <c r="A11" s="71">
        <v>42978</v>
      </c>
      <c r="B11" s="72">
        <v>153.05000000000001</v>
      </c>
      <c r="C11" s="73">
        <v>187.13</v>
      </c>
      <c r="D11" s="345"/>
      <c r="E11" s="346"/>
      <c r="F11" s="347"/>
      <c r="G11" s="147"/>
      <c r="H11" s="75"/>
      <c r="I11" s="73"/>
      <c r="J11" s="234">
        <v>43150</v>
      </c>
      <c r="K11" s="73">
        <v>5.3</v>
      </c>
      <c r="L11" s="71"/>
      <c r="M11" s="73"/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0.19</v>
      </c>
      <c r="AG11" s="1113">
        <v>6.75</v>
      </c>
      <c r="AH11" s="1110">
        <v>2458</v>
      </c>
      <c r="AI11" s="238">
        <v>66</v>
      </c>
      <c r="AJ11" s="238">
        <v>-35.07</v>
      </c>
      <c r="AK11" s="51">
        <f t="shared" si="0"/>
        <v>1.2226723293041488</v>
      </c>
      <c r="AL11" s="51">
        <f t="shared" si="1"/>
        <v>-0.12357767713958179</v>
      </c>
      <c r="AM11" s="1" t="s">
        <v>194</v>
      </c>
    </row>
    <row r="12" spans="1:39" x14ac:dyDescent="0.25">
      <c r="A12" s="71">
        <v>43008</v>
      </c>
      <c r="B12" s="72">
        <v>191</v>
      </c>
      <c r="C12" s="73">
        <v>237.9</v>
      </c>
      <c r="D12" s="147"/>
      <c r="E12" s="75"/>
      <c r="F12" s="73"/>
      <c r="G12" s="147"/>
      <c r="H12" s="75"/>
      <c r="I12" s="73"/>
      <c r="J12" s="234">
        <v>43154</v>
      </c>
      <c r="K12" s="73">
        <v>6.6</v>
      </c>
      <c r="L12" s="71"/>
      <c r="M12" s="73"/>
      <c r="N12" s="894"/>
      <c r="O12" s="73"/>
      <c r="P12" s="71"/>
      <c r="Q12" s="73"/>
      <c r="R12" s="71"/>
      <c r="S12" s="73"/>
      <c r="T12" s="894">
        <v>43008</v>
      </c>
      <c r="U12" s="1199" t="s">
        <v>166</v>
      </c>
      <c r="V12" s="73">
        <v>21.09</v>
      </c>
      <c r="W12" s="894"/>
      <c r="X12" s="1199"/>
      <c r="Y12" s="73"/>
      <c r="Z12" s="894">
        <v>43008</v>
      </c>
      <c r="AA12" s="1199" t="s">
        <v>167</v>
      </c>
      <c r="AB12" s="73">
        <v>127.68</v>
      </c>
      <c r="AC12" s="894"/>
      <c r="AD12" s="1199"/>
      <c r="AE12" s="73"/>
      <c r="AF12" s="1112">
        <v>0.21</v>
      </c>
      <c r="AG12" s="1113">
        <v>7.51</v>
      </c>
      <c r="AH12" s="1110">
        <v>2178</v>
      </c>
      <c r="AI12" s="238">
        <v>66</v>
      </c>
      <c r="AJ12" s="238">
        <v>-86.46</v>
      </c>
      <c r="AK12" s="51">
        <f t="shared" si="0"/>
        <v>1.2455497382198952</v>
      </c>
      <c r="AL12" s="51">
        <f t="shared" si="1"/>
        <v>-0.10070026822383538</v>
      </c>
      <c r="AM12" s="1" t="s">
        <v>195</v>
      </c>
    </row>
    <row r="13" spans="1:39" x14ac:dyDescent="0.25">
      <c r="A13" s="71">
        <v>43039</v>
      </c>
      <c r="B13" s="72">
        <v>350.2</v>
      </c>
      <c r="C13" s="73">
        <v>446.36</v>
      </c>
      <c r="D13" s="147"/>
      <c r="E13" s="75"/>
      <c r="F13" s="73"/>
      <c r="G13" s="147"/>
      <c r="H13" s="75"/>
      <c r="I13" s="73"/>
      <c r="J13" s="234">
        <v>43164</v>
      </c>
      <c r="K13" s="73">
        <v>6.6</v>
      </c>
      <c r="L13" s="71"/>
      <c r="M13" s="73"/>
      <c r="N13" s="894"/>
      <c r="O13" s="73"/>
      <c r="P13" s="71"/>
      <c r="Q13" s="73"/>
      <c r="R13" s="71"/>
      <c r="S13" s="73"/>
      <c r="T13" s="894"/>
      <c r="U13" s="1199"/>
      <c r="V13" s="73"/>
      <c r="W13" s="894"/>
      <c r="X13" s="1199"/>
      <c r="Y13" s="73"/>
      <c r="Z13" s="894"/>
      <c r="AA13" s="1199"/>
      <c r="AB13" s="73"/>
      <c r="AC13" s="894"/>
      <c r="AD13" s="1199"/>
      <c r="AE13" s="73"/>
      <c r="AF13" s="1112">
        <v>0.19</v>
      </c>
      <c r="AG13" s="1113">
        <v>7.6</v>
      </c>
      <c r="AH13" s="1110">
        <v>4548</v>
      </c>
      <c r="AI13" s="238">
        <v>65.8</v>
      </c>
      <c r="AJ13" s="238"/>
      <c r="AK13" s="51">
        <f t="shared" si="0"/>
        <v>1.2745859508852084</v>
      </c>
      <c r="AL13" s="51">
        <f t="shared" si="1"/>
        <v>-7.1664055558522177E-2</v>
      </c>
    </row>
    <row r="14" spans="1:39" x14ac:dyDescent="0.25">
      <c r="A14" s="71">
        <v>43069</v>
      </c>
      <c r="B14" s="72">
        <v>300.76</v>
      </c>
      <c r="C14" s="73">
        <v>395.04</v>
      </c>
      <c r="D14" s="147"/>
      <c r="E14" s="75"/>
      <c r="F14" s="73"/>
      <c r="G14" s="147"/>
      <c r="H14" s="75"/>
      <c r="I14" s="73"/>
      <c r="J14" s="234">
        <v>43168</v>
      </c>
      <c r="K14" s="73">
        <v>6.6</v>
      </c>
      <c r="L14" s="71"/>
      <c r="M14" s="73"/>
      <c r="N14" s="894"/>
      <c r="O14" s="73"/>
      <c r="P14" s="71"/>
      <c r="Q14" s="73"/>
      <c r="R14" s="71"/>
      <c r="S14" s="73"/>
      <c r="T14" s="894"/>
      <c r="U14" s="1199"/>
      <c r="V14" s="73"/>
      <c r="W14" s="894"/>
      <c r="X14" s="1199"/>
      <c r="Y14" s="73"/>
      <c r="Z14" s="894"/>
      <c r="AA14" s="1199"/>
      <c r="AB14" s="73"/>
      <c r="AC14" s="894"/>
      <c r="AD14" s="1199"/>
      <c r="AE14" s="73"/>
      <c r="AF14" s="1112">
        <v>0.48</v>
      </c>
      <c r="AG14" s="1113">
        <v>7.62</v>
      </c>
      <c r="AH14" s="1110">
        <v>3906</v>
      </c>
      <c r="AI14" s="238">
        <v>54.25</v>
      </c>
      <c r="AJ14" s="238"/>
      <c r="AK14" s="51">
        <f t="shared" si="0"/>
        <v>1.3134725362415216</v>
      </c>
      <c r="AL14" s="51">
        <f t="shared" si="1"/>
        <v>-3.2777470202209003E-2</v>
      </c>
    </row>
    <row r="15" spans="1:39" x14ac:dyDescent="0.25">
      <c r="A15" s="71">
        <v>43100</v>
      </c>
      <c r="B15" s="72">
        <v>148.76</v>
      </c>
      <c r="C15" s="73">
        <v>195.49</v>
      </c>
      <c r="D15" s="147"/>
      <c r="E15" s="75"/>
      <c r="F15" s="73"/>
      <c r="G15" s="147"/>
      <c r="H15" s="75"/>
      <c r="I15" s="73"/>
      <c r="J15" s="234">
        <v>43197</v>
      </c>
      <c r="K15" s="73">
        <v>6.6</v>
      </c>
      <c r="L15" s="71"/>
      <c r="M15" s="73"/>
      <c r="N15" s="894"/>
      <c r="O15" s="73"/>
      <c r="P15" s="71"/>
      <c r="Q15" s="73"/>
      <c r="R15" s="71"/>
      <c r="S15" s="73"/>
      <c r="T15" s="894"/>
      <c r="U15" s="1199"/>
      <c r="V15" s="73"/>
      <c r="W15" s="894"/>
      <c r="X15" s="1199"/>
      <c r="Y15" s="73"/>
      <c r="Z15" s="894"/>
      <c r="AA15" s="1199"/>
      <c r="AB15" s="73"/>
      <c r="AC15" s="894"/>
      <c r="AD15" s="1199"/>
      <c r="AE15" s="73"/>
      <c r="AF15" s="1112">
        <v>0.47</v>
      </c>
      <c r="AG15" s="1113">
        <v>7.63</v>
      </c>
      <c r="AH15" s="1110">
        <v>1932</v>
      </c>
      <c r="AI15" s="238">
        <v>62.49</v>
      </c>
      <c r="AJ15" s="238"/>
      <c r="AK15" s="51">
        <f t="shared" si="0"/>
        <v>1.314130142511428</v>
      </c>
      <c r="AL15" s="51">
        <f t="shared" si="1"/>
        <v>-3.2119863932302595E-2</v>
      </c>
    </row>
    <row r="16" spans="1:39" x14ac:dyDescent="0.25">
      <c r="A16" s="71">
        <v>43131</v>
      </c>
      <c r="B16" s="72">
        <v>160.93</v>
      </c>
      <c r="C16" s="73">
        <v>210.82</v>
      </c>
      <c r="D16" s="147">
        <v>43370</v>
      </c>
      <c r="E16" s="75" t="s">
        <v>430</v>
      </c>
      <c r="F16" s="73">
        <v>6.5</v>
      </c>
      <c r="G16" s="345"/>
      <c r="H16" s="346"/>
      <c r="I16" s="347"/>
      <c r="J16" s="836">
        <v>43202</v>
      </c>
      <c r="K16" s="835">
        <v>5.3</v>
      </c>
      <c r="L16" s="834"/>
      <c r="M16" s="835"/>
      <c r="N16" s="1153">
        <v>43125</v>
      </c>
      <c r="O16" s="835">
        <v>50</v>
      </c>
      <c r="P16" s="834"/>
      <c r="Q16" s="835"/>
      <c r="R16" s="834"/>
      <c r="S16" s="73"/>
      <c r="T16" s="894">
        <v>43101</v>
      </c>
      <c r="U16" s="1199" t="s">
        <v>953</v>
      </c>
      <c r="V16" s="73">
        <v>20.2</v>
      </c>
      <c r="W16" s="894">
        <v>43251</v>
      </c>
      <c r="X16" s="1199" t="s">
        <v>945</v>
      </c>
      <c r="Y16" s="73">
        <v>40</v>
      </c>
      <c r="Z16" s="894">
        <v>43101</v>
      </c>
      <c r="AA16" s="1199" t="s">
        <v>953</v>
      </c>
      <c r="AB16" s="73">
        <v>122.3</v>
      </c>
      <c r="AC16" s="1153">
        <v>43302</v>
      </c>
      <c r="AD16" s="1200" t="s">
        <v>951</v>
      </c>
      <c r="AE16" s="835">
        <v>315.07</v>
      </c>
      <c r="AF16" s="1112">
        <v>0.49</v>
      </c>
      <c r="AG16" s="1113">
        <v>7.64</v>
      </c>
      <c r="AH16" s="1110">
        <v>2090</v>
      </c>
      <c r="AI16" s="238">
        <v>49.56</v>
      </c>
      <c r="AJ16" s="238"/>
      <c r="AK16" s="51">
        <f t="shared" si="0"/>
        <v>1.3100105635990802</v>
      </c>
      <c r="AL16" s="51">
        <f t="shared" si="1"/>
        <v>-3.6239442844650416E-2</v>
      </c>
    </row>
    <row r="17" spans="1:38" x14ac:dyDescent="0.25">
      <c r="A17" s="71">
        <v>43159</v>
      </c>
      <c r="B17" s="72">
        <v>287.44</v>
      </c>
      <c r="C17" s="73">
        <v>378.06</v>
      </c>
      <c r="D17" s="147">
        <v>43402</v>
      </c>
      <c r="E17" s="75" t="s">
        <v>461</v>
      </c>
      <c r="F17" s="73">
        <v>41.95</v>
      </c>
      <c r="G17" s="1162"/>
      <c r="H17" s="75"/>
      <c r="I17" s="73"/>
      <c r="J17" s="234">
        <v>43208</v>
      </c>
      <c r="K17" s="73">
        <v>5.3</v>
      </c>
      <c r="L17" s="71"/>
      <c r="M17" s="73"/>
      <c r="N17" s="894"/>
      <c r="O17" s="73"/>
      <c r="P17" s="71"/>
      <c r="Q17" s="73"/>
      <c r="R17" s="71"/>
      <c r="S17" s="73"/>
      <c r="T17" s="894">
        <v>43191</v>
      </c>
      <c r="U17" s="1199" t="s">
        <v>954</v>
      </c>
      <c r="V17" s="73">
        <v>20.2</v>
      </c>
      <c r="W17" s="894"/>
      <c r="X17" s="1199"/>
      <c r="Y17" s="73"/>
      <c r="Z17" s="894">
        <v>43191</v>
      </c>
      <c r="AA17" s="1199" t="s">
        <v>954</v>
      </c>
      <c r="AB17" s="73">
        <v>122.3</v>
      </c>
      <c r="AC17" s="894"/>
      <c r="AD17" s="1199"/>
      <c r="AE17" s="73"/>
      <c r="AF17" s="1112">
        <v>0.46</v>
      </c>
      <c r="AG17" s="1113">
        <v>7.65</v>
      </c>
      <c r="AH17" s="1110">
        <v>3733</v>
      </c>
      <c r="AI17" s="238">
        <v>56.12</v>
      </c>
      <c r="AJ17" s="238"/>
      <c r="AK17" s="51">
        <f t="shared" si="0"/>
        <v>1.3152657946006123</v>
      </c>
      <c r="AL17" s="51">
        <f t="shared" si="1"/>
        <v>-3.0984211843118281E-2</v>
      </c>
    </row>
    <row r="18" spans="1:38" x14ac:dyDescent="0.25">
      <c r="A18" s="71">
        <v>43190</v>
      </c>
      <c r="B18" s="72">
        <v>238.55</v>
      </c>
      <c r="C18" s="73">
        <v>315.14999999999998</v>
      </c>
      <c r="D18" s="147"/>
      <c r="E18" s="75"/>
      <c r="F18" s="73"/>
      <c r="G18" s="147"/>
      <c r="H18" s="75"/>
      <c r="I18" s="73"/>
      <c r="J18" s="431">
        <v>43221</v>
      </c>
      <c r="K18" s="347">
        <v>19.511999999999997</v>
      </c>
      <c r="L18" s="1160"/>
      <c r="M18" s="347"/>
      <c r="N18" s="945"/>
      <c r="O18" s="347"/>
      <c r="P18" s="1160"/>
      <c r="Q18" s="347"/>
      <c r="R18" s="1160"/>
      <c r="S18" s="73"/>
      <c r="T18" s="894">
        <v>43282</v>
      </c>
      <c r="U18" s="1199" t="s">
        <v>955</v>
      </c>
      <c r="V18" s="73">
        <v>20.2</v>
      </c>
      <c r="W18" s="945"/>
      <c r="X18" s="1201"/>
      <c r="Y18" s="347"/>
      <c r="Z18" s="894">
        <v>43282</v>
      </c>
      <c r="AA18" s="1199" t="s">
        <v>955</v>
      </c>
      <c r="AB18" s="73">
        <v>122.3</v>
      </c>
      <c r="AC18" s="945"/>
      <c r="AD18" s="1201"/>
      <c r="AE18" s="347"/>
      <c r="AF18" s="1112">
        <v>0.24</v>
      </c>
      <c r="AG18" s="1113">
        <v>7.66</v>
      </c>
      <c r="AH18" s="1110">
        <v>3098</v>
      </c>
      <c r="AI18" s="238">
        <v>56.57</v>
      </c>
      <c r="AJ18" s="238"/>
      <c r="AK18" s="51">
        <f t="shared" si="0"/>
        <v>1.3211066862293019</v>
      </c>
      <c r="AL18" s="51">
        <f t="shared" si="1"/>
        <v>-2.5143320214428666E-2</v>
      </c>
    </row>
    <row r="19" spans="1:38" x14ac:dyDescent="0.25">
      <c r="A19" s="71">
        <v>43220</v>
      </c>
      <c r="B19" s="72">
        <v>399.71</v>
      </c>
      <c r="C19" s="73">
        <v>541.78</v>
      </c>
      <c r="D19" s="147"/>
      <c r="E19" s="75"/>
      <c r="F19" s="73"/>
      <c r="G19" s="1162"/>
      <c r="H19" s="75"/>
      <c r="I19" s="73"/>
      <c r="J19" s="234">
        <v>43223</v>
      </c>
      <c r="K19" s="73">
        <v>6.6</v>
      </c>
      <c r="L19" s="71"/>
      <c r="M19" s="73"/>
      <c r="N19" s="894"/>
      <c r="O19" s="73"/>
      <c r="P19" s="71"/>
      <c r="Q19" s="73"/>
      <c r="R19" s="71"/>
      <c r="S19" s="73"/>
      <c r="T19" s="894">
        <v>43374</v>
      </c>
      <c r="U19" s="1199" t="s">
        <v>956</v>
      </c>
      <c r="V19" s="73">
        <v>20.2</v>
      </c>
      <c r="W19" s="894"/>
      <c r="X19" s="1199"/>
      <c r="Y19" s="73"/>
      <c r="Z19" s="894">
        <v>43374</v>
      </c>
      <c r="AA19" s="1199" t="s">
        <v>956</v>
      </c>
      <c r="AB19" s="73">
        <v>122.3</v>
      </c>
      <c r="AC19" s="894"/>
      <c r="AD19" s="1199"/>
      <c r="AE19" s="73"/>
      <c r="AF19" s="1112">
        <v>0.23</v>
      </c>
      <c r="AG19" s="1113">
        <v>7.66</v>
      </c>
      <c r="AH19" s="1110">
        <v>5191</v>
      </c>
      <c r="AI19" s="238">
        <v>40.869999999999997</v>
      </c>
      <c r="AJ19" s="238"/>
      <c r="AK19" s="51">
        <f t="shared" si="0"/>
        <v>1.3554326886993071</v>
      </c>
      <c r="AL19" s="51">
        <f t="shared" si="1"/>
        <v>9.182682255576502E-3</v>
      </c>
    </row>
    <row r="20" spans="1:38" x14ac:dyDescent="0.25">
      <c r="A20" s="71">
        <v>43251</v>
      </c>
      <c r="B20" s="72">
        <v>254.56</v>
      </c>
      <c r="C20" s="73">
        <v>362.09</v>
      </c>
      <c r="D20" s="147"/>
      <c r="E20" s="75"/>
      <c r="F20" s="73"/>
      <c r="G20" s="147"/>
      <c r="H20" s="75"/>
      <c r="I20" s="73"/>
      <c r="J20" s="234">
        <v>43252</v>
      </c>
      <c r="K20" s="73">
        <v>6.5039999999999996</v>
      </c>
      <c r="L20" s="71"/>
      <c r="M20" s="73"/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0.23</v>
      </c>
      <c r="AG20" s="1113">
        <v>7.67</v>
      </c>
      <c r="AH20" s="1110">
        <v>3306</v>
      </c>
      <c r="AI20" s="238">
        <v>39.31</v>
      </c>
      <c r="AJ20" s="238"/>
      <c r="AK20" s="51">
        <f t="shared" si="0"/>
        <v>1.4224151477058453</v>
      </c>
      <c r="AL20" s="51">
        <f t="shared" si="1"/>
        <v>7.6165141262114711E-2</v>
      </c>
    </row>
    <row r="21" spans="1:38" x14ac:dyDescent="0.25">
      <c r="A21" s="71">
        <v>43281</v>
      </c>
      <c r="B21" s="72">
        <v>331.79</v>
      </c>
      <c r="C21" s="73">
        <v>471.82</v>
      </c>
      <c r="D21" s="147"/>
      <c r="E21" s="75"/>
      <c r="F21" s="73"/>
      <c r="G21" s="147"/>
      <c r="H21" s="75"/>
      <c r="I21" s="73"/>
      <c r="J21" s="234">
        <v>43312</v>
      </c>
      <c r="K21" s="73">
        <v>13.007999999999999</v>
      </c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0.23</v>
      </c>
      <c r="AG21" s="1113">
        <v>7.67</v>
      </c>
      <c r="AH21" s="1110">
        <v>4309</v>
      </c>
      <c r="AI21" s="238">
        <v>52.52</v>
      </c>
      <c r="AJ21" s="238"/>
      <c r="AK21" s="51">
        <f t="shared" si="0"/>
        <v>1.4220440640163958</v>
      </c>
      <c r="AL21" s="51">
        <f t="shared" si="1"/>
        <v>7.5794057572665219E-2</v>
      </c>
    </row>
    <row r="22" spans="1:38" x14ac:dyDescent="0.25">
      <c r="A22" s="71">
        <v>43312</v>
      </c>
      <c r="B22" s="72">
        <v>182.8</v>
      </c>
      <c r="C22" s="73">
        <v>257.64</v>
      </c>
      <c r="D22" s="147"/>
      <c r="E22" s="75"/>
      <c r="F22" s="73"/>
      <c r="G22" s="147"/>
      <c r="H22" s="75"/>
      <c r="I22" s="73"/>
      <c r="J22" s="234">
        <v>43343</v>
      </c>
      <c r="K22" s="73">
        <v>6.5039999999999996</v>
      </c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0.22</v>
      </c>
      <c r="AG22" s="1113">
        <v>7.67</v>
      </c>
      <c r="AH22" s="1110">
        <v>2374</v>
      </c>
      <c r="AI22" s="238">
        <v>54.72</v>
      </c>
      <c r="AJ22" s="238"/>
      <c r="AK22" s="51">
        <f t="shared" si="0"/>
        <v>1.4094091903719912</v>
      </c>
      <c r="AL22" s="51">
        <f t="shared" si="1"/>
        <v>6.3159183928260587E-2</v>
      </c>
    </row>
    <row r="23" spans="1:38" x14ac:dyDescent="0.25">
      <c r="A23" s="71">
        <v>43343</v>
      </c>
      <c r="B23" s="72">
        <v>98.63</v>
      </c>
      <c r="C23" s="73">
        <v>138.47</v>
      </c>
      <c r="D23" s="147"/>
      <c r="E23" s="75"/>
      <c r="F23" s="73"/>
      <c r="G23" s="147"/>
      <c r="H23" s="75"/>
      <c r="I23" s="73"/>
      <c r="J23" s="431">
        <v>43373</v>
      </c>
      <c r="K23" s="347">
        <v>13.007999999999999</v>
      </c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0.23</v>
      </c>
      <c r="AG23" s="1113">
        <v>7.67</v>
      </c>
      <c r="AH23" s="1110">
        <v>1281</v>
      </c>
      <c r="AI23" s="238">
        <v>40.090000000000003</v>
      </c>
      <c r="AJ23" s="238"/>
      <c r="AK23" s="51">
        <f t="shared" si="0"/>
        <v>1.4039338943526312</v>
      </c>
      <c r="AL23" s="51">
        <f t="shared" si="1"/>
        <v>5.7683887908900555E-2</v>
      </c>
    </row>
    <row r="24" spans="1:38" x14ac:dyDescent="0.25">
      <c r="A24" s="71">
        <v>43373</v>
      </c>
      <c r="B24" s="72">
        <v>308</v>
      </c>
      <c r="C24" s="73">
        <v>440.33</v>
      </c>
      <c r="D24" s="147"/>
      <c r="E24" s="75"/>
      <c r="F24" s="73"/>
      <c r="G24" s="147"/>
      <c r="H24" s="75"/>
      <c r="I24" s="73"/>
      <c r="J24" s="234">
        <v>43404</v>
      </c>
      <c r="K24" s="73">
        <v>13.007999999999999</v>
      </c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0.22</v>
      </c>
      <c r="AG24" s="1113">
        <v>7.68</v>
      </c>
      <c r="AH24" s="1110">
        <v>4000</v>
      </c>
      <c r="AI24" s="238">
        <v>64.09</v>
      </c>
      <c r="AJ24" s="238"/>
      <c r="AK24" s="51">
        <f t="shared" si="0"/>
        <v>1.429642857142857</v>
      </c>
      <c r="AL24" s="51">
        <f t="shared" si="1"/>
        <v>8.3392850699126386E-2</v>
      </c>
    </row>
    <row r="25" spans="1:38" x14ac:dyDescent="0.25">
      <c r="A25" s="71">
        <v>43404</v>
      </c>
      <c r="B25" s="72">
        <v>392.16</v>
      </c>
      <c r="C25" s="73">
        <v>574.26</v>
      </c>
      <c r="D25" s="528"/>
      <c r="E25" s="516"/>
      <c r="F25" s="380"/>
      <c r="G25" s="147"/>
      <c r="H25" s="75"/>
      <c r="I25" s="73"/>
      <c r="J25" s="234">
        <v>43434</v>
      </c>
      <c r="K25" s="73">
        <v>19.511999999999997</v>
      </c>
      <c r="L25" s="71"/>
      <c r="M25" s="73"/>
      <c r="N25" s="894"/>
      <c r="O25" s="73"/>
      <c r="P25" s="71"/>
      <c r="Q25" s="73"/>
      <c r="R25" s="71"/>
      <c r="S25" s="73"/>
      <c r="T25" s="894"/>
      <c r="U25" s="1199"/>
      <c r="V25" s="73"/>
      <c r="W25" s="894"/>
      <c r="X25" s="1199"/>
      <c r="Y25" s="73"/>
      <c r="Z25" s="894"/>
      <c r="AA25" s="1199"/>
      <c r="AB25" s="73"/>
      <c r="AC25" s="894"/>
      <c r="AD25" s="1199"/>
      <c r="AE25" s="73"/>
      <c r="AF25" s="1112">
        <v>0.21928730086636505</v>
      </c>
      <c r="AG25" s="1113">
        <v>7.68</v>
      </c>
      <c r="AH25" s="1110">
        <v>5093</v>
      </c>
      <c r="AI25" s="238">
        <v>49.93</v>
      </c>
      <c r="AJ25" s="238"/>
      <c r="AK25" s="51">
        <f t="shared" si="0"/>
        <v>1.4643512851897185</v>
      </c>
      <c r="AL25" s="51">
        <f t="shared" si="1"/>
        <v>0.11810127874598786</v>
      </c>
    </row>
    <row r="26" spans="1:38" x14ac:dyDescent="0.25">
      <c r="A26" s="71">
        <v>43434</v>
      </c>
      <c r="B26" s="72">
        <v>259.26</v>
      </c>
      <c r="C26" s="73">
        <v>374.23</v>
      </c>
      <c r="D26" s="147"/>
      <c r="E26" s="75"/>
      <c r="F26" s="73"/>
      <c r="G26" s="147"/>
      <c r="H26" s="75"/>
      <c r="I26" s="73"/>
      <c r="J26" s="234">
        <v>43465</v>
      </c>
      <c r="K26" s="73">
        <v>6.5039999999999996</v>
      </c>
      <c r="L26" s="71"/>
      <c r="M26" s="73"/>
      <c r="N26" s="894"/>
      <c r="O26" s="73"/>
      <c r="P26" s="71"/>
      <c r="Q26" s="73"/>
      <c r="R26" s="71"/>
      <c r="S26" s="73"/>
      <c r="T26" s="894"/>
      <c r="U26" s="1199"/>
      <c r="V26" s="73"/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v>0.22</v>
      </c>
      <c r="AG26" s="1113">
        <v>7.68</v>
      </c>
      <c r="AH26" s="1110">
        <v>3367</v>
      </c>
      <c r="AI26" s="238">
        <v>54.68</v>
      </c>
      <c r="AJ26" s="238"/>
      <c r="AK26" s="51">
        <f t="shared" si="0"/>
        <v>1.443454447273008</v>
      </c>
      <c r="AL26" s="51">
        <f t="shared" si="1"/>
        <v>9.7204440829277372E-2</v>
      </c>
    </row>
    <row r="27" spans="1:38" x14ac:dyDescent="0.25">
      <c r="A27" s="71">
        <v>43465</v>
      </c>
      <c r="B27" s="72">
        <v>210.9</v>
      </c>
      <c r="C27" s="73">
        <v>290.23</v>
      </c>
      <c r="D27" s="147"/>
      <c r="E27" s="75"/>
      <c r="F27" s="73"/>
      <c r="G27" s="147"/>
      <c r="H27" s="75"/>
      <c r="I27" s="73"/>
      <c r="J27" s="234">
        <v>43487</v>
      </c>
      <c r="K27" s="73">
        <v>6.6</v>
      </c>
      <c r="L27" s="71">
        <v>43480</v>
      </c>
      <c r="M27" s="73">
        <v>335.12</v>
      </c>
      <c r="N27" s="894"/>
      <c r="O27" s="73"/>
      <c r="P27" s="71"/>
      <c r="Q27" s="73"/>
      <c r="R27" s="71"/>
      <c r="S27" s="73"/>
      <c r="T27" s="894"/>
      <c r="U27" s="1199"/>
      <c r="V27" s="73"/>
      <c r="W27" s="894"/>
      <c r="X27" s="1199"/>
      <c r="Y27" s="73"/>
      <c r="Z27" s="894"/>
      <c r="AA27" s="1199"/>
      <c r="AB27" s="73"/>
      <c r="AC27" s="894"/>
      <c r="AD27" s="1199"/>
      <c r="AE27" s="73"/>
      <c r="AF27" s="1112">
        <v>0.22</v>
      </c>
      <c r="AG27" s="1113">
        <v>7.68</v>
      </c>
      <c r="AH27" s="1110">
        <v>2739</v>
      </c>
      <c r="AI27" s="238">
        <v>78.47</v>
      </c>
      <c r="AJ27" s="238"/>
      <c r="AK27" s="51">
        <f t="shared" si="0"/>
        <v>1.376149834044571</v>
      </c>
      <c r="AL27" s="51">
        <f t="shared" si="1"/>
        <v>2.9899827600840423E-2</v>
      </c>
    </row>
    <row r="28" spans="1:38" x14ac:dyDescent="0.25">
      <c r="A28" s="71">
        <v>43496</v>
      </c>
      <c r="B28" s="72">
        <v>166.5</v>
      </c>
      <c r="C28" s="73">
        <v>225.12</v>
      </c>
      <c r="D28" s="147">
        <v>43488</v>
      </c>
      <c r="E28" s="75" t="s">
        <v>541</v>
      </c>
      <c r="F28" s="73">
        <v>48.32</v>
      </c>
      <c r="G28" s="147">
        <v>43496</v>
      </c>
      <c r="H28" s="75" t="s">
        <v>510</v>
      </c>
      <c r="I28" s="73">
        <v>26.6</v>
      </c>
      <c r="J28" s="234">
        <v>43496</v>
      </c>
      <c r="K28" s="73">
        <v>6.6</v>
      </c>
      <c r="L28" s="71">
        <v>43480</v>
      </c>
      <c r="M28" s="73">
        <v>8.4</v>
      </c>
      <c r="N28" s="894">
        <v>43475</v>
      </c>
      <c r="O28" s="73">
        <v>50</v>
      </c>
      <c r="P28" s="71"/>
      <c r="Q28" s="73"/>
      <c r="R28" s="71"/>
      <c r="S28" s="73"/>
      <c r="T28" s="894">
        <v>43466</v>
      </c>
      <c r="U28" s="1199" t="s">
        <v>957</v>
      </c>
      <c r="V28" s="73">
        <v>20.2</v>
      </c>
      <c r="W28" s="894">
        <v>43588</v>
      </c>
      <c r="X28" s="1199" t="s">
        <v>923</v>
      </c>
      <c r="Y28" s="73">
        <v>40</v>
      </c>
      <c r="Z28" s="894">
        <v>43466</v>
      </c>
      <c r="AA28" s="1199" t="s">
        <v>957</v>
      </c>
      <c r="AB28" s="73">
        <v>122.3</v>
      </c>
      <c r="AC28" s="894">
        <v>43667</v>
      </c>
      <c r="AD28" s="1199" t="s">
        <v>952</v>
      </c>
      <c r="AE28" s="73">
        <v>315.07</v>
      </c>
      <c r="AF28" s="1112">
        <v>0.22</v>
      </c>
      <c r="AG28" s="1113">
        <v>7.65</v>
      </c>
      <c r="AH28" s="1110">
        <v>2424</v>
      </c>
      <c r="AI28" s="238">
        <v>66</v>
      </c>
      <c r="AJ28" s="238"/>
      <c r="AK28" s="51">
        <f t="shared" si="0"/>
        <v>1.352072072072072</v>
      </c>
      <c r="AL28" s="51">
        <f t="shared" si="1"/>
        <v>5.8220656283414218E-3</v>
      </c>
    </row>
    <row r="29" spans="1:38" x14ac:dyDescent="0.25">
      <c r="A29" s="71">
        <v>43524</v>
      </c>
      <c r="B29" s="72">
        <v>176.94</v>
      </c>
      <c r="C29" s="73">
        <v>243.37</v>
      </c>
      <c r="D29" s="147">
        <v>43566</v>
      </c>
      <c r="E29" s="75" t="s">
        <v>656</v>
      </c>
      <c r="F29" s="73">
        <v>41.95</v>
      </c>
      <c r="G29" s="147">
        <v>43788</v>
      </c>
      <c r="H29" s="75" t="s">
        <v>699</v>
      </c>
      <c r="I29" s="73">
        <v>18.489999999999998</v>
      </c>
      <c r="J29" s="234">
        <v>43524</v>
      </c>
      <c r="K29" s="73">
        <v>6.5</v>
      </c>
      <c r="L29" s="71">
        <v>43511</v>
      </c>
      <c r="M29" s="73">
        <v>8.4</v>
      </c>
      <c r="N29" s="894"/>
      <c r="O29" s="73"/>
      <c r="P29" s="71"/>
      <c r="Q29" s="73"/>
      <c r="R29" s="71"/>
      <c r="S29" s="73"/>
      <c r="T29" s="894">
        <v>43556</v>
      </c>
      <c r="U29" s="1199" t="s">
        <v>958</v>
      </c>
      <c r="V29" s="73">
        <v>20.2</v>
      </c>
      <c r="W29" s="894"/>
      <c r="X29" s="1199"/>
      <c r="Y29" s="73"/>
      <c r="Z29" s="894">
        <v>43556</v>
      </c>
      <c r="AA29" s="1199" t="s">
        <v>958</v>
      </c>
      <c r="AB29" s="73">
        <v>122.3</v>
      </c>
      <c r="AC29" s="894"/>
      <c r="AD29" s="1199"/>
      <c r="AE29" s="73"/>
      <c r="AF29" s="1112">
        <v>0.21928730086636505</v>
      </c>
      <c r="AG29" s="1113">
        <v>7.57</v>
      </c>
      <c r="AH29" s="1110">
        <v>2956</v>
      </c>
      <c r="AI29" s="238">
        <v>66</v>
      </c>
      <c r="AJ29" s="238"/>
      <c r="AK29" s="51">
        <f t="shared" si="0"/>
        <v>1.3754380015824574</v>
      </c>
      <c r="AL29" s="51">
        <f t="shared" si="1"/>
        <v>2.918799513872683E-2</v>
      </c>
    </row>
    <row r="30" spans="1:38" x14ac:dyDescent="0.25">
      <c r="A30" s="71">
        <v>43555</v>
      </c>
      <c r="B30" s="72">
        <v>117</v>
      </c>
      <c r="C30" s="73">
        <v>162.74</v>
      </c>
      <c r="D30" s="147">
        <v>43804</v>
      </c>
      <c r="E30" s="75" t="s">
        <v>727</v>
      </c>
      <c r="F30" s="73">
        <v>20.68</v>
      </c>
      <c r="G30" s="147">
        <v>43837</v>
      </c>
      <c r="H30" s="75" t="s">
        <v>510</v>
      </c>
      <c r="I30" s="73">
        <f>17.5+2+4+2+2+8.8+8.8+17.8</f>
        <v>62.899999999999991</v>
      </c>
      <c r="J30" s="234">
        <v>43585</v>
      </c>
      <c r="K30" s="73">
        <v>6.5</v>
      </c>
      <c r="L30" s="71">
        <v>43528</v>
      </c>
      <c r="M30" s="73">
        <v>8.4</v>
      </c>
      <c r="N30" s="894"/>
      <c r="O30" s="73"/>
      <c r="P30" s="71"/>
      <c r="Q30" s="73"/>
      <c r="R30" s="71"/>
      <c r="S30" s="73"/>
      <c r="T30" s="894">
        <v>43647</v>
      </c>
      <c r="U30" s="1199" t="s">
        <v>959</v>
      </c>
      <c r="V30" s="73">
        <v>20.02</v>
      </c>
      <c r="W30" s="894"/>
      <c r="X30" s="1199"/>
      <c r="Y30" s="73"/>
      <c r="Z30" s="894">
        <v>43647</v>
      </c>
      <c r="AA30" s="1199" t="s">
        <v>959</v>
      </c>
      <c r="AB30" s="73">
        <v>121.31</v>
      </c>
      <c r="AC30" s="894"/>
      <c r="AD30" s="1199"/>
      <c r="AE30" s="73"/>
      <c r="AF30" s="1112">
        <v>0.23</v>
      </c>
      <c r="AG30" s="1113">
        <v>7.52</v>
      </c>
      <c r="AH30" s="1110">
        <v>1952</v>
      </c>
      <c r="AI30" s="238">
        <v>58</v>
      </c>
      <c r="AJ30" s="238"/>
      <c r="AK30" s="51">
        <f t="shared" si="0"/>
        <v>1.390940170940171</v>
      </c>
      <c r="AL30" s="51">
        <f t="shared" si="1"/>
        <v>4.4690164496440365E-2</v>
      </c>
    </row>
    <row r="31" spans="1:38" x14ac:dyDescent="0.25">
      <c r="A31" s="71">
        <v>43585</v>
      </c>
      <c r="B31" s="72">
        <v>173</v>
      </c>
      <c r="C31" s="73">
        <v>241.95</v>
      </c>
      <c r="D31" s="147">
        <v>43749</v>
      </c>
      <c r="E31" s="75" t="s">
        <v>824</v>
      </c>
      <c r="F31" s="73">
        <v>41.95</v>
      </c>
      <c r="G31" s="147"/>
      <c r="H31" s="75"/>
      <c r="I31" s="73"/>
      <c r="J31" s="234">
        <v>43616</v>
      </c>
      <c r="K31" s="73">
        <v>6.5</v>
      </c>
      <c r="L31" s="71">
        <v>43563</v>
      </c>
      <c r="M31" s="73">
        <v>8.4</v>
      </c>
      <c r="N31" s="894"/>
      <c r="O31" s="73"/>
      <c r="P31" s="71"/>
      <c r="Q31" s="73"/>
      <c r="R31" s="71"/>
      <c r="S31" s="73"/>
      <c r="T31" s="894">
        <v>43739</v>
      </c>
      <c r="U31" s="1199" t="s">
        <v>960</v>
      </c>
      <c r="V31" s="73">
        <v>20.02</v>
      </c>
      <c r="W31" s="894"/>
      <c r="X31" s="1199"/>
      <c r="Y31" s="73"/>
      <c r="Z31" s="894">
        <v>43739</v>
      </c>
      <c r="AA31" s="1199" t="s">
        <v>960</v>
      </c>
      <c r="AB31" s="73">
        <v>121.31</v>
      </c>
      <c r="AC31" s="894"/>
      <c r="AD31" s="1199"/>
      <c r="AE31" s="73"/>
      <c r="AF31" s="1112">
        <v>0.22</v>
      </c>
      <c r="AG31" s="1113">
        <v>7.46</v>
      </c>
      <c r="AH31" s="1110">
        <v>2826</v>
      </c>
      <c r="AI31" s="238">
        <v>66</v>
      </c>
      <c r="AJ31" s="238"/>
      <c r="AK31" s="51">
        <f t="shared" si="0"/>
        <v>1.3985549132947976</v>
      </c>
      <c r="AL31" s="51">
        <f t="shared" si="1"/>
        <v>5.2304906851067035E-2</v>
      </c>
    </row>
    <row r="32" spans="1:38" x14ac:dyDescent="0.25">
      <c r="A32" s="71">
        <v>43616</v>
      </c>
      <c r="B32" s="72">
        <v>147</v>
      </c>
      <c r="C32" s="73">
        <v>208.58</v>
      </c>
      <c r="D32" s="528"/>
      <c r="E32" s="516"/>
      <c r="F32" s="380"/>
      <c r="G32" s="147"/>
      <c r="H32" s="75"/>
      <c r="I32" s="73"/>
      <c r="J32" s="234">
        <v>43708</v>
      </c>
      <c r="K32" s="73">
        <v>16.010000000000002</v>
      </c>
      <c r="L32" s="71">
        <v>43593</v>
      </c>
      <c r="M32" s="73">
        <v>8.4</v>
      </c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0.22</v>
      </c>
      <c r="AG32" s="1113">
        <v>7.41</v>
      </c>
      <c r="AH32" s="1110">
        <v>2418</v>
      </c>
      <c r="AI32" s="238">
        <v>34</v>
      </c>
      <c r="AJ32" s="238"/>
      <c r="AK32" s="51">
        <f t="shared" si="0"/>
        <v>1.4189115646258503</v>
      </c>
      <c r="AL32" s="51">
        <f t="shared" si="1"/>
        <v>7.2661558182119723E-2</v>
      </c>
    </row>
    <row r="33" spans="1:38" x14ac:dyDescent="0.25">
      <c r="A33" s="71">
        <v>43646</v>
      </c>
      <c r="B33" s="72">
        <v>246</v>
      </c>
      <c r="C33" s="73">
        <v>333.41</v>
      </c>
      <c r="D33" s="147"/>
      <c r="E33" s="75"/>
      <c r="F33" s="73"/>
      <c r="G33" s="147"/>
      <c r="H33" s="75"/>
      <c r="I33" s="73"/>
      <c r="J33" s="234">
        <v>43738</v>
      </c>
      <c r="K33" s="73">
        <v>16.010000000000002</v>
      </c>
      <c r="L33" s="71">
        <v>43623</v>
      </c>
      <c r="M33" s="73">
        <v>8.4</v>
      </c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0.22</v>
      </c>
      <c r="AG33" s="1113">
        <v>7.34</v>
      </c>
      <c r="AH33" s="1110">
        <v>4023</v>
      </c>
      <c r="AI33" s="238">
        <v>66</v>
      </c>
      <c r="AJ33" s="238"/>
      <c r="AK33" s="51">
        <f t="shared" si="0"/>
        <v>1.3553252032520327</v>
      </c>
      <c r="AL33" s="51">
        <f t="shared" si="1"/>
        <v>9.075196808302044E-3</v>
      </c>
    </row>
    <row r="34" spans="1:38" x14ac:dyDescent="0.25">
      <c r="A34" s="71">
        <v>43677</v>
      </c>
      <c r="B34" s="72">
        <v>41</v>
      </c>
      <c r="C34" s="73">
        <v>55.92</v>
      </c>
      <c r="D34" s="147"/>
      <c r="E34" s="75"/>
      <c r="F34" s="73"/>
      <c r="G34" s="147"/>
      <c r="H34" s="75"/>
      <c r="I34" s="73"/>
      <c r="J34" s="234">
        <v>43769</v>
      </c>
      <c r="K34" s="73">
        <v>8</v>
      </c>
      <c r="L34" s="71">
        <v>43653</v>
      </c>
      <c r="M34" s="73">
        <v>8.4</v>
      </c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0.22</v>
      </c>
      <c r="AG34" s="1113">
        <v>7.33</v>
      </c>
      <c r="AH34" s="1110">
        <v>694</v>
      </c>
      <c r="AI34" s="238">
        <v>59</v>
      </c>
      <c r="AJ34" s="238"/>
      <c r="AK34" s="51">
        <f t="shared" si="0"/>
        <v>1.3639024390243903</v>
      </c>
      <c r="AL34" s="51">
        <f t="shared" si="1"/>
        <v>1.7652432580659738E-2</v>
      </c>
    </row>
    <row r="35" spans="1:38" x14ac:dyDescent="0.25">
      <c r="A35" s="71">
        <v>43708</v>
      </c>
      <c r="B35" s="72">
        <v>137</v>
      </c>
      <c r="C35" s="73">
        <v>186.3</v>
      </c>
      <c r="D35" s="147"/>
      <c r="E35" s="75"/>
      <c r="F35" s="73"/>
      <c r="G35" s="147"/>
      <c r="H35" s="75"/>
      <c r="I35" s="73"/>
      <c r="J35" s="234">
        <v>43799</v>
      </c>
      <c r="K35" s="73">
        <v>8</v>
      </c>
      <c r="L35" s="71">
        <v>43682</v>
      </c>
      <c r="M35" s="73">
        <v>8.4</v>
      </c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0.22</v>
      </c>
      <c r="AG35" s="1113">
        <v>7.29</v>
      </c>
      <c r="AH35" s="1110">
        <v>2278</v>
      </c>
      <c r="AI35" s="238">
        <v>66</v>
      </c>
      <c r="AJ35" s="238"/>
      <c r="AK35" s="51">
        <f t="shared" si="0"/>
        <v>1.3598540145985403</v>
      </c>
      <c r="AL35" s="51">
        <f t="shared" si="1"/>
        <v>1.3604008154809666E-2</v>
      </c>
    </row>
    <row r="36" spans="1:38" x14ac:dyDescent="0.25">
      <c r="A36" s="71">
        <v>43738</v>
      </c>
      <c r="B36" s="72">
        <v>215</v>
      </c>
      <c r="C36" s="73">
        <v>294.37</v>
      </c>
      <c r="D36" s="147"/>
      <c r="E36" s="75"/>
      <c r="F36" s="73"/>
      <c r="G36" s="147"/>
      <c r="H36" s="75"/>
      <c r="I36" s="73"/>
      <c r="J36" s="234">
        <v>43830</v>
      </c>
      <c r="K36" s="73">
        <v>16.010000000000002</v>
      </c>
      <c r="L36" s="71">
        <v>43713</v>
      </c>
      <c r="M36" s="73">
        <v>8.4</v>
      </c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0.22</v>
      </c>
      <c r="AG36" s="1113">
        <v>7.22</v>
      </c>
      <c r="AH36" s="1110">
        <v>3739</v>
      </c>
      <c r="AI36" s="238">
        <v>66</v>
      </c>
      <c r="AJ36" s="238"/>
      <c r="AK36" s="51">
        <f t="shared" si="0"/>
        <v>1.3691627906976744</v>
      </c>
      <c r="AL36" s="51">
        <f t="shared" si="1"/>
        <v>2.291278425394383E-2</v>
      </c>
    </row>
    <row r="37" spans="1:38" x14ac:dyDescent="0.25">
      <c r="A37" s="71">
        <v>43769</v>
      </c>
      <c r="B37" s="72">
        <v>170</v>
      </c>
      <c r="C37" s="73">
        <v>235.35</v>
      </c>
      <c r="D37" s="147"/>
      <c r="E37" s="75"/>
      <c r="F37" s="73"/>
      <c r="G37" s="147"/>
      <c r="H37" s="75"/>
      <c r="I37" s="73"/>
      <c r="J37" s="234">
        <v>43846</v>
      </c>
      <c r="K37" s="1674">
        <v>6.6</v>
      </c>
      <c r="L37" s="71">
        <v>43746</v>
      </c>
      <c r="M37" s="73">
        <v>8.4</v>
      </c>
      <c r="N37" s="894"/>
      <c r="O37" s="73"/>
      <c r="P37" s="71"/>
      <c r="Q37" s="73"/>
      <c r="R37" s="71"/>
      <c r="S37" s="73"/>
      <c r="T37" s="894"/>
      <c r="U37" s="1199"/>
      <c r="V37" s="73"/>
      <c r="W37" s="894"/>
      <c r="X37" s="1199"/>
      <c r="Y37" s="73"/>
      <c r="Z37" s="894"/>
      <c r="AA37" s="1199"/>
      <c r="AB37" s="73"/>
      <c r="AC37" s="894"/>
      <c r="AD37" s="1199"/>
      <c r="AE37" s="73"/>
      <c r="AF37" s="1112">
        <v>0.22</v>
      </c>
      <c r="AG37" s="1113">
        <v>7.19</v>
      </c>
      <c r="AH37" s="1110">
        <v>2634</v>
      </c>
      <c r="AI37" s="238">
        <v>66</v>
      </c>
      <c r="AJ37" s="238"/>
      <c r="AK37" s="51">
        <f t="shared" si="0"/>
        <v>1.3844117647058822</v>
      </c>
      <c r="AL37" s="51">
        <f t="shared" si="1"/>
        <v>3.8161758262151624E-2</v>
      </c>
    </row>
    <row r="38" spans="1:38" x14ac:dyDescent="0.25">
      <c r="A38" s="71">
        <v>43799</v>
      </c>
      <c r="B38" s="72">
        <v>256.2</v>
      </c>
      <c r="C38" s="73">
        <v>355.35</v>
      </c>
      <c r="D38" s="147"/>
      <c r="E38" s="75"/>
      <c r="F38" s="73"/>
      <c r="G38" s="147"/>
      <c r="H38" s="75"/>
      <c r="I38" s="73"/>
      <c r="J38" s="234">
        <v>43850</v>
      </c>
      <c r="K38" s="1674">
        <v>8.0039999999999996</v>
      </c>
      <c r="L38" s="71">
        <v>43788</v>
      </c>
      <c r="M38" s="73">
        <v>8.4</v>
      </c>
      <c r="N38" s="894"/>
      <c r="O38" s="73"/>
      <c r="P38" s="71"/>
      <c r="Q38" s="73"/>
      <c r="R38" s="71"/>
      <c r="S38" s="73"/>
      <c r="T38" s="894"/>
      <c r="U38" s="1199"/>
      <c r="V38" s="73"/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v>0.22</v>
      </c>
      <c r="AG38" s="1113">
        <v>7.12</v>
      </c>
      <c r="AH38" s="1110">
        <v>4431</v>
      </c>
      <c r="AI38" s="238">
        <v>46</v>
      </c>
      <c r="AJ38" s="238"/>
      <c r="AK38" s="51">
        <f t="shared" si="0"/>
        <v>1.3870023419203747</v>
      </c>
      <c r="AL38" s="51">
        <f t="shared" si="1"/>
        <v>4.0752335476644141E-2</v>
      </c>
    </row>
    <row r="39" spans="1:38" x14ac:dyDescent="0.25">
      <c r="A39" s="71">
        <v>43830</v>
      </c>
      <c r="B39" s="72">
        <v>151</v>
      </c>
      <c r="C39" s="73">
        <v>209.13</v>
      </c>
      <c r="D39" s="147"/>
      <c r="E39" s="75"/>
      <c r="F39" s="73"/>
      <c r="G39" s="147"/>
      <c r="H39" s="75"/>
      <c r="I39" s="73"/>
      <c r="J39" s="1723">
        <v>43864</v>
      </c>
      <c r="K39" s="1726">
        <v>8.0039999999999996</v>
      </c>
      <c r="L39" s="71">
        <v>43818</v>
      </c>
      <c r="M39" s="73">
        <v>8.4</v>
      </c>
      <c r="N39" s="894"/>
      <c r="O39" s="73"/>
      <c r="P39" s="71"/>
      <c r="Q39" s="73"/>
      <c r="R39" s="71"/>
      <c r="S39" s="73"/>
      <c r="T39" s="894"/>
      <c r="U39" s="1199"/>
      <c r="V39" s="73"/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v>0.22</v>
      </c>
      <c r="AG39" s="1113">
        <v>7.09</v>
      </c>
      <c r="AH39" s="1110">
        <v>2520</v>
      </c>
      <c r="AI39" s="238">
        <v>63</v>
      </c>
      <c r="AJ39" s="238"/>
      <c r="AK39" s="51">
        <f t="shared" si="0"/>
        <v>1.3849668874172185</v>
      </c>
      <c r="AL39" s="51">
        <f t="shared" si="1"/>
        <v>3.871688097348791E-2</v>
      </c>
    </row>
    <row r="40" spans="1:38" x14ac:dyDescent="0.25">
      <c r="A40" s="71">
        <v>43861</v>
      </c>
      <c r="B40" s="72">
        <v>172</v>
      </c>
      <c r="C40" s="73">
        <v>239.3</v>
      </c>
      <c r="D40" s="345">
        <v>43917</v>
      </c>
      <c r="E40" s="346" t="s">
        <v>1058</v>
      </c>
      <c r="F40" s="347">
        <v>398.51</v>
      </c>
      <c r="G40" s="147">
        <v>44043</v>
      </c>
      <c r="H40" s="75" t="s">
        <v>510</v>
      </c>
      <c r="I40" s="73">
        <f>21.12+7.14</f>
        <v>28.26</v>
      </c>
      <c r="J40" s="1723">
        <v>43878</v>
      </c>
      <c r="K40" s="1726">
        <v>8.0039999999999996</v>
      </c>
      <c r="L40" s="71">
        <v>43861</v>
      </c>
      <c r="M40" s="73">
        <v>8.4</v>
      </c>
      <c r="N40" s="894">
        <v>43845</v>
      </c>
      <c r="O40" s="73">
        <v>50</v>
      </c>
      <c r="P40" s="71"/>
      <c r="Q40" s="73"/>
      <c r="R40" s="71"/>
      <c r="S40" s="73"/>
      <c r="T40" s="894">
        <v>43808</v>
      </c>
      <c r="U40" s="1199" t="s">
        <v>961</v>
      </c>
      <c r="V40" s="73">
        <v>20.02</v>
      </c>
      <c r="W40" s="894">
        <v>43942</v>
      </c>
      <c r="X40" s="1199" t="s">
        <v>1079</v>
      </c>
      <c r="Y40" s="73">
        <v>40</v>
      </c>
      <c r="Z40" s="894">
        <v>43810</v>
      </c>
      <c r="AA40" s="1199" t="s">
        <v>961</v>
      </c>
      <c r="AB40" s="73">
        <v>121.31</v>
      </c>
      <c r="AC40" s="894">
        <v>44033</v>
      </c>
      <c r="AD40" s="1199" t="s">
        <v>1131</v>
      </c>
      <c r="AE40" s="73">
        <v>315.07</v>
      </c>
      <c r="AF40" s="1112">
        <v>0.22</v>
      </c>
      <c r="AG40" s="1113">
        <v>7.06</v>
      </c>
      <c r="AH40" s="1110">
        <v>2779</v>
      </c>
      <c r="AI40" s="238">
        <v>66</v>
      </c>
      <c r="AJ40" s="238"/>
      <c r="AK40" s="51">
        <f t="shared" si="0"/>
        <v>1.391279069767442</v>
      </c>
      <c r="AL40" s="51">
        <f t="shared" si="1"/>
        <v>4.5029063323711371E-2</v>
      </c>
    </row>
    <row r="41" spans="1:38" x14ac:dyDescent="0.25">
      <c r="A41" s="71">
        <v>43890</v>
      </c>
      <c r="B41" s="72">
        <v>106</v>
      </c>
      <c r="C41" s="73">
        <v>145.07</v>
      </c>
      <c r="D41" s="147">
        <v>43938</v>
      </c>
      <c r="E41" s="75" t="s">
        <v>1069</v>
      </c>
      <c r="F41" s="73">
        <v>41.95</v>
      </c>
      <c r="G41" s="147">
        <v>44074</v>
      </c>
      <c r="H41" s="75" t="s">
        <v>510</v>
      </c>
      <c r="I41" s="73">
        <v>1.8</v>
      </c>
      <c r="J41" s="1723">
        <v>43889</v>
      </c>
      <c r="K41" s="1726">
        <f>6.67*1.2</f>
        <v>8.0039999999999996</v>
      </c>
      <c r="L41" s="71">
        <v>43873</v>
      </c>
      <c r="M41" s="73">
        <v>8.4</v>
      </c>
      <c r="N41" s="894"/>
      <c r="O41" s="73"/>
      <c r="P41" s="71"/>
      <c r="Q41" s="73"/>
      <c r="R41" s="71"/>
      <c r="S41" s="73"/>
      <c r="T41" s="894">
        <v>43922</v>
      </c>
      <c r="U41" s="1199" t="s">
        <v>1008</v>
      </c>
      <c r="V41" s="73">
        <v>20.02</v>
      </c>
      <c r="W41" s="894"/>
      <c r="X41" s="1199"/>
      <c r="Y41" s="73"/>
      <c r="Z41" s="894">
        <v>43922</v>
      </c>
      <c r="AA41" s="1199" t="s">
        <v>1008</v>
      </c>
      <c r="AB41" s="73">
        <v>121.31</v>
      </c>
      <c r="AC41" s="894"/>
      <c r="AD41" s="1199"/>
      <c r="AE41" s="73"/>
      <c r="AF41" s="1112">
        <v>0.22</v>
      </c>
      <c r="AG41" s="1113">
        <v>7.03</v>
      </c>
      <c r="AH41" s="1110">
        <v>1896</v>
      </c>
      <c r="AI41" s="238">
        <v>65</v>
      </c>
      <c r="AJ41" s="238"/>
      <c r="AK41" s="51">
        <f t="shared" si="0"/>
        <v>1.3685849056603774</v>
      </c>
      <c r="AL41" s="51">
        <f t="shared" si="1"/>
        <v>2.2334899216646775E-2</v>
      </c>
    </row>
    <row r="42" spans="1:38" x14ac:dyDescent="0.25">
      <c r="A42" s="71">
        <v>43921</v>
      </c>
      <c r="B42" s="72">
        <v>11</v>
      </c>
      <c r="C42" s="73">
        <v>15.05</v>
      </c>
      <c r="D42" s="345">
        <v>44095</v>
      </c>
      <c r="E42" s="346" t="s">
        <v>1227</v>
      </c>
      <c r="F42" s="347">
        <v>227.47</v>
      </c>
      <c r="G42" s="147">
        <v>44104</v>
      </c>
      <c r="H42" s="75" t="s">
        <v>510</v>
      </c>
      <c r="I42" s="73">
        <v>1.8</v>
      </c>
      <c r="J42" s="1723">
        <v>43948</v>
      </c>
      <c r="K42" s="1726">
        <v>6.6</v>
      </c>
      <c r="L42" s="71">
        <v>43899</v>
      </c>
      <c r="M42" s="73">
        <v>8.4</v>
      </c>
      <c r="N42" s="894"/>
      <c r="O42" s="73"/>
      <c r="P42" s="71"/>
      <c r="Q42" s="73"/>
      <c r="R42" s="71"/>
      <c r="S42" s="73"/>
      <c r="T42" s="894">
        <v>44006</v>
      </c>
      <c r="U42" s="1199" t="s">
        <v>1223</v>
      </c>
      <c r="V42" s="73">
        <v>20.02</v>
      </c>
      <c r="W42" s="894"/>
      <c r="X42" s="1199"/>
      <c r="Y42" s="73"/>
      <c r="Z42" s="894">
        <v>44007</v>
      </c>
      <c r="AA42" s="1199" t="s">
        <v>1223</v>
      </c>
      <c r="AB42" s="73">
        <v>121.31</v>
      </c>
      <c r="AC42" s="894"/>
      <c r="AD42" s="1199"/>
      <c r="AE42" s="73"/>
      <c r="AF42" s="1112">
        <v>0.23</v>
      </c>
      <c r="AG42" s="1113">
        <v>7.04</v>
      </c>
      <c r="AH42" s="1110">
        <v>130</v>
      </c>
      <c r="AI42" s="238">
        <v>54</v>
      </c>
      <c r="AJ42" s="238"/>
      <c r="AK42" s="51">
        <f t="shared" si="0"/>
        <v>1.3681818181818182</v>
      </c>
      <c r="AL42" s="51">
        <f t="shared" si="1"/>
        <v>2.1931811738087559E-2</v>
      </c>
    </row>
    <row r="43" spans="1:38" x14ac:dyDescent="0.25">
      <c r="A43" s="71">
        <v>43951</v>
      </c>
      <c r="B43" s="72">
        <v>52</v>
      </c>
      <c r="C43" s="73">
        <v>66.67</v>
      </c>
      <c r="D43" s="147">
        <v>44123</v>
      </c>
      <c r="E43" s="75" t="s">
        <v>1303</v>
      </c>
      <c r="F43" s="73">
        <v>41.95</v>
      </c>
      <c r="G43" s="147">
        <v>44111</v>
      </c>
      <c r="H43" s="75" t="s">
        <v>510</v>
      </c>
      <c r="I43" s="73">
        <v>1.8</v>
      </c>
      <c r="J43" s="1723">
        <v>43971</v>
      </c>
      <c r="K43" s="1726">
        <f t="shared" ref="K43:K48" si="2">6.67*1.2</f>
        <v>8.0039999999999996</v>
      </c>
      <c r="L43" s="71">
        <v>43929</v>
      </c>
      <c r="M43" s="73">
        <v>8.4</v>
      </c>
      <c r="N43" s="894"/>
      <c r="O43" s="73"/>
      <c r="P43" s="71"/>
      <c r="Q43" s="73"/>
      <c r="R43" s="71"/>
      <c r="S43" s="73"/>
      <c r="T43" s="894">
        <v>44091</v>
      </c>
      <c r="U43" s="1199" t="s">
        <v>1224</v>
      </c>
      <c r="V43" s="73">
        <v>20.02</v>
      </c>
      <c r="W43" s="894"/>
      <c r="X43" s="1199"/>
      <c r="Y43" s="73"/>
      <c r="Z43" s="894">
        <v>44091</v>
      </c>
      <c r="AA43" s="1199" t="s">
        <v>1224</v>
      </c>
      <c r="AB43" s="73">
        <v>121.31</v>
      </c>
      <c r="AC43" s="894"/>
      <c r="AD43" s="1199"/>
      <c r="AE43" s="73"/>
      <c r="AF43" s="1112">
        <v>0.23</v>
      </c>
      <c r="AG43" s="1113">
        <v>7.03</v>
      </c>
      <c r="AH43" s="1110">
        <v>850</v>
      </c>
      <c r="AI43" s="238">
        <v>66</v>
      </c>
      <c r="AJ43" s="238"/>
      <c r="AK43" s="51">
        <f t="shared" si="0"/>
        <v>1.2821153846153845</v>
      </c>
      <c r="AL43" s="51">
        <f t="shared" si="1"/>
        <v>-6.4134621828346061E-2</v>
      </c>
    </row>
    <row r="44" spans="1:38" x14ac:dyDescent="0.25">
      <c r="A44" s="71">
        <v>43982</v>
      </c>
      <c r="B44" s="72">
        <v>53</v>
      </c>
      <c r="C44" s="73">
        <v>65.650000000000006</v>
      </c>
      <c r="D44" s="147"/>
      <c r="E44" s="75"/>
      <c r="F44" s="73"/>
      <c r="G44" s="147">
        <v>44196</v>
      </c>
      <c r="H44" s="75" t="s">
        <v>510</v>
      </c>
      <c r="I44" s="73">
        <f>4.5+4.5+7+12.88</f>
        <v>28.880000000000003</v>
      </c>
      <c r="J44" s="1723">
        <v>43992</v>
      </c>
      <c r="K44" s="1726">
        <f t="shared" si="2"/>
        <v>8.0039999999999996</v>
      </c>
      <c r="L44" s="71">
        <v>43958</v>
      </c>
      <c r="M44" s="73">
        <v>8.4</v>
      </c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0.24</v>
      </c>
      <c r="AG44" s="1113">
        <v>7.01</v>
      </c>
      <c r="AH44" s="1110">
        <v>955</v>
      </c>
      <c r="AI44" s="238">
        <v>66</v>
      </c>
      <c r="AJ44" s="238"/>
      <c r="AK44" s="51">
        <f t="shared" si="0"/>
        <v>1.2386792452830189</v>
      </c>
      <c r="AL44" s="51">
        <f t="shared" si="1"/>
        <v>-0.10757076116071174</v>
      </c>
    </row>
    <row r="45" spans="1:38" x14ac:dyDescent="0.25">
      <c r="A45" s="71">
        <v>44012</v>
      </c>
      <c r="B45" s="72">
        <v>199</v>
      </c>
      <c r="C45" s="73">
        <v>241.18</v>
      </c>
      <c r="D45" s="147"/>
      <c r="E45" s="75"/>
      <c r="F45" s="73"/>
      <c r="G45" s="147"/>
      <c r="H45" s="75"/>
      <c r="I45" s="73"/>
      <c r="J45" s="1723">
        <v>44006</v>
      </c>
      <c r="K45" s="1726">
        <f t="shared" si="2"/>
        <v>8.0039999999999996</v>
      </c>
      <c r="L45" s="71">
        <v>43983</v>
      </c>
      <c r="M45" s="73">
        <v>8.4</v>
      </c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0.24</v>
      </c>
      <c r="AG45" s="1113">
        <v>6.97</v>
      </c>
      <c r="AH45" s="1110">
        <v>3423</v>
      </c>
      <c r="AI45" s="238">
        <v>66</v>
      </c>
      <c r="AJ45" s="238"/>
      <c r="AK45" s="51">
        <f t="shared" si="0"/>
        <v>1.2119597989949749</v>
      </c>
      <c r="AL45" s="51">
        <f t="shared" si="1"/>
        <v>-0.13429020744875575</v>
      </c>
    </row>
    <row r="46" spans="1:38" x14ac:dyDescent="0.25">
      <c r="A46" s="71">
        <v>44043</v>
      </c>
      <c r="B46" s="72">
        <v>71</v>
      </c>
      <c r="C46" s="73">
        <v>86.32</v>
      </c>
      <c r="D46" s="147"/>
      <c r="E46" s="75"/>
      <c r="F46" s="73"/>
      <c r="G46" s="147"/>
      <c r="H46" s="75"/>
      <c r="I46" s="73"/>
      <c r="J46" s="1723">
        <v>44022</v>
      </c>
      <c r="K46" s="1726">
        <f t="shared" si="2"/>
        <v>8.0039999999999996</v>
      </c>
      <c r="L46" s="71">
        <v>44025</v>
      </c>
      <c r="M46" s="73">
        <v>8.4</v>
      </c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v>0.24</v>
      </c>
      <c r="AG46" s="1113">
        <v>6.96</v>
      </c>
      <c r="AH46" s="1110">
        <v>1108</v>
      </c>
      <c r="AI46" s="238">
        <v>66</v>
      </c>
      <c r="AJ46" s="238"/>
      <c r="AK46" s="51">
        <f t="shared" si="0"/>
        <v>1.2157746478873239</v>
      </c>
      <c r="AL46" s="51">
        <f t="shared" si="1"/>
        <v>-0.13047535855640668</v>
      </c>
    </row>
    <row r="47" spans="1:38" x14ac:dyDescent="0.25">
      <c r="A47" s="71">
        <v>44074</v>
      </c>
      <c r="B47" s="72">
        <v>8</v>
      </c>
      <c r="C47" s="73">
        <v>9.73</v>
      </c>
      <c r="D47" s="147"/>
      <c r="E47" s="75"/>
      <c r="F47" s="73"/>
      <c r="G47" s="147"/>
      <c r="H47" s="75"/>
      <c r="I47" s="73"/>
      <c r="J47" s="1723">
        <v>44081</v>
      </c>
      <c r="K47" s="1726">
        <f t="shared" si="2"/>
        <v>8.0039999999999996</v>
      </c>
      <c r="L47" s="1609">
        <v>44053</v>
      </c>
      <c r="M47" s="73">
        <v>8.4</v>
      </c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0.24</v>
      </c>
      <c r="AG47" s="1113">
        <v>6.79</v>
      </c>
      <c r="AH47" s="1110">
        <v>157</v>
      </c>
      <c r="AI47" s="238">
        <v>58</v>
      </c>
      <c r="AJ47" s="238"/>
      <c r="AK47" s="51">
        <f t="shared" si="0"/>
        <v>1.2162500000000001</v>
      </c>
      <c r="AL47" s="51">
        <f t="shared" si="1"/>
        <v>-0.13000000644373055</v>
      </c>
    </row>
    <row r="48" spans="1:38" x14ac:dyDescent="0.25">
      <c r="A48" s="71">
        <v>44104</v>
      </c>
      <c r="B48" s="72">
        <v>155</v>
      </c>
      <c r="C48" s="73">
        <v>185.37</v>
      </c>
      <c r="D48" s="147"/>
      <c r="E48" s="75"/>
      <c r="F48" s="73"/>
      <c r="G48" s="147"/>
      <c r="H48" s="75"/>
      <c r="I48" s="73"/>
      <c r="J48" s="1723">
        <v>44091</v>
      </c>
      <c r="K48" s="1726">
        <f t="shared" si="2"/>
        <v>8.0039999999999996</v>
      </c>
      <c r="L48" s="1609">
        <v>44084</v>
      </c>
      <c r="M48" s="73">
        <v>8.4</v>
      </c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0.24</v>
      </c>
      <c r="AG48" s="1113">
        <v>6.87</v>
      </c>
      <c r="AH48" s="1110">
        <v>2688</v>
      </c>
      <c r="AI48" s="238">
        <v>58</v>
      </c>
      <c r="AJ48" s="238"/>
      <c r="AK48" s="51">
        <f t="shared" si="0"/>
        <v>1.1959354838709677</v>
      </c>
      <c r="AL48" s="51">
        <f t="shared" si="1"/>
        <v>-0.1503145225727629</v>
      </c>
    </row>
    <row r="49" spans="1:38" x14ac:dyDescent="0.25">
      <c r="A49" s="71">
        <v>44135</v>
      </c>
      <c r="B49" s="72">
        <v>64</v>
      </c>
      <c r="C49" s="73">
        <v>75.81</v>
      </c>
      <c r="D49" s="147"/>
      <c r="E49" s="75"/>
      <c r="F49" s="73"/>
      <c r="G49" s="147"/>
      <c r="H49" s="75"/>
      <c r="I49" s="73"/>
      <c r="J49" s="1724">
        <v>44171</v>
      </c>
      <c r="K49" s="1725">
        <v>6.6</v>
      </c>
      <c r="L49" s="1609">
        <v>44119</v>
      </c>
      <c r="M49" s="73">
        <v>8.4</v>
      </c>
      <c r="N49" s="894"/>
      <c r="O49" s="73"/>
      <c r="P49" s="71"/>
      <c r="Q49" s="73"/>
      <c r="R49" s="71"/>
      <c r="S49" s="73"/>
      <c r="T49" s="894"/>
      <c r="U49" s="1199"/>
      <c r="V49" s="73"/>
      <c r="W49" s="894"/>
      <c r="X49" s="1199"/>
      <c r="Y49" s="73"/>
      <c r="Z49" s="894"/>
      <c r="AA49" s="1199"/>
      <c r="AB49" s="73"/>
      <c r="AC49" s="894"/>
      <c r="AD49" s="1199"/>
      <c r="AE49" s="73"/>
      <c r="AF49" s="1112">
        <v>0.24</v>
      </c>
      <c r="AG49" s="1113">
        <v>6.92</v>
      </c>
      <c r="AH49" s="1110">
        <v>1063</v>
      </c>
      <c r="AI49" s="238">
        <v>59</v>
      </c>
      <c r="AJ49" s="238"/>
      <c r="AK49" s="51">
        <f t="shared" si="0"/>
        <v>1.18453125</v>
      </c>
      <c r="AL49" s="51">
        <f t="shared" si="1"/>
        <v>-0.16171875644373057</v>
      </c>
    </row>
    <row r="50" spans="1:38" x14ac:dyDescent="0.25">
      <c r="A50" s="71">
        <v>44165</v>
      </c>
      <c r="B50" s="72">
        <v>2</v>
      </c>
      <c r="C50" s="73">
        <v>2.37</v>
      </c>
      <c r="D50" s="147"/>
      <c r="E50" s="75"/>
      <c r="F50" s="73"/>
      <c r="G50" s="147"/>
      <c r="H50" s="75"/>
      <c r="I50" s="73"/>
      <c r="J50" s="1724">
        <v>44259</v>
      </c>
      <c r="K50" s="1725">
        <v>6.6</v>
      </c>
      <c r="L50" s="1609">
        <v>44145</v>
      </c>
      <c r="M50" s="73">
        <v>8.4</v>
      </c>
      <c r="N50" s="894"/>
      <c r="O50" s="73"/>
      <c r="P50" s="71"/>
      <c r="Q50" s="73"/>
      <c r="R50" s="71"/>
      <c r="S50" s="73"/>
      <c r="T50" s="894"/>
      <c r="U50" s="1199"/>
      <c r="V50" s="73"/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v>0.25</v>
      </c>
      <c r="AG50" s="1113">
        <v>6.8</v>
      </c>
      <c r="AH50" s="1110">
        <v>21</v>
      </c>
      <c r="AI50" s="238">
        <v>57</v>
      </c>
      <c r="AJ50" s="238"/>
      <c r="AK50" s="51">
        <f t="shared" si="0"/>
        <v>1.1850000000000001</v>
      </c>
      <c r="AL50" s="51">
        <f t="shared" si="1"/>
        <v>-0.16125000644373055</v>
      </c>
    </row>
    <row r="51" spans="1:38" x14ac:dyDescent="0.25">
      <c r="A51" s="71">
        <v>44196</v>
      </c>
      <c r="B51" s="72">
        <v>114</v>
      </c>
      <c r="C51" s="73">
        <v>137.72999999999999</v>
      </c>
      <c r="D51" s="147"/>
      <c r="E51" s="75"/>
      <c r="F51" s="73"/>
      <c r="G51" s="147"/>
      <c r="H51" s="75"/>
      <c r="I51" s="73"/>
      <c r="J51" s="234"/>
      <c r="K51" s="73"/>
      <c r="L51" s="1609">
        <v>44196</v>
      </c>
      <c r="M51" s="73">
        <v>8.4</v>
      </c>
      <c r="N51" s="894"/>
      <c r="O51" s="73"/>
      <c r="P51" s="71"/>
      <c r="Q51" s="73"/>
      <c r="R51" s="71"/>
      <c r="S51" s="73"/>
      <c r="T51" s="894"/>
      <c r="U51" s="1199"/>
      <c r="V51" s="73"/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v>0.25</v>
      </c>
      <c r="AG51" s="1113">
        <v>6.73</v>
      </c>
      <c r="AH51" s="1110">
        <v>1928</v>
      </c>
      <c r="AI51" s="238">
        <v>63</v>
      </c>
      <c r="AJ51" s="238"/>
      <c r="AK51" s="51">
        <f t="shared" si="0"/>
        <v>1.2081578947368421</v>
      </c>
      <c r="AL51" s="51">
        <f t="shared" si="1"/>
        <v>-0.13809211170688851</v>
      </c>
    </row>
    <row r="52" spans="1:38" x14ac:dyDescent="0.25">
      <c r="A52" s="71">
        <v>44227</v>
      </c>
      <c r="B52" s="72">
        <v>1</v>
      </c>
      <c r="C52" s="73">
        <v>1.21</v>
      </c>
      <c r="D52" s="345">
        <v>44544</v>
      </c>
      <c r="E52" s="346" t="s">
        <v>1509</v>
      </c>
      <c r="F52" s="347">
        <v>383.5</v>
      </c>
      <c r="G52" s="147"/>
      <c r="H52" s="75"/>
      <c r="I52" s="73"/>
      <c r="J52" s="234">
        <v>44483</v>
      </c>
      <c r="K52" s="73">
        <f>6.67*1.2</f>
        <v>8.0039999999999996</v>
      </c>
      <c r="L52" s="1609">
        <v>44225</v>
      </c>
      <c r="M52" s="73">
        <v>8.4</v>
      </c>
      <c r="N52" s="894">
        <v>44223</v>
      </c>
      <c r="O52" s="73">
        <v>50</v>
      </c>
      <c r="P52" s="71"/>
      <c r="Q52" s="73"/>
      <c r="R52" s="71"/>
      <c r="S52" s="73"/>
      <c r="T52" s="894"/>
      <c r="U52" s="1199"/>
      <c r="V52" s="73"/>
      <c r="W52" s="894">
        <v>44312</v>
      </c>
      <c r="X52" s="1199" t="s">
        <v>1329</v>
      </c>
      <c r="Y52" s="73">
        <v>40</v>
      </c>
      <c r="Z52" s="894">
        <v>44197</v>
      </c>
      <c r="AA52" s="1199" t="s">
        <v>1517</v>
      </c>
      <c r="AB52" s="73">
        <v>121.31</v>
      </c>
      <c r="AC52" s="894"/>
      <c r="AD52" s="1199"/>
      <c r="AE52" s="73"/>
      <c r="AF52" s="1112">
        <v>0.25</v>
      </c>
      <c r="AG52" s="1113">
        <v>6.73</v>
      </c>
      <c r="AH52" s="1110">
        <v>0</v>
      </c>
      <c r="AI52" s="238">
        <v>62</v>
      </c>
      <c r="AJ52" s="238"/>
      <c r="AK52" s="51">
        <f t="shared" si="0"/>
        <v>1.21</v>
      </c>
      <c r="AL52" s="51">
        <f t="shared" si="1"/>
        <v>-0.13625000644373064</v>
      </c>
    </row>
    <row r="53" spans="1:38" x14ac:dyDescent="0.25">
      <c r="A53" s="71">
        <v>44255</v>
      </c>
      <c r="B53" s="72">
        <v>49</v>
      </c>
      <c r="C53" s="73">
        <v>61.94</v>
      </c>
      <c r="D53" s="147"/>
      <c r="E53" s="75"/>
      <c r="F53" s="73"/>
      <c r="G53" s="147"/>
      <c r="H53" s="75"/>
      <c r="I53" s="73"/>
      <c r="J53" s="234">
        <v>44489</v>
      </c>
      <c r="K53" s="73">
        <f>6.67*1.2</f>
        <v>8.0039999999999996</v>
      </c>
      <c r="L53" s="1609">
        <v>44231</v>
      </c>
      <c r="M53" s="73">
        <v>8.4</v>
      </c>
      <c r="N53" s="894"/>
      <c r="O53" s="73"/>
      <c r="P53" s="71"/>
      <c r="Q53" s="73"/>
      <c r="R53" s="71"/>
      <c r="S53" s="73"/>
      <c r="T53" s="894">
        <v>44378</v>
      </c>
      <c r="U53" s="1199" t="s">
        <v>1402</v>
      </c>
      <c r="V53" s="73">
        <v>20.02</v>
      </c>
      <c r="W53" s="894"/>
      <c r="X53" s="1199"/>
      <c r="Y53" s="73"/>
      <c r="Z53" s="894">
        <v>44287</v>
      </c>
      <c r="AA53" s="1199" t="s">
        <v>1518</v>
      </c>
      <c r="AB53" s="73">
        <v>121.31</v>
      </c>
      <c r="AC53" s="894"/>
      <c r="AD53" s="1199"/>
      <c r="AE53" s="73"/>
      <c r="AF53" s="1112">
        <v>0.25</v>
      </c>
      <c r="AG53" s="1113">
        <v>6.77</v>
      </c>
      <c r="AH53" s="1110">
        <v>820</v>
      </c>
      <c r="AI53" s="238">
        <v>66</v>
      </c>
      <c r="AJ53" s="238"/>
      <c r="AK53" s="51">
        <f t="shared" si="0"/>
        <v>1.2640816326530613</v>
      </c>
      <c r="AL53" s="51">
        <f t="shared" si="1"/>
        <v>-8.2168373790669325E-2</v>
      </c>
    </row>
    <row r="54" spans="1:38" x14ac:dyDescent="0.25">
      <c r="A54" s="71">
        <v>44286</v>
      </c>
      <c r="B54" s="72">
        <v>57</v>
      </c>
      <c r="C54" s="73">
        <v>74.239999999999995</v>
      </c>
      <c r="D54" s="147"/>
      <c r="E54" s="75"/>
      <c r="F54" s="73"/>
      <c r="G54" s="147"/>
      <c r="H54" s="75"/>
      <c r="I54" s="73"/>
      <c r="J54" s="234">
        <v>44495</v>
      </c>
      <c r="K54" s="73">
        <f>6.67*1.2</f>
        <v>8.0039999999999996</v>
      </c>
      <c r="L54" s="1609">
        <v>44264</v>
      </c>
      <c r="M54" s="73">
        <v>8.4</v>
      </c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>
        <v>44378</v>
      </c>
      <c r="AA54" s="1199" t="s">
        <v>1402</v>
      </c>
      <c r="AB54" s="73">
        <v>121.31</v>
      </c>
      <c r="AC54" s="894"/>
      <c r="AD54" s="1199"/>
      <c r="AE54" s="73"/>
      <c r="AF54" s="1112">
        <v>0.25</v>
      </c>
      <c r="AG54" s="1113">
        <v>6.83</v>
      </c>
      <c r="AH54" s="1110">
        <v>975</v>
      </c>
      <c r="AI54" s="238">
        <v>63</v>
      </c>
      <c r="AJ54" s="238"/>
      <c r="AK54" s="51">
        <f t="shared" si="0"/>
        <v>1.3024561403508772</v>
      </c>
      <c r="AL54" s="51">
        <f t="shared" si="1"/>
        <v>-4.3793866092853406E-2</v>
      </c>
    </row>
    <row r="55" spans="1:38" x14ac:dyDescent="0.25">
      <c r="A55" s="71">
        <v>44316</v>
      </c>
      <c r="B55" s="72">
        <v>57.42</v>
      </c>
      <c r="C55" s="73">
        <v>71.77</v>
      </c>
      <c r="D55" s="147"/>
      <c r="E55" s="75"/>
      <c r="F55" s="73"/>
      <c r="G55" s="147"/>
      <c r="H55" s="75"/>
      <c r="I55" s="73"/>
      <c r="J55" s="234">
        <v>44533</v>
      </c>
      <c r="K55" s="73">
        <f>6.67*1.2</f>
        <v>8.0039999999999996</v>
      </c>
      <c r="L55" s="1609">
        <v>44295</v>
      </c>
      <c r="M55" s="73">
        <v>8.4</v>
      </c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>
        <v>44470</v>
      </c>
      <c r="AA55" s="1199" t="s">
        <v>1516</v>
      </c>
      <c r="AB55" s="73">
        <v>121.31</v>
      </c>
      <c r="AC55" s="894"/>
      <c r="AD55" s="1199"/>
      <c r="AE55" s="73"/>
      <c r="AF55" s="1112">
        <v>0.25</v>
      </c>
      <c r="AG55" s="1113">
        <v>6.88</v>
      </c>
      <c r="AH55" s="1110">
        <v>982</v>
      </c>
      <c r="AI55" s="238">
        <v>66</v>
      </c>
      <c r="AJ55" s="238"/>
      <c r="AK55" s="51">
        <f t="shared" si="0"/>
        <v>1.2499129223267154</v>
      </c>
      <c r="AL55" s="51">
        <f t="shared" si="1"/>
        <v>-9.6337084117015248E-2</v>
      </c>
    </row>
    <row r="56" spans="1:38" x14ac:dyDescent="0.25">
      <c r="A56" s="71">
        <v>44347</v>
      </c>
      <c r="B56" s="72">
        <v>127.73</v>
      </c>
      <c r="C56" s="73">
        <v>155.29</v>
      </c>
      <c r="D56" s="147"/>
      <c r="E56" s="75"/>
      <c r="F56" s="73"/>
      <c r="G56" s="147"/>
      <c r="H56" s="75"/>
      <c r="I56" s="73"/>
      <c r="J56" s="234">
        <v>44538</v>
      </c>
      <c r="K56" s="73">
        <f>6.67*1.2</f>
        <v>8.0039999999999996</v>
      </c>
      <c r="L56" s="1609">
        <v>44320</v>
      </c>
      <c r="M56" s="73">
        <v>8.4</v>
      </c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v>0.25</v>
      </c>
      <c r="AG56" s="1113">
        <v>6.79</v>
      </c>
      <c r="AH56" s="1110">
        <v>2223</v>
      </c>
      <c r="AI56" s="238">
        <v>66</v>
      </c>
      <c r="AJ56" s="238"/>
      <c r="AK56" s="51">
        <f t="shared" si="0"/>
        <v>1.2157676348547717</v>
      </c>
      <c r="AL56" s="51">
        <f t="shared" si="1"/>
        <v>-0.13048237158895892</v>
      </c>
    </row>
    <row r="57" spans="1:38" x14ac:dyDescent="0.25">
      <c r="A57" s="71">
        <v>44377</v>
      </c>
      <c r="B57" s="72">
        <v>107.19</v>
      </c>
      <c r="C57" s="73">
        <v>137.32</v>
      </c>
      <c r="D57" s="147"/>
      <c r="E57" s="75"/>
      <c r="F57" s="73"/>
      <c r="G57" s="147"/>
      <c r="H57" s="75"/>
      <c r="I57" s="73"/>
      <c r="J57" s="234"/>
      <c r="K57" s="73"/>
      <c r="L57" s="1785">
        <v>44351</v>
      </c>
      <c r="M57" s="73">
        <v>8.4</v>
      </c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v>0.25</v>
      </c>
      <c r="AG57" s="1113">
        <v>6.84</v>
      </c>
      <c r="AH57" s="1110">
        <v>1799</v>
      </c>
      <c r="AI57" s="238">
        <v>63</v>
      </c>
      <c r="AJ57" s="238"/>
      <c r="AK57" s="51">
        <f t="shared" si="0"/>
        <v>1.2810896538856236</v>
      </c>
      <c r="AL57" s="51">
        <f t="shared" si="1"/>
        <v>-6.5160352558107038E-2</v>
      </c>
    </row>
    <row r="58" spans="1:38" x14ac:dyDescent="0.25">
      <c r="A58" s="71"/>
      <c r="B58" s="72"/>
      <c r="C58" s="73"/>
      <c r="D58" s="147"/>
      <c r="E58" s="75"/>
      <c r="F58" s="73"/>
      <c r="G58" s="147"/>
      <c r="H58" s="75"/>
      <c r="I58" s="73"/>
      <c r="J58" s="234"/>
      <c r="K58" s="73"/>
      <c r="L58" s="1609">
        <v>44383</v>
      </c>
      <c r="M58" s="73">
        <v>8.4</v>
      </c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f t="shared" ref="AF58:AF96" ca="1" si="3">$F$5</f>
        <v>0.25182426224940918</v>
      </c>
      <c r="AG58" s="1113">
        <f>SUM($B$9:B58)/($J$1-$B$4)*100</f>
        <v>6.8422129340599254</v>
      </c>
      <c r="AH58" s="1110"/>
      <c r="AI58" s="238"/>
      <c r="AJ58" s="238"/>
      <c r="AK58" s="51" t="e">
        <f t="shared" si="0"/>
        <v>#DIV/0!</v>
      </c>
      <c r="AL58" s="51" t="e">
        <f t="shared" si="1"/>
        <v>#DIV/0!</v>
      </c>
    </row>
    <row r="59" spans="1:38" x14ac:dyDescent="0.25">
      <c r="A59" s="71"/>
      <c r="B59" s="72"/>
      <c r="C59" s="73"/>
      <c r="D59" s="147"/>
      <c r="E59" s="75"/>
      <c r="F59" s="73"/>
      <c r="G59" s="147"/>
      <c r="H59" s="75"/>
      <c r="I59" s="73"/>
      <c r="J59" s="234"/>
      <c r="K59" s="73"/>
      <c r="L59" s="1785">
        <v>44415</v>
      </c>
      <c r="M59" s="73">
        <v>8.4</v>
      </c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f t="shared" ca="1" si="3"/>
        <v>0.25182426224940918</v>
      </c>
      <c r="AG59" s="1113">
        <f>SUM($B$9:B59)/($J$1-$B$4)*100</f>
        <v>6.8422129340599254</v>
      </c>
      <c r="AH59" s="1110"/>
      <c r="AI59" s="238"/>
      <c r="AJ59" s="238"/>
      <c r="AK59" s="51" t="e">
        <f t="shared" si="0"/>
        <v>#DIV/0!</v>
      </c>
      <c r="AL59" s="51" t="e">
        <f t="shared" si="1"/>
        <v>#DIV/0!</v>
      </c>
    </row>
    <row r="60" spans="1:38" x14ac:dyDescent="0.25">
      <c r="A60" s="71"/>
      <c r="B60" s="72"/>
      <c r="C60" s="73"/>
      <c r="D60" s="147"/>
      <c r="E60" s="75"/>
      <c r="F60" s="73"/>
      <c r="G60" s="147"/>
      <c r="H60" s="75"/>
      <c r="I60" s="73"/>
      <c r="J60" s="234"/>
      <c r="K60" s="73"/>
      <c r="L60" s="1609">
        <v>44446</v>
      </c>
      <c r="M60" s="73">
        <v>8.4</v>
      </c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f t="shared" ca="1" si="3"/>
        <v>0.25182426224940918</v>
      </c>
      <c r="AG60" s="1113">
        <f>SUM($B$9:B60)/($J$1-$B$4)*100</f>
        <v>6.8422129340599254</v>
      </c>
      <c r="AH60" s="1110"/>
      <c r="AI60" s="238"/>
      <c r="AJ60" s="238"/>
      <c r="AK60" s="51" t="e">
        <f t="shared" si="0"/>
        <v>#DIV/0!</v>
      </c>
      <c r="AL60" s="51" t="e">
        <f t="shared" si="1"/>
        <v>#DIV/0!</v>
      </c>
    </row>
    <row r="61" spans="1:38" x14ac:dyDescent="0.25">
      <c r="A61" s="71"/>
      <c r="B61" s="72"/>
      <c r="C61" s="73"/>
      <c r="D61" s="147"/>
      <c r="E61" s="75"/>
      <c r="F61" s="73"/>
      <c r="G61" s="147"/>
      <c r="H61" s="75"/>
      <c r="I61" s="73"/>
      <c r="J61" s="234"/>
      <c r="K61" s="73"/>
      <c r="L61" s="1609">
        <v>44470</v>
      </c>
      <c r="M61" s="73">
        <v>8.4</v>
      </c>
      <c r="N61" s="894"/>
      <c r="O61" s="73"/>
      <c r="P61" s="71"/>
      <c r="Q61" s="73"/>
      <c r="R61" s="71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>
        <f t="shared" ca="1" si="3"/>
        <v>0.25182426224940918</v>
      </c>
      <c r="AG61" s="1113">
        <f>SUM($B$9:B61)/($J$1-$B$4)*100</f>
        <v>6.8422129340599254</v>
      </c>
      <c r="AH61" s="1110"/>
      <c r="AI61" s="238"/>
      <c r="AJ61" s="238"/>
      <c r="AK61" s="51" t="e">
        <f t="shared" si="0"/>
        <v>#DIV/0!</v>
      </c>
      <c r="AL61" s="51" t="e">
        <f t="shared" si="1"/>
        <v>#DIV/0!</v>
      </c>
    </row>
    <row r="62" spans="1:38" x14ac:dyDescent="0.25">
      <c r="A62" s="71"/>
      <c r="B62" s="72"/>
      <c r="C62" s="73"/>
      <c r="D62" s="147"/>
      <c r="E62" s="75"/>
      <c r="F62" s="73"/>
      <c r="G62" s="147"/>
      <c r="H62" s="75"/>
      <c r="I62" s="73"/>
      <c r="J62" s="234"/>
      <c r="K62" s="73"/>
      <c r="L62" s="1609">
        <v>44504</v>
      </c>
      <c r="M62" s="73">
        <v>8.4</v>
      </c>
      <c r="N62" s="894"/>
      <c r="O62" s="73"/>
      <c r="P62" s="71"/>
      <c r="Q62" s="73"/>
      <c r="R62" s="71"/>
      <c r="S62" s="73"/>
      <c r="T62" s="894"/>
      <c r="U62" s="1199"/>
      <c r="V62" s="73"/>
      <c r="W62" s="894"/>
      <c r="X62" s="1199"/>
      <c r="Y62" s="73"/>
      <c r="Z62" s="894"/>
      <c r="AA62" s="1199"/>
      <c r="AB62" s="73"/>
      <c r="AC62" s="894"/>
      <c r="AD62" s="1199"/>
      <c r="AE62" s="73"/>
      <c r="AF62" s="1112">
        <f t="shared" ca="1" si="3"/>
        <v>0.25182426224940918</v>
      </c>
      <c r="AG62" s="1113">
        <f>SUM($B$9:B62)/($J$1-$B$4)*100</f>
        <v>6.8422129340599254</v>
      </c>
      <c r="AH62" s="1110"/>
      <c r="AI62" s="238"/>
      <c r="AJ62" s="238"/>
      <c r="AK62" s="51" t="e">
        <f t="shared" si="0"/>
        <v>#DIV/0!</v>
      </c>
      <c r="AL62" s="51" t="e">
        <f t="shared" si="1"/>
        <v>#DIV/0!</v>
      </c>
    </row>
    <row r="63" spans="1:38" x14ac:dyDescent="0.25">
      <c r="A63" s="71"/>
      <c r="B63" s="72"/>
      <c r="C63" s="73"/>
      <c r="D63" s="147"/>
      <c r="E63" s="75"/>
      <c r="F63" s="73"/>
      <c r="G63" s="147"/>
      <c r="H63" s="75"/>
      <c r="I63" s="73"/>
      <c r="J63" s="234"/>
      <c r="K63" s="73"/>
      <c r="L63" s="1609">
        <v>44531</v>
      </c>
      <c r="M63" s="73">
        <v>8.4</v>
      </c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>
        <v>44562</v>
      </c>
      <c r="AA63" s="1199" t="s">
        <v>1541</v>
      </c>
      <c r="AB63" s="73">
        <v>121.31</v>
      </c>
      <c r="AC63" s="894"/>
      <c r="AD63" s="1199"/>
      <c r="AE63" s="73"/>
      <c r="AF63" s="1112">
        <f t="shared" ca="1" si="3"/>
        <v>0.25182426224940918</v>
      </c>
      <c r="AG63" s="1113">
        <f>SUM($B$9:B63)/($J$1-$B$4)*100</f>
        <v>6.8422129340599254</v>
      </c>
      <c r="AH63" s="1110"/>
      <c r="AI63" s="238"/>
      <c r="AJ63" s="238"/>
      <c r="AK63" s="51" t="e">
        <f t="shared" si="0"/>
        <v>#DIV/0!</v>
      </c>
      <c r="AL63" s="51" t="e">
        <f t="shared" si="1"/>
        <v>#DIV/0!</v>
      </c>
    </row>
    <row r="64" spans="1:38" x14ac:dyDescent="0.25">
      <c r="A64" s="71"/>
      <c r="B64" s="72"/>
      <c r="C64" s="73"/>
      <c r="D64" s="147"/>
      <c r="E64" s="75"/>
      <c r="F64" s="73"/>
      <c r="G64" s="147"/>
      <c r="H64" s="75"/>
      <c r="I64" s="73"/>
      <c r="J64" s="1724">
        <v>44585</v>
      </c>
      <c r="K64" s="1725">
        <v>9.99</v>
      </c>
      <c r="L64" s="1609">
        <v>44565</v>
      </c>
      <c r="M64" s="73">
        <v>8.4</v>
      </c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f t="shared" ca="1" si="3"/>
        <v>0.25182426224940918</v>
      </c>
      <c r="AG64" s="1113">
        <f>SUM($B$9:B64)/($J$1-$B$4)*100</f>
        <v>6.8422129340599254</v>
      </c>
      <c r="AH64" s="1110"/>
      <c r="AI64" s="238"/>
      <c r="AJ64" s="238"/>
      <c r="AK64" s="51" t="e">
        <f t="shared" si="0"/>
        <v>#DIV/0!</v>
      </c>
      <c r="AL64" s="51" t="e">
        <f t="shared" si="1"/>
        <v>#DIV/0!</v>
      </c>
    </row>
    <row r="65" spans="1:38" x14ac:dyDescent="0.25">
      <c r="A65" s="71"/>
      <c r="B65" s="72"/>
      <c r="C65" s="73"/>
      <c r="D65" s="147"/>
      <c r="E65" s="75"/>
      <c r="F65" s="73"/>
      <c r="G65" s="147"/>
      <c r="H65" s="75"/>
      <c r="I65" s="73"/>
      <c r="J65" s="234"/>
      <c r="K65" s="73"/>
      <c r="L65" s="1609">
        <v>44594</v>
      </c>
      <c r="M65" s="73">
        <v>8.4</v>
      </c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f t="shared" ca="1" si="3"/>
        <v>0.25182426224940918</v>
      </c>
      <c r="AG65" s="1113">
        <f>SUM($B$9:B65)/($J$1-$B$4)*100</f>
        <v>6.8422129340599254</v>
      </c>
      <c r="AH65" s="1110"/>
      <c r="AI65" s="238"/>
      <c r="AJ65" s="238"/>
      <c r="AK65" s="51" t="e">
        <f t="shared" si="0"/>
        <v>#DIV/0!</v>
      </c>
      <c r="AL65" s="51" t="e">
        <f t="shared" si="1"/>
        <v>#DIV/0!</v>
      </c>
    </row>
    <row r="66" spans="1:38" x14ac:dyDescent="0.25">
      <c r="A66" s="71"/>
      <c r="B66" s="72"/>
      <c r="C66" s="73"/>
      <c r="D66" s="147"/>
      <c r="E66" s="75"/>
      <c r="F66" s="73"/>
      <c r="G66" s="147"/>
      <c r="H66" s="75"/>
      <c r="I66" s="73"/>
      <c r="J66" s="234"/>
      <c r="K66" s="73"/>
      <c r="L66" s="71"/>
      <c r="M66" s="73"/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f t="shared" ca="1" si="3"/>
        <v>0.25182426224940918</v>
      </c>
      <c r="AG66" s="1113">
        <f>SUM($B$9:B66)/($J$1-$B$4)*100</f>
        <v>6.8422129340599254</v>
      </c>
      <c r="AH66" s="1110"/>
      <c r="AI66" s="238"/>
      <c r="AJ66" s="238"/>
      <c r="AK66" s="51" t="e">
        <f t="shared" si="0"/>
        <v>#DIV/0!</v>
      </c>
      <c r="AL66" s="51" t="e">
        <f t="shared" si="1"/>
        <v>#DIV/0!</v>
      </c>
    </row>
    <row r="67" spans="1:38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71"/>
      <c r="M67" s="73"/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ca="1" si="3"/>
        <v>0.25182426224940918</v>
      </c>
      <c r="AG67" s="1113">
        <f>SUM($B$9:B67)/($J$1-$B$4)*100</f>
        <v>6.8422129340599254</v>
      </c>
      <c r="AH67" s="1110"/>
      <c r="AI67" s="238"/>
      <c r="AJ67" s="238"/>
      <c r="AK67" s="51" t="e">
        <f t="shared" si="0"/>
        <v>#DIV/0!</v>
      </c>
      <c r="AL67" s="51" t="e">
        <f t="shared" si="1"/>
        <v>#DIV/0!</v>
      </c>
    </row>
    <row r="68" spans="1:38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71"/>
      <c r="M68" s="73"/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3"/>
        <v>0.25182426224940918</v>
      </c>
      <c r="AG68" s="1113">
        <f>SUM($B$9:B68)/($J$1-$B$4)*100</f>
        <v>6.8422129340599254</v>
      </c>
      <c r="AH68" s="1110"/>
      <c r="AI68" s="238"/>
      <c r="AJ68" s="238"/>
      <c r="AK68" s="51" t="e">
        <f t="shared" si="0"/>
        <v>#DIV/0!</v>
      </c>
      <c r="AL68" s="51" t="e">
        <f t="shared" si="1"/>
        <v>#DIV/0!</v>
      </c>
    </row>
    <row r="69" spans="1:38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71"/>
      <c r="M69" s="73"/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3"/>
        <v>0.25182426224940918</v>
      </c>
      <c r="AG69" s="1113">
        <f>SUM($B$9:B69)/($J$1-$B$4)*100</f>
        <v>6.8422129340599254</v>
      </c>
      <c r="AH69" s="1110"/>
      <c r="AI69" s="238"/>
      <c r="AJ69" s="238"/>
      <c r="AK69" s="51" t="e">
        <f t="shared" si="0"/>
        <v>#DIV/0!</v>
      </c>
      <c r="AL69" s="51" t="e">
        <f t="shared" si="1"/>
        <v>#DIV/0!</v>
      </c>
    </row>
    <row r="70" spans="1:38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71"/>
      <c r="M70" s="73"/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3"/>
        <v>0.25182426224940918</v>
      </c>
      <c r="AG70" s="1113">
        <f>SUM($B$9:B70)/($J$1-$B$4)*100</f>
        <v>6.8422129340599254</v>
      </c>
      <c r="AH70" s="1110"/>
      <c r="AI70" s="238"/>
      <c r="AJ70" s="238"/>
      <c r="AK70" s="51" t="e">
        <f t="shared" si="0"/>
        <v>#DIV/0!</v>
      </c>
      <c r="AL70" s="51" t="e">
        <f t="shared" si="1"/>
        <v>#DIV/0!</v>
      </c>
    </row>
    <row r="71" spans="1:38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71"/>
      <c r="M71" s="73"/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3"/>
        <v>0.25182426224940918</v>
      </c>
      <c r="AG71" s="1113">
        <f>SUM($B$9:B71)/($J$1-$B$4)*100</f>
        <v>6.8422129340599254</v>
      </c>
      <c r="AH71" s="1110"/>
      <c r="AI71" s="238"/>
      <c r="AJ71" s="238"/>
      <c r="AK71" s="51" t="e">
        <f t="shared" si="0"/>
        <v>#DIV/0!</v>
      </c>
      <c r="AL71" s="51" t="e">
        <f t="shared" si="1"/>
        <v>#DIV/0!</v>
      </c>
    </row>
    <row r="72" spans="1:38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71"/>
      <c r="M72" s="73"/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3"/>
        <v>0.25182426224940918</v>
      </c>
      <c r="AG72" s="1113">
        <f>SUM($B$9:B72)/($J$1-$B$4)*100</f>
        <v>6.8422129340599254</v>
      </c>
      <c r="AH72" s="1110"/>
      <c r="AI72" s="238"/>
      <c r="AJ72" s="238"/>
      <c r="AK72" s="51" t="e">
        <f t="shared" si="0"/>
        <v>#DIV/0!</v>
      </c>
      <c r="AL72" s="51" t="e">
        <f t="shared" si="1"/>
        <v>#DIV/0!</v>
      </c>
    </row>
    <row r="73" spans="1:38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71"/>
      <c r="M73" s="73"/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3"/>
        <v>0.25182426224940918</v>
      </c>
      <c r="AG73" s="1113">
        <f>SUM($B$9:B73)/($J$1-$B$4)*100</f>
        <v>6.8422129340599254</v>
      </c>
      <c r="AH73" s="1110"/>
      <c r="AI73" s="238"/>
      <c r="AJ73" s="238"/>
      <c r="AK73" s="51" t="e">
        <f t="shared" ref="AK73:AK96" si="4">C73/B73</f>
        <v>#DIV/0!</v>
      </c>
      <c r="AL73" s="51" t="e">
        <f t="shared" ref="AL73:AL96" si="5">AK73-$AK$8</f>
        <v>#DIV/0!</v>
      </c>
    </row>
    <row r="74" spans="1:38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71"/>
      <c r="M74" s="73"/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3"/>
        <v>0.25182426224940918</v>
      </c>
      <c r="AG74" s="1113">
        <f>SUM($B$9:B74)/($J$1-$B$4)*100</f>
        <v>6.8422129340599254</v>
      </c>
      <c r="AH74" s="1110"/>
      <c r="AI74" s="238"/>
      <c r="AJ74" s="238"/>
      <c r="AK74" s="51" t="e">
        <f t="shared" si="4"/>
        <v>#DIV/0!</v>
      </c>
      <c r="AL74" s="51" t="e">
        <f t="shared" si="5"/>
        <v>#DIV/0!</v>
      </c>
    </row>
    <row r="75" spans="1:38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3"/>
        <v>0.25182426224940918</v>
      </c>
      <c r="AG75" s="1113">
        <f>SUM($B$9:B75)/($J$1-$B$4)*100</f>
        <v>6.8422129340599254</v>
      </c>
      <c r="AH75" s="1110"/>
      <c r="AI75" s="238"/>
      <c r="AJ75" s="238"/>
      <c r="AK75" s="51" t="e">
        <f t="shared" si="4"/>
        <v>#DIV/0!</v>
      </c>
      <c r="AL75" s="51" t="e">
        <f t="shared" si="5"/>
        <v>#DIV/0!</v>
      </c>
    </row>
    <row r="76" spans="1:38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3"/>
        <v>0.25182426224940918</v>
      </c>
      <c r="AG76" s="1113">
        <f>SUM($B$9:B76)/($J$1-$B$4)*100</f>
        <v>6.8422129340599254</v>
      </c>
      <c r="AH76" s="1110"/>
      <c r="AI76" s="238"/>
      <c r="AJ76" s="238"/>
      <c r="AK76" s="51" t="e">
        <f t="shared" si="4"/>
        <v>#DIV/0!</v>
      </c>
      <c r="AL76" s="51" t="e">
        <f t="shared" si="5"/>
        <v>#DIV/0!</v>
      </c>
    </row>
    <row r="77" spans="1:38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3"/>
        <v>0.25182426224940918</v>
      </c>
      <c r="AG77" s="1113">
        <f>SUM($B$9:B77)/($J$1-$B$4)*100</f>
        <v>6.8422129340599254</v>
      </c>
      <c r="AH77" s="1110"/>
      <c r="AI77" s="238"/>
      <c r="AJ77" s="238"/>
      <c r="AK77" s="51" t="e">
        <f t="shared" si="4"/>
        <v>#DIV/0!</v>
      </c>
      <c r="AL77" s="51" t="e">
        <f t="shared" si="5"/>
        <v>#DIV/0!</v>
      </c>
    </row>
    <row r="78" spans="1:38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3"/>
        <v>0.25182426224940918</v>
      </c>
      <c r="AG78" s="1113">
        <f>SUM($B$9:B78)/($J$1-$B$4)*100</f>
        <v>6.8422129340599254</v>
      </c>
      <c r="AH78" s="1110"/>
      <c r="AI78" s="238"/>
      <c r="AJ78" s="238"/>
      <c r="AK78" s="51" t="e">
        <f t="shared" si="4"/>
        <v>#DIV/0!</v>
      </c>
      <c r="AL78" s="51" t="e">
        <f t="shared" si="5"/>
        <v>#DIV/0!</v>
      </c>
    </row>
    <row r="79" spans="1:38" x14ac:dyDescent="0.25">
      <c r="A79" s="71"/>
      <c r="B79" s="72"/>
      <c r="C79" s="73"/>
      <c r="D79" s="147"/>
      <c r="E79" s="75"/>
      <c r="F79" s="73"/>
      <c r="G79" s="1161"/>
      <c r="H79" s="831"/>
      <c r="I79" s="835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3"/>
        <v>0.25182426224940918</v>
      </c>
      <c r="AG79" s="1113">
        <f>SUM($B$9:B79)/($J$1-$B$4)*100</f>
        <v>6.8422129340599254</v>
      </c>
      <c r="AH79" s="1110"/>
      <c r="AI79" s="238"/>
      <c r="AJ79" s="238"/>
      <c r="AK79" s="51" t="e">
        <f t="shared" si="4"/>
        <v>#DIV/0!</v>
      </c>
      <c r="AL79" s="51" t="e">
        <f t="shared" si="5"/>
        <v>#DIV/0!</v>
      </c>
    </row>
    <row r="80" spans="1:38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3"/>
        <v>0.25182426224940918</v>
      </c>
      <c r="AG80" s="1113">
        <f>SUM($B$9:B80)/($J$1-$B$4)*100</f>
        <v>6.8422129340599254</v>
      </c>
      <c r="AH80" s="1110"/>
      <c r="AI80" s="238"/>
      <c r="AJ80" s="238"/>
      <c r="AK80" s="51" t="e">
        <f t="shared" si="4"/>
        <v>#DIV/0!</v>
      </c>
      <c r="AL80" s="51" t="e">
        <f t="shared" si="5"/>
        <v>#DIV/0!</v>
      </c>
    </row>
    <row r="81" spans="1:38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3"/>
        <v>0.25182426224940918</v>
      </c>
      <c r="AG81" s="1113">
        <f>SUM($B$9:B81)/($J$1-$B$4)*100</f>
        <v>6.8422129340599254</v>
      </c>
      <c r="AH81" s="1110"/>
      <c r="AI81" s="238"/>
      <c r="AJ81" s="238"/>
      <c r="AK81" s="51" t="e">
        <f t="shared" si="4"/>
        <v>#DIV/0!</v>
      </c>
      <c r="AL81" s="51" t="e">
        <f t="shared" si="5"/>
        <v>#DIV/0!</v>
      </c>
    </row>
    <row r="82" spans="1:38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3"/>
        <v>0.25182426224940918</v>
      </c>
      <c r="AG82" s="1113">
        <f>SUM($B$9:B82)/($J$1-$B$4)*100</f>
        <v>6.8422129340599254</v>
      </c>
      <c r="AH82" s="1110"/>
      <c r="AI82" s="238"/>
      <c r="AJ82" s="238"/>
      <c r="AK82" s="51" t="e">
        <f t="shared" si="4"/>
        <v>#DIV/0!</v>
      </c>
      <c r="AL82" s="51" t="e">
        <f t="shared" si="5"/>
        <v>#DIV/0!</v>
      </c>
    </row>
    <row r="83" spans="1:38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3"/>
        <v>0.25182426224940918</v>
      </c>
      <c r="AG83" s="1113">
        <f>SUM($B$9:B83)/($J$1-$B$4)*100</f>
        <v>6.8422129340599254</v>
      </c>
      <c r="AH83" s="1110"/>
      <c r="AI83" s="238"/>
      <c r="AJ83" s="238"/>
      <c r="AK83" s="51" t="e">
        <f t="shared" si="4"/>
        <v>#DIV/0!</v>
      </c>
      <c r="AL83" s="51" t="e">
        <f t="shared" si="5"/>
        <v>#DIV/0!</v>
      </c>
    </row>
    <row r="84" spans="1:38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3"/>
        <v>0.25182426224940918</v>
      </c>
      <c r="AG84" s="1113">
        <f>SUM($B$9:B84)/($J$1-$B$4)*100</f>
        <v>6.8422129340599254</v>
      </c>
      <c r="AH84" s="1110"/>
      <c r="AI84" s="238"/>
      <c r="AJ84" s="238"/>
      <c r="AK84" s="51" t="e">
        <f t="shared" si="4"/>
        <v>#DIV/0!</v>
      </c>
      <c r="AL84" s="51" t="e">
        <f t="shared" si="5"/>
        <v>#DIV/0!</v>
      </c>
    </row>
    <row r="85" spans="1:38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3"/>
        <v>0.25182426224940918</v>
      </c>
      <c r="AG85" s="1113">
        <f>SUM($B$9:B85)/($J$1-$B$4)*100</f>
        <v>6.8422129340599254</v>
      </c>
      <c r="AH85" s="1110"/>
      <c r="AI85" s="238"/>
      <c r="AJ85" s="238"/>
      <c r="AK85" s="51" t="e">
        <f t="shared" si="4"/>
        <v>#DIV/0!</v>
      </c>
      <c r="AL85" s="51" t="e">
        <f t="shared" si="5"/>
        <v>#DIV/0!</v>
      </c>
    </row>
    <row r="86" spans="1:38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3"/>
        <v>0.25182426224940918</v>
      </c>
      <c r="AG86" s="1113">
        <f>SUM($B$9:B86)/($J$1-$B$4)*100</f>
        <v>6.8422129340599254</v>
      </c>
      <c r="AH86" s="1110"/>
      <c r="AI86" s="238"/>
      <c r="AJ86" s="238"/>
      <c r="AK86" s="51" t="e">
        <f t="shared" si="4"/>
        <v>#DIV/0!</v>
      </c>
      <c r="AL86" s="51" t="e">
        <f t="shared" si="5"/>
        <v>#DIV/0!</v>
      </c>
    </row>
    <row r="87" spans="1:38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3"/>
        <v>0.25182426224940918</v>
      </c>
      <c r="AG87" s="1113">
        <f>SUM($B$9:B87)/($J$1-$B$4)*100</f>
        <v>6.8422129340599254</v>
      </c>
      <c r="AH87" s="1110"/>
      <c r="AI87" s="238"/>
      <c r="AJ87" s="238"/>
      <c r="AK87" s="51" t="e">
        <f t="shared" si="4"/>
        <v>#DIV/0!</v>
      </c>
      <c r="AL87" s="51" t="e">
        <f t="shared" si="5"/>
        <v>#DIV/0!</v>
      </c>
    </row>
    <row r="88" spans="1:38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3"/>
        <v>0.25182426224940918</v>
      </c>
      <c r="AG88" s="1113">
        <f>SUM($B$9:B88)/($J$1-$B$4)*100</f>
        <v>6.8422129340599254</v>
      </c>
      <c r="AH88" s="1110"/>
      <c r="AI88" s="238"/>
      <c r="AJ88" s="238"/>
      <c r="AK88" s="51" t="e">
        <f t="shared" si="4"/>
        <v>#DIV/0!</v>
      </c>
      <c r="AL88" s="51" t="e">
        <f t="shared" si="5"/>
        <v>#DIV/0!</v>
      </c>
    </row>
    <row r="89" spans="1:38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3"/>
        <v>0.25182426224940918</v>
      </c>
      <c r="AG89" s="1113">
        <f>SUM($B$9:B89)/($J$1-$B$4)*100</f>
        <v>6.8422129340599254</v>
      </c>
      <c r="AH89" s="1110"/>
      <c r="AI89" s="238"/>
      <c r="AJ89" s="238"/>
      <c r="AK89" s="51" t="e">
        <f t="shared" si="4"/>
        <v>#DIV/0!</v>
      </c>
      <c r="AL89" s="51" t="e">
        <f t="shared" si="5"/>
        <v>#DIV/0!</v>
      </c>
    </row>
    <row r="90" spans="1:38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3"/>
        <v>0.25182426224940918</v>
      </c>
      <c r="AG90" s="1113">
        <f>SUM($B$9:B90)/($J$1-$B$4)*100</f>
        <v>6.8422129340599254</v>
      </c>
      <c r="AH90" s="1110"/>
      <c r="AI90" s="238"/>
      <c r="AJ90" s="238"/>
      <c r="AK90" s="51" t="e">
        <f t="shared" si="4"/>
        <v>#DIV/0!</v>
      </c>
      <c r="AL90" s="51" t="e">
        <f t="shared" si="5"/>
        <v>#DIV/0!</v>
      </c>
    </row>
    <row r="91" spans="1:38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3"/>
        <v>0.25182426224940918</v>
      </c>
      <c r="AG91" s="1113">
        <f>SUM($B$9:B91)/($J$1-$B$4)*100</f>
        <v>6.8422129340599254</v>
      </c>
      <c r="AH91" s="1110"/>
      <c r="AI91" s="238"/>
      <c r="AJ91" s="238"/>
      <c r="AK91" s="51" t="e">
        <f t="shared" si="4"/>
        <v>#DIV/0!</v>
      </c>
      <c r="AL91" s="51" t="e">
        <f t="shared" si="5"/>
        <v>#DIV/0!</v>
      </c>
    </row>
    <row r="92" spans="1:38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3"/>
        <v>0.25182426224940918</v>
      </c>
      <c r="AG92" s="1113">
        <f>SUM($B$9:B92)/($J$1-$B$4)*100</f>
        <v>6.8422129340599254</v>
      </c>
      <c r="AH92" s="1110"/>
      <c r="AI92" s="238"/>
      <c r="AJ92" s="238"/>
      <c r="AK92" s="51" t="e">
        <f t="shared" si="4"/>
        <v>#DIV/0!</v>
      </c>
      <c r="AL92" s="51" t="e">
        <f t="shared" si="5"/>
        <v>#DIV/0!</v>
      </c>
    </row>
    <row r="93" spans="1:38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3"/>
        <v>0.25182426224940918</v>
      </c>
      <c r="AG93" s="1113">
        <f>SUM($B$9:B93)/($J$1-$B$4)*100</f>
        <v>6.8422129340599254</v>
      </c>
      <c r="AH93" s="1110"/>
      <c r="AI93" s="238"/>
      <c r="AJ93" s="238"/>
      <c r="AK93" s="51" t="e">
        <f t="shared" si="4"/>
        <v>#DIV/0!</v>
      </c>
      <c r="AL93" s="51" t="e">
        <f t="shared" si="5"/>
        <v>#DIV/0!</v>
      </c>
    </row>
    <row r="94" spans="1:38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3"/>
        <v>0.25182426224940918</v>
      </c>
      <c r="AG94" s="1113">
        <f>SUM($B$9:B94)/($J$1-$B$4)*100</f>
        <v>6.8422129340599254</v>
      </c>
      <c r="AH94" s="1110"/>
      <c r="AI94" s="238"/>
      <c r="AJ94" s="238"/>
      <c r="AK94" s="51" t="e">
        <f t="shared" si="4"/>
        <v>#DIV/0!</v>
      </c>
      <c r="AL94" s="51" t="e">
        <f t="shared" si="5"/>
        <v>#DIV/0!</v>
      </c>
    </row>
    <row r="95" spans="1:38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3"/>
        <v>0.25182426224940918</v>
      </c>
      <c r="AG95" s="1113">
        <f>SUM($B$9:B95)/($J$1-$B$4)*100</f>
        <v>6.8422129340599254</v>
      </c>
      <c r="AH95" s="1110"/>
      <c r="AI95" s="238"/>
      <c r="AJ95" s="238"/>
      <c r="AK95" s="51" t="e">
        <f t="shared" si="4"/>
        <v>#DIV/0!</v>
      </c>
      <c r="AL95" s="51" t="e">
        <f t="shared" si="5"/>
        <v>#DIV/0!</v>
      </c>
    </row>
    <row r="96" spans="1:38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3"/>
        <v>0.25182426224940918</v>
      </c>
      <c r="AG96" s="1113">
        <f>SUM($B$9:B96)/($J$1-$B$4)*100</f>
        <v>6.8422129340599254</v>
      </c>
      <c r="AH96" s="1110"/>
      <c r="AI96" s="238"/>
      <c r="AJ96" s="238"/>
      <c r="AK96" s="51" t="e">
        <f t="shared" si="4"/>
        <v>#DIV/0!</v>
      </c>
      <c r="AL96" s="51" t="e">
        <f t="shared" si="5"/>
        <v>#DIV/0!</v>
      </c>
    </row>
    <row r="97" spans="1:37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239"/>
      <c r="AK97" s="51"/>
    </row>
    <row r="98" spans="1:37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0.27181500942567888</v>
      </c>
      <c r="AG98" s="1109">
        <f>AVERAGE(AG9:AG97)</f>
        <v>7.0426852775947486</v>
      </c>
      <c r="AH98" s="1228">
        <f ca="1">SUMIFS($AH$9:$AH$97,$A$9:$A$97,"&gt;="&amp;$C99,$A$9:$A$97,"&lt;="&amp;$D99)</f>
        <v>23797</v>
      </c>
      <c r="AI98" s="1229"/>
      <c r="AJ98" s="273"/>
      <c r="AK98" s="1213"/>
    </row>
    <row r="99" spans="1:37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0.30641229135452469</v>
      </c>
      <c r="G99" s="1208">
        <f ca="1">J4+C101+F101+I101+K101+M101+O101+Q101+S101+V101+Y101+AB101+AE101</f>
        <v>0.99999999999999989</v>
      </c>
      <c r="H99" s="1210" t="s">
        <v>962</v>
      </c>
      <c r="I99" s="1207">
        <f ca="1">F99-F5</f>
        <v>5.458802910511551E-2</v>
      </c>
      <c r="J99" s="1303">
        <f ca="1">(F99/F5)-1</f>
        <v>0.21677033268165014</v>
      </c>
      <c r="K99" s="2253">
        <f ca="1">((D99-C99)/(365.25/12)*F3)+C102+F102+I102+K102+M102+O102+Q102+S102+AE106</f>
        <v>10427.427594936709</v>
      </c>
      <c r="L99" s="2253"/>
      <c r="M99" s="1472" t="s">
        <v>1135</v>
      </c>
      <c r="N99" s="1470"/>
      <c r="O99" s="1471"/>
      <c r="P99" s="1189">
        <f ca="1">K99/AH98</f>
        <v>0.43818244295233472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7.68</v>
      </c>
      <c r="AH99" s="1226">
        <f>AVERAGE(AH9:AH97)</f>
        <v>2314.4897959183672</v>
      </c>
      <c r="AI99" s="150"/>
      <c r="AJ99" s="150"/>
    </row>
    <row r="100" spans="1:37" s="561" customFormat="1" x14ac:dyDescent="0.25">
      <c r="A100" s="1178" t="s">
        <v>877</v>
      </c>
      <c r="B100" s="1179"/>
      <c r="C100" s="1180">
        <f ca="1">C102/$AH$98</f>
        <v>7.4464008068243895E-2</v>
      </c>
      <c r="D100" s="2252" t="s">
        <v>879</v>
      </c>
      <c r="E100" s="2246"/>
      <c r="F100" s="1180">
        <f ca="1">F102/$AH$98</f>
        <v>4.5946127663150822E-2</v>
      </c>
      <c r="G100" s="2252" t="s">
        <v>881</v>
      </c>
      <c r="H100" s="2246"/>
      <c r="I100" s="1180">
        <f ca="1">I102/$AH$98</f>
        <v>5.2712526789091057E-3</v>
      </c>
      <c r="J100" s="1181" t="s">
        <v>898</v>
      </c>
      <c r="K100" s="1180">
        <f ca="1">K102/$AH$98</f>
        <v>6.574358112367105E-3</v>
      </c>
      <c r="L100" s="1181" t="s">
        <v>883</v>
      </c>
      <c r="M100" s="1180">
        <f ca="1">M102/$AH$98</f>
        <v>9.1776274320292516E-3</v>
      </c>
      <c r="N100" s="1181" t="s">
        <v>908</v>
      </c>
      <c r="O100" s="1180">
        <f ca="1">O102/$AH$98</f>
        <v>4.2022103626507545E-3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</v>
      </c>
      <c r="T100" s="2252" t="s">
        <v>886</v>
      </c>
      <c r="U100" s="2246"/>
      <c r="V100" s="1180">
        <f ca="1">V102/$AH$98</f>
        <v>3.3651300584107238E-3</v>
      </c>
      <c r="W100" s="2252" t="s">
        <v>912</v>
      </c>
      <c r="X100" s="2246"/>
      <c r="Y100" s="1180">
        <f ca="1">Y102/$AH$98</f>
        <v>3.3617682901206035E-3</v>
      </c>
      <c r="Z100" s="2252" t="s">
        <v>889</v>
      </c>
      <c r="AA100" s="2246"/>
      <c r="AB100" s="1180">
        <f ca="1">AB102/$AH$98</f>
        <v>4.078161112745303E-2</v>
      </c>
      <c r="AC100" s="2252" t="s">
        <v>891</v>
      </c>
      <c r="AD100" s="2246"/>
      <c r="AE100" s="1180">
        <f ca="1">AE102/$AH$98</f>
        <v>1.3239904189603731E-2</v>
      </c>
      <c r="AF100" s="944"/>
      <c r="AG100" s="49"/>
      <c r="AH100" s="1190"/>
      <c r="AI100" s="150"/>
      <c r="AJ100" s="150"/>
    </row>
    <row r="101" spans="1:37" s="561" customFormat="1" x14ac:dyDescent="0.25">
      <c r="A101" s="1192" t="s">
        <v>896</v>
      </c>
      <c r="B101" s="1193">
        <f ca="1">B102/AH98*100</f>
        <v>5.9097365214102622</v>
      </c>
      <c r="C101" s="1183">
        <f ca="1">C100/$F$99</f>
        <v>0.24301899815790243</v>
      </c>
      <c r="D101" s="1184"/>
      <c r="E101" s="1185"/>
      <c r="F101" s="1183">
        <f ca="1">F100/$F$99</f>
        <v>0.14994870949870057</v>
      </c>
      <c r="G101" s="1184"/>
      <c r="H101" s="1185"/>
      <c r="I101" s="1183">
        <f ca="1">I100/$F$99</f>
        <v>1.7203137170532658E-2</v>
      </c>
      <c r="J101" s="1243">
        <f ca="1">COUNTIFS(J9:J97,"&gt;="&amp;$C$99,J9:J97,"&lt;=" &amp;$D$99)</f>
        <v>20</v>
      </c>
      <c r="K101" s="1183">
        <f ca="1">K100/$F$99</f>
        <v>2.1455921638471254E-2</v>
      </c>
      <c r="L101" s="1184"/>
      <c r="M101" s="1183">
        <f ca="1">M100/$F$99</f>
        <v>2.9951890609409552E-2</v>
      </c>
      <c r="N101" s="1184"/>
      <c r="O101" s="1183">
        <f ca="1">O100/$F$99</f>
        <v>1.371423562701902E-2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1.098235989011683E-2</v>
      </c>
      <c r="W101" s="1184"/>
      <c r="X101" s="1185"/>
      <c r="Y101" s="1183">
        <f ca="1">Y100/$F$99</f>
        <v>1.0971388501615215E-2</v>
      </c>
      <c r="Z101" s="1184"/>
      <c r="AA101" s="1185"/>
      <c r="AB101" s="1183">
        <f ca="1">AB100/$F$99</f>
        <v>0.13309391391309414</v>
      </c>
      <c r="AC101" s="1184"/>
      <c r="AD101" s="1185"/>
      <c r="AE101" s="1183">
        <f ca="1">AE100/$F$99</f>
        <v>4.3209442190048818E-2</v>
      </c>
      <c r="AF101" s="1217"/>
      <c r="AG101" s="1"/>
      <c r="AH101" s="5"/>
    </row>
    <row r="102" spans="1:37" x14ac:dyDescent="0.25">
      <c r="A102" s="1191" t="s">
        <v>878</v>
      </c>
      <c r="B102" s="1196">
        <f ca="1">SUMIFS($B$9:$B$97,$A$9:$A$97,"&gt;="&amp;$C99,$A$9:$A$97,"&lt;="&amp;$D99)</f>
        <v>1406.3400000000001</v>
      </c>
      <c r="C102" s="1197">
        <f ca="1">SUMIFS($C$9:$C$97,$A$9:$A$97,"&gt;="&amp;$C99,$A$9:$A$97,"&lt;="&amp;$D99)</f>
        <v>1772.02</v>
      </c>
      <c r="D102" s="2251" t="s">
        <v>880</v>
      </c>
      <c r="E102" s="2250"/>
      <c r="F102" s="1197">
        <f ca="1">SUMIFS($F$9:$F$97,$D$9:$D$97,"&gt;="&amp;$C99,$D$9:$D$97,"&lt;="&amp;$D99)</f>
        <v>1093.3800000000001</v>
      </c>
      <c r="G102" s="2251" t="s">
        <v>882</v>
      </c>
      <c r="H102" s="2250"/>
      <c r="I102" s="1197">
        <f ca="1">SUMIFS($I$9:$I$97,$G$9:$G$97,"&gt;="&amp;$C99,$G$9:$G$97,"&lt;="&amp;$D99)</f>
        <v>125.44</v>
      </c>
      <c r="J102" s="1157" t="s">
        <v>899</v>
      </c>
      <c r="K102" s="1158">
        <f ca="1">SUMIFS(K9:K97,J9:J97,"&gt;="&amp;$C99,J9:J97,"&lt;="&amp;$D99)</f>
        <v>156.44999999999999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80.08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970.47999999999979</v>
      </c>
      <c r="AC102" s="2251" t="s">
        <v>892</v>
      </c>
      <c r="AD102" s="2250"/>
      <c r="AE102" s="1158">
        <f ca="1">SUMIFS(AE9:AE97,AC9:AC97,"&gt;="&amp;$C99,AC9:AC97,"&lt;="&amp;$D99)</f>
        <v>315.07</v>
      </c>
      <c r="AI102" s="1"/>
      <c r="AJ102" s="1"/>
    </row>
    <row r="103" spans="1:37" x14ac:dyDescent="0.25">
      <c r="A103" s="1194" t="s">
        <v>897</v>
      </c>
      <c r="B103" s="1195"/>
      <c r="C103" s="1203">
        <f ca="1">C100-C6</f>
        <v>-1.7649283997431611E-2</v>
      </c>
      <c r="D103" s="1205" t="s">
        <v>897</v>
      </c>
      <c r="E103" s="1195"/>
      <c r="F103" s="1206">
        <f ca="1">F100-F6</f>
        <v>3.347059145341847E-2</v>
      </c>
      <c r="G103" s="1204" t="s">
        <v>897</v>
      </c>
      <c r="H103" s="1195"/>
      <c r="I103" s="1203">
        <f ca="1">I100-I6</f>
        <v>9.5391287727763282E-4</v>
      </c>
      <c r="J103" s="1205" t="s">
        <v>897</v>
      </c>
      <c r="K103" s="1206">
        <f ca="1">K100-K6</f>
        <v>3.1665396677491363E-3</v>
      </c>
      <c r="L103" s="1204" t="s">
        <v>897</v>
      </c>
      <c r="M103" s="1203">
        <f ca="1">M100-M6</f>
        <v>3.7422633410522021E-3</v>
      </c>
      <c r="N103" s="1205" t="s">
        <v>897</v>
      </c>
      <c r="O103" s="1206">
        <f ca="1">O100-O6</f>
        <v>2.5408324157816212E-3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1.019015190739477E-3</v>
      </c>
      <c r="W103" s="1205" t="s">
        <v>897</v>
      </c>
      <c r="X103" s="1195"/>
      <c r="Y103" s="1206">
        <f ca="1">Y100-Y6</f>
        <v>2.0326659326252968E-3</v>
      </c>
      <c r="Z103" s="1205" t="s">
        <v>897</v>
      </c>
      <c r="AA103" s="1195"/>
      <c r="AB103" s="1206">
        <f ca="1">AB100-AB6</f>
        <v>2.2540595028700729E-2</v>
      </c>
      <c r="AC103" s="1205" t="s">
        <v>897</v>
      </c>
      <c r="AD103" s="1195"/>
      <c r="AE103" s="1206">
        <f ca="1">AE100-AE6</f>
        <v>2.7708971952025742E-3</v>
      </c>
      <c r="AF103" s="1"/>
      <c r="AG103" s="5"/>
      <c r="AH103" s="61"/>
      <c r="AI103" s="1"/>
      <c r="AJ103" s="1"/>
    </row>
    <row r="104" spans="1:37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6.0748413665588086E-2</v>
      </c>
      <c r="AI104" s="1"/>
      <c r="AJ104" s="1"/>
    </row>
    <row r="105" spans="1:37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0.19825710449487499</v>
      </c>
      <c r="AI105" s="1"/>
      <c r="AJ105" s="1"/>
    </row>
    <row r="106" spans="1:37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1445.6299999999997</v>
      </c>
      <c r="AF106" s="618"/>
      <c r="AH106" s="829"/>
    </row>
    <row r="107" spans="1:37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</row>
    <row r="108" spans="1:37" s="800" customFormat="1" x14ac:dyDescent="0.25">
      <c r="A108" s="799">
        <v>43370</v>
      </c>
      <c r="B108" s="750" t="s">
        <v>376</v>
      </c>
      <c r="C108" s="750"/>
      <c r="D108" s="750" t="s">
        <v>431</v>
      </c>
      <c r="E108" s="776">
        <v>42343</v>
      </c>
      <c r="F108" s="918">
        <v>6.5</v>
      </c>
      <c r="G108" s="750" t="s">
        <v>432</v>
      </c>
      <c r="J108" s="764"/>
      <c r="L108" s="801"/>
      <c r="M108" s="802"/>
      <c r="N108" s="802"/>
    </row>
    <row r="109" spans="1:37" s="800" customFormat="1" x14ac:dyDescent="0.25">
      <c r="A109" s="799">
        <v>43402</v>
      </c>
      <c r="B109" s="750" t="s">
        <v>448</v>
      </c>
      <c r="C109" s="750"/>
      <c r="D109" s="750" t="s">
        <v>462</v>
      </c>
      <c r="E109" s="776">
        <v>50100</v>
      </c>
      <c r="F109" s="918">
        <v>41.95</v>
      </c>
      <c r="G109" s="750" t="s">
        <v>332</v>
      </c>
      <c r="J109" s="764"/>
      <c r="L109" s="801"/>
      <c r="M109" s="802"/>
      <c r="N109" s="802"/>
    </row>
    <row r="110" spans="1:37" s="800" customFormat="1" x14ac:dyDescent="0.25">
      <c r="A110" s="799">
        <v>43488</v>
      </c>
      <c r="B110" s="750" t="s">
        <v>376</v>
      </c>
      <c r="C110" s="750"/>
      <c r="D110" s="750" t="s">
        <v>542</v>
      </c>
      <c r="E110" s="776">
        <v>58234</v>
      </c>
      <c r="F110" s="918">
        <v>48.32</v>
      </c>
      <c r="G110" s="750" t="s">
        <v>378</v>
      </c>
      <c r="J110" s="764"/>
      <c r="L110" s="801"/>
      <c r="M110" s="802"/>
      <c r="N110" s="802"/>
    </row>
    <row r="111" spans="1:37" s="7" customFormat="1" x14ac:dyDescent="0.25">
      <c r="A111" s="799">
        <v>43566</v>
      </c>
      <c r="B111" s="750" t="s">
        <v>385</v>
      </c>
      <c r="C111" s="750"/>
      <c r="D111" s="750" t="s">
        <v>657</v>
      </c>
      <c r="E111" s="776">
        <v>65011</v>
      </c>
      <c r="F111" s="918">
        <v>41.95</v>
      </c>
      <c r="G111" s="750" t="s">
        <v>614</v>
      </c>
      <c r="I111" s="800"/>
      <c r="J111" s="918"/>
      <c r="L111" s="776"/>
      <c r="M111" s="909"/>
      <c r="N111" s="909"/>
      <c r="O111" s="909"/>
    </row>
    <row r="112" spans="1:37" s="800" customFormat="1" x14ac:dyDescent="0.25">
      <c r="A112" s="799">
        <v>43802</v>
      </c>
      <c r="B112" s="750" t="s">
        <v>376</v>
      </c>
      <c r="C112" s="750"/>
      <c r="D112" s="750" t="s">
        <v>728</v>
      </c>
      <c r="E112" s="776">
        <v>87924</v>
      </c>
      <c r="F112" s="918">
        <v>20.68</v>
      </c>
      <c r="G112" s="750" t="s">
        <v>378</v>
      </c>
      <c r="J112" s="764"/>
      <c r="L112" s="801"/>
      <c r="M112" s="802"/>
      <c r="N112" s="802"/>
    </row>
    <row r="113" spans="1:33" s="7" customFormat="1" x14ac:dyDescent="0.25">
      <c r="A113" s="799">
        <v>43749</v>
      </c>
      <c r="B113" s="750" t="s">
        <v>385</v>
      </c>
      <c r="C113" s="750"/>
      <c r="D113" s="750" t="s">
        <v>825</v>
      </c>
      <c r="E113" s="776">
        <v>81192</v>
      </c>
      <c r="F113" s="918">
        <v>41.95</v>
      </c>
      <c r="G113" s="750" t="s">
        <v>614</v>
      </c>
      <c r="K113" s="800" t="s">
        <v>826</v>
      </c>
      <c r="L113" s="776"/>
      <c r="M113" s="909"/>
      <c r="N113" s="909"/>
      <c r="O113" s="909"/>
    </row>
    <row r="114" spans="1:33" s="800" customFormat="1" x14ac:dyDescent="0.25">
      <c r="A114" s="799">
        <v>43917</v>
      </c>
      <c r="B114" s="750" t="s">
        <v>385</v>
      </c>
      <c r="C114" s="750"/>
      <c r="D114" s="750" t="s">
        <v>1048</v>
      </c>
      <c r="E114" s="776" t="s">
        <v>1043</v>
      </c>
      <c r="F114" s="918">
        <v>277.79000000000002</v>
      </c>
      <c r="G114" s="750" t="s">
        <v>1049</v>
      </c>
      <c r="K114" s="800" t="s">
        <v>1050</v>
      </c>
      <c r="L114" s="799"/>
      <c r="M114" s="764"/>
      <c r="N114" s="799"/>
      <c r="O114" s="764"/>
      <c r="P114" s="799"/>
      <c r="Q114" s="764"/>
      <c r="R114" s="799"/>
      <c r="S114" s="799"/>
      <c r="T114" s="764"/>
      <c r="U114" s="764"/>
      <c r="V114" s="764"/>
      <c r="W114" s="764"/>
      <c r="X114" s="799"/>
      <c r="Y114" s="799"/>
      <c r="Z114" s="764"/>
      <c r="AA114" s="799"/>
      <c r="AB114" s="799"/>
      <c r="AC114" s="764"/>
      <c r="AD114" s="764"/>
      <c r="AF114" s="801"/>
      <c r="AG114" s="802"/>
    </row>
    <row r="115" spans="1:33" s="7" customFormat="1" x14ac:dyDescent="0.25">
      <c r="A115" s="799">
        <v>43938</v>
      </c>
      <c r="B115" s="750" t="s">
        <v>385</v>
      </c>
      <c r="C115" s="750"/>
      <c r="D115" s="750" t="s">
        <v>1068</v>
      </c>
      <c r="E115" s="776">
        <v>94425</v>
      </c>
      <c r="F115" s="918">
        <v>41.95</v>
      </c>
      <c r="G115" s="750" t="s">
        <v>614</v>
      </c>
      <c r="K115" s="800" t="s">
        <v>1067</v>
      </c>
      <c r="L115" s="776"/>
      <c r="M115" s="909"/>
      <c r="N115" s="909"/>
      <c r="O115" s="909"/>
    </row>
    <row r="116" spans="1:33" s="800" customFormat="1" x14ac:dyDescent="0.25">
      <c r="A116" s="799">
        <v>44095</v>
      </c>
      <c r="B116" s="750" t="s">
        <v>376</v>
      </c>
      <c r="C116" s="750"/>
      <c r="D116" s="750" t="s">
        <v>1226</v>
      </c>
      <c r="E116" s="776">
        <v>102622</v>
      </c>
      <c r="F116" s="918">
        <v>227.47</v>
      </c>
      <c r="G116" s="750" t="s">
        <v>1217</v>
      </c>
      <c r="J116" s="764"/>
      <c r="K116" s="800" t="s">
        <v>1228</v>
      </c>
      <c r="L116" s="801"/>
      <c r="M116" s="802"/>
      <c r="N116" s="802"/>
    </row>
    <row r="117" spans="1:33" s="7" customFormat="1" x14ac:dyDescent="0.25">
      <c r="A117" s="799">
        <v>44123</v>
      </c>
      <c r="B117" s="750" t="s">
        <v>385</v>
      </c>
      <c r="C117" s="750"/>
      <c r="D117" s="750" t="s">
        <v>1302</v>
      </c>
      <c r="E117" s="776">
        <v>104951</v>
      </c>
      <c r="F117" s="918">
        <v>41.95</v>
      </c>
      <c r="G117" s="750" t="s">
        <v>614</v>
      </c>
      <c r="K117" s="800" t="s">
        <v>1304</v>
      </c>
      <c r="L117" s="776"/>
      <c r="M117" s="909"/>
      <c r="N117" s="909"/>
      <c r="O117" s="909"/>
    </row>
    <row r="118" spans="1:33" s="7" customFormat="1" x14ac:dyDescent="0.25">
      <c r="A118" s="799">
        <v>44544</v>
      </c>
      <c r="B118" s="750" t="s">
        <v>376</v>
      </c>
      <c r="C118" s="750"/>
      <c r="D118" s="750" t="s">
        <v>1503</v>
      </c>
      <c r="E118" s="776">
        <v>120352</v>
      </c>
      <c r="F118" s="918">
        <v>383.5</v>
      </c>
      <c r="G118" s="750" t="s">
        <v>378</v>
      </c>
      <c r="H118" s="800"/>
      <c r="J118" s="801"/>
      <c r="K118" s="800" t="s">
        <v>1510</v>
      </c>
      <c r="L118" s="801"/>
      <c r="M118" s="802"/>
      <c r="N118" s="776"/>
      <c r="O118" s="800"/>
      <c r="P118" s="801"/>
    </row>
    <row r="119" spans="1:33" x14ac:dyDescent="0.25">
      <c r="E119" s="57"/>
      <c r="I119" s="6"/>
    </row>
    <row r="120" spans="1:33" x14ac:dyDescent="0.25">
      <c r="E120" s="57"/>
      <c r="I120" s="476"/>
    </row>
    <row r="121" spans="1:33" x14ac:dyDescent="0.25">
      <c r="E121" s="57"/>
      <c r="I121" s="476"/>
    </row>
  </sheetData>
  <sortState ref="G9:I31">
    <sortCondition ref="G9:G31"/>
  </sortState>
  <mergeCells count="44">
    <mergeCell ref="AJ1:AJ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8:AD8"/>
    <mergeCell ref="D100:E100"/>
    <mergeCell ref="G100:H100"/>
    <mergeCell ref="T100:U100"/>
    <mergeCell ref="W100:X100"/>
    <mergeCell ref="Z100:AA100"/>
    <mergeCell ref="K99:L99"/>
    <mergeCell ref="H1:I1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</mergeCells>
  <conditionalFormatting sqref="AL9:AL44 AL97:AL98">
    <cfRule type="cellIs" dxfId="176" priority="3" operator="greaterThan">
      <formula>0</formula>
    </cfRule>
    <cfRule type="cellIs" dxfId="175" priority="4" operator="lessThan">
      <formula>0</formula>
    </cfRule>
  </conditionalFormatting>
  <conditionalFormatting sqref="AF9:AF96">
    <cfRule type="cellIs" dxfId="174" priority="5" operator="lessThan">
      <formula>$AF$98</formula>
    </cfRule>
    <cfRule type="cellIs" dxfId="173" priority="6" operator="greaterThan">
      <formula>$AF$98</formula>
    </cfRule>
  </conditionalFormatting>
  <conditionalFormatting sqref="AG9:AG96">
    <cfRule type="cellIs" dxfId="172" priority="7" operator="equal">
      <formula>$AG$99</formula>
    </cfRule>
    <cfRule type="cellIs" dxfId="171" priority="8" operator="lessThan">
      <formula>$AG$98</formula>
    </cfRule>
    <cfRule type="cellIs" dxfId="170" priority="9" operator="greaterThan">
      <formula>$AG$98</formula>
    </cfRule>
  </conditionalFormatting>
  <conditionalFormatting sqref="AL45:AL96">
    <cfRule type="cellIs" dxfId="169" priority="1" operator="greaterThan">
      <formula>0</formula>
    </cfRule>
    <cfRule type="cellIs" dxfId="168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>
    <tabColor rgb="FF92D050"/>
  </sheetPr>
  <dimension ref="A1:AT121"/>
  <sheetViews>
    <sheetView workbookViewId="0">
      <pane xSplit="1" ySplit="8" topLeftCell="B34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1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16.125" style="478" customWidth="1"/>
    <col min="28" max="28" width="10.375" style="51" customWidth="1"/>
    <col min="29" max="29" width="9.125" style="478" customWidth="1"/>
    <col min="30" max="30" width="16.1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6" width="10.75" style="61" customWidth="1"/>
    <col min="37" max="38" width="9" style="1"/>
    <col min="39" max="39" width="9" style="1476"/>
    <col min="40" max="40" width="9" style="1475"/>
    <col min="41" max="41" width="9" style="1485"/>
    <col min="42" max="42" width="9" style="1466"/>
    <col min="44" max="16384" width="9" style="1"/>
  </cols>
  <sheetData>
    <row r="1" spans="1:42" s="1165" customFormat="1" ht="18.75" customHeight="1" thickTop="1" thickBot="1" x14ac:dyDescent="0.3">
      <c r="A1" s="1166" t="s">
        <v>185</v>
      </c>
      <c r="B1" s="1569" t="s">
        <v>186</v>
      </c>
      <c r="C1" s="1569"/>
      <c r="D1" s="1569"/>
      <c r="E1" s="1569"/>
      <c r="F1" s="1569"/>
      <c r="G1" s="1569"/>
      <c r="H1" s="2243" t="s">
        <v>1163</v>
      </c>
      <c r="I1" s="2244"/>
      <c r="J1" s="1572">
        <v>107301</v>
      </c>
      <c r="K1" s="1573">
        <f>J1-B4</f>
        <v>107296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90" t="s">
        <v>171</v>
      </c>
      <c r="AM1" s="1483"/>
      <c r="AN1" s="1495"/>
      <c r="AO1" s="1484"/>
      <c r="AP1" s="1490"/>
    </row>
    <row r="2" spans="1:42" s="561" customFormat="1" ht="16.5" thickTop="1" x14ac:dyDescent="0.25">
      <c r="A2" s="1167" t="s">
        <v>927</v>
      </c>
      <c r="B2" s="1251">
        <v>43089</v>
      </c>
      <c r="C2" s="1251">
        <v>43089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81"/>
      <c r="AM2" s="1478"/>
      <c r="AN2" s="1496"/>
      <c r="AO2" s="734"/>
      <c r="AP2" s="638"/>
    </row>
    <row r="3" spans="1:42" s="561" customFormat="1" x14ac:dyDescent="0.25">
      <c r="A3" s="1167" t="s">
        <v>870</v>
      </c>
      <c r="B3" s="2264">
        <v>0</v>
      </c>
      <c r="C3" s="2264"/>
      <c r="D3" s="1239" t="s">
        <v>874</v>
      </c>
      <c r="E3" s="1169"/>
      <c r="F3" s="1175">
        <f ca="1">B3/G2/12</f>
        <v>0</v>
      </c>
      <c r="G3" s="2267" t="s">
        <v>875</v>
      </c>
      <c r="H3" s="2267"/>
      <c r="I3" s="1240">
        <f ca="1">F3/(I4/((TODAY()-C2)/365.25*12))</f>
        <v>0</v>
      </c>
      <c r="J3" s="1171">
        <f ca="1">I3/$F$5</f>
        <v>0</v>
      </c>
      <c r="K3" s="1375">
        <f ca="1">(B3/G2/365.25)/(I4/(TODAY()-C2))</f>
        <v>0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1.3816925734024179E-3</v>
      </c>
      <c r="AF3" s="2270"/>
      <c r="AG3" s="2273"/>
      <c r="AH3" s="2276"/>
      <c r="AI3" s="2280"/>
      <c r="AJ3" s="2281"/>
      <c r="AM3" s="1478"/>
      <c r="AN3" s="1496"/>
      <c r="AO3" s="734"/>
      <c r="AP3" s="638"/>
    </row>
    <row r="4" spans="1:42" s="561" customFormat="1" ht="19.5" thickBot="1" x14ac:dyDescent="0.3">
      <c r="A4" s="1167" t="s">
        <v>869</v>
      </c>
      <c r="B4" s="2283">
        <v>5</v>
      </c>
      <c r="C4" s="2283"/>
      <c r="D4" s="2284" t="s">
        <v>872</v>
      </c>
      <c r="E4" s="2285"/>
      <c r="F4" s="1570">
        <v>115805</v>
      </c>
      <c r="G4" s="1172" t="s">
        <v>876</v>
      </c>
      <c r="H4" s="1173"/>
      <c r="I4" s="1224">
        <f>F4-B4</f>
        <v>115800</v>
      </c>
      <c r="J4" s="1227">
        <f ca="1">I3/F99</f>
        <v>0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5.1141039742307725E-3</v>
      </c>
      <c r="AF4" s="2270"/>
      <c r="AG4" s="2273"/>
      <c r="AH4" s="2276"/>
      <c r="AI4" s="2280"/>
      <c r="AJ4" s="2281"/>
      <c r="AM4" s="1478"/>
      <c r="AN4" s="1496"/>
      <c r="AO4" s="734"/>
      <c r="AP4" s="638"/>
    </row>
    <row r="5" spans="1:42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0.27017295314380901</v>
      </c>
      <c r="G5" s="1211">
        <f ca="1">J3+C7+F7+I7+K7+M7+O7+Q7+S7+V7+Y7+AB7+AE7</f>
        <v>1</v>
      </c>
      <c r="H5" s="1380">
        <f>B3+C8+F8+I8+K8+M8+O8+Q8+S8+AE5</f>
        <v>30543.334000000003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160</v>
      </c>
      <c r="AF5" s="2270"/>
      <c r="AG5" s="2273"/>
      <c r="AH5" s="2276"/>
      <c r="AI5" s="2280"/>
      <c r="AJ5" s="2281"/>
      <c r="AM5" s="1478"/>
      <c r="AN5" s="1496"/>
      <c r="AO5" s="734"/>
      <c r="AP5" s="638"/>
    </row>
    <row r="6" spans="1:42" s="561" customFormat="1" x14ac:dyDescent="0.25">
      <c r="A6" s="1178" t="s">
        <v>877</v>
      </c>
      <c r="B6" s="1179"/>
      <c r="C6" s="1180">
        <f>C8/$K$1</f>
        <v>8.7334662988368603E-2</v>
      </c>
      <c r="D6" s="2252" t="s">
        <v>879</v>
      </c>
      <c r="E6" s="2246"/>
      <c r="F6" s="1180">
        <f>F8/$I$4</f>
        <v>-9.5630397236614857E-4</v>
      </c>
      <c r="G6" s="2252" t="s">
        <v>881</v>
      </c>
      <c r="H6" s="2246"/>
      <c r="I6" s="1180">
        <f>I8/$I$4</f>
        <v>4.092055267702936E-3</v>
      </c>
      <c r="J6" s="1181" t="s">
        <v>898</v>
      </c>
      <c r="K6" s="1180">
        <f>K8/$I$4</f>
        <v>1.9766321243523308E-3</v>
      </c>
      <c r="L6" s="1181" t="s">
        <v>883</v>
      </c>
      <c r="M6" s="1180">
        <f>M8/$I$4</f>
        <v>5.4683937823834126E-3</v>
      </c>
      <c r="N6" s="1181" t="s">
        <v>908</v>
      </c>
      <c r="O6" s="1180">
        <f>O8/$I$4</f>
        <v>1.7271157167530224E-3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0.16914870466321244</v>
      </c>
      <c r="T6" s="2252" t="s">
        <v>886</v>
      </c>
      <c r="U6" s="2246"/>
      <c r="V6" s="1180">
        <f>V8/$I$4</f>
        <v>0</v>
      </c>
      <c r="W6" s="2252" t="s">
        <v>912</v>
      </c>
      <c r="X6" s="2246"/>
      <c r="Y6" s="1180">
        <f>Y8/$I$4</f>
        <v>1.3816925734024179E-3</v>
      </c>
      <c r="Z6" s="2255" t="s">
        <v>889</v>
      </c>
      <c r="AA6" s="2256"/>
      <c r="AB6" s="1180">
        <f>AB8/$I$4</f>
        <v>0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81"/>
      <c r="AM6" s="1478"/>
      <c r="AN6" s="1496"/>
      <c r="AO6" s="734"/>
      <c r="AP6" s="638"/>
    </row>
    <row r="7" spans="1:42" s="561" customFormat="1" x14ac:dyDescent="0.25">
      <c r="A7" s="1192" t="s">
        <v>896</v>
      </c>
      <c r="B7" s="1193">
        <f>B8/K1*100</f>
        <v>6.6804727110050699</v>
      </c>
      <c r="C7" s="1183">
        <f ca="1">C6/$F$5</f>
        <v>0.32325464844692159</v>
      </c>
      <c r="D7" s="1184"/>
      <c r="E7" s="1185"/>
      <c r="F7" s="1183">
        <f ca="1">F6/$F$5</f>
        <v>-3.5395992131644735E-3</v>
      </c>
      <c r="G7" s="1184"/>
      <c r="H7" s="1185"/>
      <c r="I7" s="1183">
        <f ca="1">I6/$F$5</f>
        <v>1.5146058182681211E-2</v>
      </c>
      <c r="J7" s="1243">
        <f>COUNT(J9:J97)</f>
        <v>25</v>
      </c>
      <c r="K7" s="1183">
        <f ca="1">K6/$F$5</f>
        <v>7.3161732192348625E-3</v>
      </c>
      <c r="L7" s="1184"/>
      <c r="M7" s="1183">
        <f ca="1">M6/$F$5</f>
        <v>2.0240345004011815E-2</v>
      </c>
      <c r="N7" s="1184"/>
      <c r="O7" s="1183">
        <f ca="1">O6/$F$5</f>
        <v>6.3926299677884652E-3</v>
      </c>
      <c r="P7" s="1184"/>
      <c r="Q7" s="1183">
        <f ca="1">Q6/$F$5</f>
        <v>0</v>
      </c>
      <c r="R7" s="1223">
        <v>1543.75</v>
      </c>
      <c r="S7" s="1183">
        <f ca="1">S6/$F$5</f>
        <v>0.62607564041829578</v>
      </c>
      <c r="T7" s="1184"/>
      <c r="U7" s="1185"/>
      <c r="V7" s="1183">
        <f ca="1">V6/$F$5</f>
        <v>0</v>
      </c>
      <c r="W7" s="1184"/>
      <c r="X7" s="1185"/>
      <c r="Y7" s="1183">
        <f ca="1">Y6/$F$5</f>
        <v>5.1141039742307725E-3</v>
      </c>
      <c r="Z7" s="1184"/>
      <c r="AA7" s="1185"/>
      <c r="AB7" s="1183">
        <f ca="1">AB6/$F$5</f>
        <v>0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80"/>
      <c r="AM7" s="1478"/>
      <c r="AN7" s="1496"/>
      <c r="AO7" s="734"/>
      <c r="AP7" s="638"/>
    </row>
    <row r="8" spans="1:42" x14ac:dyDescent="0.25">
      <c r="A8" s="1191" t="s">
        <v>878</v>
      </c>
      <c r="B8" s="1220">
        <f>SUM(B9:B97)</f>
        <v>7167.88</v>
      </c>
      <c r="C8" s="1156">
        <f>SUM(C9:C97)</f>
        <v>9370.659999999998</v>
      </c>
      <c r="D8" s="2251" t="s">
        <v>880</v>
      </c>
      <c r="E8" s="2250"/>
      <c r="F8" s="1158">
        <f>SUM(F9:F97)</f>
        <v>-110.74000000000001</v>
      </c>
      <c r="G8" s="2251" t="s">
        <v>882</v>
      </c>
      <c r="H8" s="2250"/>
      <c r="I8" s="1158">
        <f>SUM(I9:I97)</f>
        <v>473.86</v>
      </c>
      <c r="J8" s="1157" t="s">
        <v>899</v>
      </c>
      <c r="K8" s="1158">
        <f>SUM(K9:K97)</f>
        <v>228.89399999999989</v>
      </c>
      <c r="L8" s="1157" t="s">
        <v>884</v>
      </c>
      <c r="M8" s="1158">
        <f>SUM(M9:M97)</f>
        <v>633.23999999999921</v>
      </c>
      <c r="N8" s="1157" t="s">
        <v>909</v>
      </c>
      <c r="O8" s="1158">
        <f>SUM(O9:O97)</f>
        <v>200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19587.420000000002</v>
      </c>
      <c r="T8" s="2251" t="s">
        <v>887</v>
      </c>
      <c r="U8" s="2250"/>
      <c r="V8" s="1158">
        <f>SUM(V9:V97)</f>
        <v>0</v>
      </c>
      <c r="W8" s="2251" t="s">
        <v>913</v>
      </c>
      <c r="X8" s="2250"/>
      <c r="Y8" s="1158">
        <f>SUM(Y9:Y97)</f>
        <v>160</v>
      </c>
      <c r="Z8" s="2251" t="s">
        <v>890</v>
      </c>
      <c r="AA8" s="2250"/>
      <c r="AB8" s="1158">
        <f>SUM(AB9:AB97)</f>
        <v>0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343">
        <f>SUM(AJ9:AJ97)</f>
        <v>4.01</v>
      </c>
      <c r="AK8" s="54">
        <f>SUM(C9:C97)/SUM(B9:B97)</f>
        <v>1.307312622421134</v>
      </c>
      <c r="AO8" s="1476">
        <v>120000</v>
      </c>
      <c r="AP8" s="1466">
        <f>AO8/AM57</f>
        <v>2500</v>
      </c>
    </row>
    <row r="9" spans="1:42" x14ac:dyDescent="0.25">
      <c r="A9" s="64">
        <v>43100</v>
      </c>
      <c r="B9" s="65">
        <v>0.53</v>
      </c>
      <c r="C9" s="66">
        <v>0.69</v>
      </c>
      <c r="D9" s="67"/>
      <c r="E9" s="68"/>
      <c r="F9" s="66"/>
      <c r="G9" s="67"/>
      <c r="H9" s="68"/>
      <c r="I9" s="66"/>
      <c r="J9" s="69">
        <v>43172</v>
      </c>
      <c r="K9" s="66">
        <v>5.3</v>
      </c>
      <c r="L9" s="64"/>
      <c r="M9" s="66"/>
      <c r="N9" s="1152"/>
      <c r="O9" s="66"/>
      <c r="P9" s="64"/>
      <c r="Q9" s="66"/>
      <c r="R9" s="64">
        <v>43089</v>
      </c>
      <c r="S9" s="66">
        <v>425.7</v>
      </c>
      <c r="T9" s="1152"/>
      <c r="U9" s="1198"/>
      <c r="V9" s="66"/>
      <c r="W9" s="1152"/>
      <c r="X9" s="1198"/>
      <c r="Y9" s="66"/>
      <c r="Z9" s="1152"/>
      <c r="AA9" s="1198"/>
      <c r="AB9" s="66"/>
      <c r="AC9" s="1152"/>
      <c r="AD9" s="1198"/>
      <c r="AE9" s="66"/>
      <c r="AF9" s="1118">
        <v>0.38</v>
      </c>
      <c r="AG9" s="1119">
        <v>5.77</v>
      </c>
      <c r="AH9" s="1117">
        <v>10</v>
      </c>
      <c r="AI9" s="237">
        <v>49.47</v>
      </c>
      <c r="AJ9" s="237"/>
      <c r="AK9" s="51">
        <f t="shared" ref="AK9:AK72" si="0">C9/B9</f>
        <v>1.3018867924528301</v>
      </c>
      <c r="AL9" s="51">
        <f t="shared" ref="AL9:AL72" si="1">AK9-$AK$8</f>
        <v>-5.4258299683038747E-3</v>
      </c>
      <c r="AO9" s="1476"/>
    </row>
    <row r="10" spans="1:42" x14ac:dyDescent="0.25">
      <c r="A10" s="71">
        <v>43131</v>
      </c>
      <c r="B10" s="72">
        <v>196.39</v>
      </c>
      <c r="C10" s="73">
        <v>259.61</v>
      </c>
      <c r="D10" s="345"/>
      <c r="E10" s="346"/>
      <c r="F10" s="347"/>
      <c r="G10" s="147">
        <v>43131</v>
      </c>
      <c r="H10" s="75" t="s">
        <v>208</v>
      </c>
      <c r="I10" s="73">
        <v>318</v>
      </c>
      <c r="J10" s="234">
        <v>43221</v>
      </c>
      <c r="K10" s="73">
        <v>5.4959999999999996</v>
      </c>
      <c r="L10" s="71"/>
      <c r="M10" s="73"/>
      <c r="N10" s="894">
        <v>43125</v>
      </c>
      <c r="O10" s="73">
        <v>50</v>
      </c>
      <c r="P10" s="71"/>
      <c r="Q10" s="73"/>
      <c r="R10" s="71">
        <v>43120</v>
      </c>
      <c r="S10" s="73">
        <v>425.7</v>
      </c>
      <c r="T10" s="894"/>
      <c r="U10" s="1199"/>
      <c r="V10" s="73"/>
      <c r="W10" s="894">
        <v>43251</v>
      </c>
      <c r="X10" s="1199" t="s">
        <v>945</v>
      </c>
      <c r="Y10" s="73">
        <v>40</v>
      </c>
      <c r="Z10" s="894"/>
      <c r="AA10" s="1199"/>
      <c r="AB10" s="73"/>
      <c r="AC10" s="894"/>
      <c r="AD10" s="1199"/>
      <c r="AE10" s="73"/>
      <c r="AF10" s="1112">
        <v>0.29658391473697721</v>
      </c>
      <c r="AG10" s="1113">
        <v>5.98</v>
      </c>
      <c r="AH10" s="1110">
        <v>2766</v>
      </c>
      <c r="AI10" s="238">
        <v>50</v>
      </c>
      <c r="AJ10" s="238">
        <v>-14.08</v>
      </c>
      <c r="AK10" s="51">
        <f t="shared" si="0"/>
        <v>1.321910484240542</v>
      </c>
      <c r="AL10" s="51">
        <f t="shared" si="1"/>
        <v>1.4597861819408031E-2</v>
      </c>
      <c r="AM10" s="1476">
        <v>1</v>
      </c>
      <c r="AN10" s="1475">
        <f>$AP$8</f>
        <v>2500</v>
      </c>
      <c r="AO10" s="1465">
        <f>SUM($AH$9:AH10)</f>
        <v>2776</v>
      </c>
      <c r="AP10" s="1466">
        <f t="shared" ref="AP10:AP57" si="2">AO10-AN10</f>
        <v>276</v>
      </c>
    </row>
    <row r="11" spans="1:42" x14ac:dyDescent="0.25">
      <c r="A11" s="71">
        <v>43159</v>
      </c>
      <c r="B11" s="72">
        <v>123.9</v>
      </c>
      <c r="C11" s="73">
        <v>162.74</v>
      </c>
      <c r="D11" s="345"/>
      <c r="E11" s="346"/>
      <c r="F11" s="347"/>
      <c r="G11" s="147"/>
      <c r="H11" s="75"/>
      <c r="I11" s="73"/>
      <c r="J11" s="234">
        <v>43227</v>
      </c>
      <c r="K11" s="73">
        <v>6.6</v>
      </c>
      <c r="L11" s="71"/>
      <c r="M11" s="73"/>
      <c r="N11" s="894"/>
      <c r="O11" s="73"/>
      <c r="P11" s="71"/>
      <c r="Q11" s="73"/>
      <c r="R11" s="71">
        <v>43151</v>
      </c>
      <c r="S11" s="73">
        <v>425.7</v>
      </c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0.27</v>
      </c>
      <c r="AG11" s="1113">
        <v>6.05</v>
      </c>
      <c r="AH11" s="1110">
        <v>1745</v>
      </c>
      <c r="AI11" s="238">
        <v>49.1</v>
      </c>
      <c r="AJ11" s="238"/>
      <c r="AK11" s="51">
        <f t="shared" si="0"/>
        <v>1.3134786117836965</v>
      </c>
      <c r="AL11" s="51">
        <f t="shared" si="1"/>
        <v>6.1659893625625184E-3</v>
      </c>
      <c r="AM11" s="1475">
        <f t="shared" ref="AM11:AM57" si="3">AM10+1</f>
        <v>2</v>
      </c>
      <c r="AN11" s="1475">
        <f>AN10+$AP$8</f>
        <v>5000</v>
      </c>
      <c r="AO11" s="1465">
        <f>SUM($AH$9:AH11)</f>
        <v>4521</v>
      </c>
      <c r="AP11" s="1466">
        <f t="shared" si="2"/>
        <v>-479</v>
      </c>
    </row>
    <row r="12" spans="1:42" x14ac:dyDescent="0.25">
      <c r="A12" s="71">
        <v>43190</v>
      </c>
      <c r="B12" s="72">
        <v>156.91</v>
      </c>
      <c r="C12" s="73">
        <v>205.34</v>
      </c>
      <c r="D12" s="147"/>
      <c r="E12" s="75"/>
      <c r="F12" s="73"/>
      <c r="G12" s="147"/>
      <c r="H12" s="75"/>
      <c r="I12" s="73"/>
      <c r="J12" s="234">
        <v>43252</v>
      </c>
      <c r="K12" s="73">
        <v>5.4959999999999996</v>
      </c>
      <c r="L12" s="71"/>
      <c r="M12" s="73"/>
      <c r="N12" s="894"/>
      <c r="O12" s="73"/>
      <c r="P12" s="71"/>
      <c r="Q12" s="73"/>
      <c r="R12" s="71">
        <v>43179</v>
      </c>
      <c r="S12" s="73">
        <v>425.7</v>
      </c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0.28999999999999998</v>
      </c>
      <c r="AG12" s="1113">
        <v>6.02</v>
      </c>
      <c r="AH12" s="1110">
        <v>2210</v>
      </c>
      <c r="AI12" s="238">
        <v>45.2</v>
      </c>
      <c r="AJ12" s="238"/>
      <c r="AK12" s="51">
        <f t="shared" si="0"/>
        <v>1.3086482697087503</v>
      </c>
      <c r="AL12" s="51">
        <f t="shared" si="1"/>
        <v>1.3356472876162595E-3</v>
      </c>
      <c r="AM12" s="1475">
        <f t="shared" si="3"/>
        <v>3</v>
      </c>
      <c r="AN12" s="1475">
        <f>AN11+$AP$8</f>
        <v>7500</v>
      </c>
      <c r="AO12" s="1465">
        <f>SUM($AH$9:AH12)</f>
        <v>6731</v>
      </c>
      <c r="AP12" s="1466">
        <f t="shared" si="2"/>
        <v>-769</v>
      </c>
    </row>
    <row r="13" spans="1:42" x14ac:dyDescent="0.25">
      <c r="A13" s="71">
        <v>43220</v>
      </c>
      <c r="B13" s="72">
        <v>213.57</v>
      </c>
      <c r="C13" s="73">
        <v>287.86</v>
      </c>
      <c r="D13" s="147"/>
      <c r="E13" s="75"/>
      <c r="F13" s="73"/>
      <c r="G13" s="147"/>
      <c r="H13" s="75"/>
      <c r="I13" s="73"/>
      <c r="J13" s="234">
        <v>43312</v>
      </c>
      <c r="K13" s="73">
        <v>5.4959999999999996</v>
      </c>
      <c r="L13" s="71"/>
      <c r="M13" s="73"/>
      <c r="N13" s="894"/>
      <c r="O13" s="73"/>
      <c r="P13" s="71"/>
      <c r="Q13" s="73"/>
      <c r="R13" s="71">
        <v>43210</v>
      </c>
      <c r="S13" s="73">
        <v>425.7</v>
      </c>
      <c r="T13" s="894"/>
      <c r="U13" s="1199"/>
      <c r="V13" s="73"/>
      <c r="W13" s="894"/>
      <c r="X13" s="1199"/>
      <c r="Y13" s="73"/>
      <c r="Z13" s="894"/>
      <c r="AA13" s="1199"/>
      <c r="AB13" s="73"/>
      <c r="AC13" s="894"/>
      <c r="AD13" s="1199"/>
      <c r="AE13" s="73"/>
      <c r="AF13" s="1112">
        <v>0.25</v>
      </c>
      <c r="AG13" s="1113">
        <v>5.3</v>
      </c>
      <c r="AH13" s="1110">
        <v>3008</v>
      </c>
      <c r="AI13" s="238">
        <v>46.63</v>
      </c>
      <c r="AJ13" s="238"/>
      <c r="AK13" s="51">
        <f t="shared" si="0"/>
        <v>1.3478484805918436</v>
      </c>
      <c r="AL13" s="51">
        <f t="shared" si="1"/>
        <v>4.0535858170709593E-2</v>
      </c>
      <c r="AM13" s="1475">
        <f t="shared" si="3"/>
        <v>4</v>
      </c>
      <c r="AN13" s="1475">
        <f t="shared" ref="AN13:AN57" si="4">AN12+$AP$8</f>
        <v>10000</v>
      </c>
      <c r="AO13" s="1465">
        <f>SUM($AH$9:AH13)</f>
        <v>9739</v>
      </c>
      <c r="AP13" s="1466">
        <f t="shared" si="2"/>
        <v>-261</v>
      </c>
    </row>
    <row r="14" spans="1:42" x14ac:dyDescent="0.25">
      <c r="A14" s="71">
        <v>43251</v>
      </c>
      <c r="B14" s="72">
        <v>199.23</v>
      </c>
      <c r="C14" s="73">
        <v>276.39999999999998</v>
      </c>
      <c r="D14" s="147"/>
      <c r="E14" s="75"/>
      <c r="F14" s="73"/>
      <c r="G14" s="147"/>
      <c r="H14" s="75"/>
      <c r="I14" s="73"/>
      <c r="J14" s="234">
        <v>43343</v>
      </c>
      <c r="K14" s="73">
        <v>21.492000000000001</v>
      </c>
      <c r="L14" s="71"/>
      <c r="M14" s="73"/>
      <c r="N14" s="894"/>
      <c r="O14" s="73"/>
      <c r="P14" s="71"/>
      <c r="Q14" s="73"/>
      <c r="R14" s="71">
        <v>43240</v>
      </c>
      <c r="S14" s="73">
        <v>425.7</v>
      </c>
      <c r="T14" s="894"/>
      <c r="U14" s="1199"/>
      <c r="V14" s="73"/>
      <c r="W14" s="894"/>
      <c r="X14" s="1199"/>
      <c r="Y14" s="73"/>
      <c r="Z14" s="894"/>
      <c r="AA14" s="1199"/>
      <c r="AB14" s="73"/>
      <c r="AC14" s="894"/>
      <c r="AD14" s="1199"/>
      <c r="AE14" s="73"/>
      <c r="AF14" s="1112">
        <v>0.46</v>
      </c>
      <c r="AG14" s="1113">
        <v>4.3499999999999996</v>
      </c>
      <c r="AH14" s="1110">
        <v>2806</v>
      </c>
      <c r="AI14" s="238">
        <v>46.14</v>
      </c>
      <c r="AJ14" s="238"/>
      <c r="AK14" s="51">
        <f t="shared" si="0"/>
        <v>1.3873412638658835</v>
      </c>
      <c r="AL14" s="51">
        <f t="shared" si="1"/>
        <v>8.0028641444749526E-2</v>
      </c>
      <c r="AM14" s="1475">
        <f t="shared" si="3"/>
        <v>5</v>
      </c>
      <c r="AN14" s="1475">
        <f t="shared" si="4"/>
        <v>12500</v>
      </c>
      <c r="AO14" s="1465">
        <f>SUM($AH$9:AH14)</f>
        <v>12545</v>
      </c>
      <c r="AP14" s="1466">
        <f t="shared" si="2"/>
        <v>45</v>
      </c>
    </row>
    <row r="15" spans="1:42" x14ac:dyDescent="0.25">
      <c r="A15" s="71">
        <v>43281</v>
      </c>
      <c r="B15" s="72">
        <v>241.54</v>
      </c>
      <c r="C15" s="73">
        <v>338.94</v>
      </c>
      <c r="D15" s="147"/>
      <c r="E15" s="75"/>
      <c r="F15" s="73"/>
      <c r="G15" s="147"/>
      <c r="H15" s="75"/>
      <c r="I15" s="73"/>
      <c r="J15" s="234">
        <v>43404</v>
      </c>
      <c r="K15" s="73">
        <v>10.991999999999999</v>
      </c>
      <c r="L15" s="71"/>
      <c r="M15" s="73"/>
      <c r="N15" s="894"/>
      <c r="O15" s="73"/>
      <c r="P15" s="71"/>
      <c r="Q15" s="73"/>
      <c r="R15" s="71">
        <v>43271</v>
      </c>
      <c r="S15" s="73">
        <v>425.7</v>
      </c>
      <c r="T15" s="894"/>
      <c r="U15" s="1199"/>
      <c r="V15" s="73"/>
      <c r="W15" s="894"/>
      <c r="X15" s="1199"/>
      <c r="Y15" s="73"/>
      <c r="Z15" s="894"/>
      <c r="AA15" s="1199"/>
      <c r="AB15" s="73"/>
      <c r="AC15" s="894"/>
      <c r="AD15" s="1199"/>
      <c r="AE15" s="73"/>
      <c r="AF15" s="1112">
        <v>0.46</v>
      </c>
      <c r="AG15" s="1113">
        <v>7.08</v>
      </c>
      <c r="AH15" s="1110">
        <v>3402</v>
      </c>
      <c r="AI15" s="238">
        <v>44.6</v>
      </c>
      <c r="AJ15" s="238"/>
      <c r="AK15" s="51">
        <f t="shared" si="0"/>
        <v>1.4032458391984766</v>
      </c>
      <c r="AL15" s="51">
        <f t="shared" si="1"/>
        <v>9.5933216777342567E-2</v>
      </c>
      <c r="AM15" s="1475">
        <f t="shared" si="3"/>
        <v>6</v>
      </c>
      <c r="AN15" s="1475">
        <f t="shared" si="4"/>
        <v>15000</v>
      </c>
      <c r="AO15" s="1465">
        <f>SUM($AH$9:AH15)</f>
        <v>15947</v>
      </c>
      <c r="AP15" s="1466">
        <f t="shared" si="2"/>
        <v>947</v>
      </c>
    </row>
    <row r="16" spans="1:42" x14ac:dyDescent="0.25">
      <c r="A16" s="71">
        <v>43312</v>
      </c>
      <c r="B16" s="72">
        <v>24.35</v>
      </c>
      <c r="C16" s="73">
        <v>33.92</v>
      </c>
      <c r="D16" s="147"/>
      <c r="E16" s="75"/>
      <c r="F16" s="73"/>
      <c r="G16" s="147"/>
      <c r="H16" s="75"/>
      <c r="I16" s="73"/>
      <c r="J16" s="836">
        <v>43434</v>
      </c>
      <c r="K16" s="835">
        <v>5.4959999999999996</v>
      </c>
      <c r="L16" s="834"/>
      <c r="M16" s="835"/>
      <c r="N16" s="1153"/>
      <c r="O16" s="835"/>
      <c r="P16" s="834"/>
      <c r="Q16" s="835"/>
      <c r="R16" s="834">
        <v>43301</v>
      </c>
      <c r="S16" s="73">
        <v>425.7</v>
      </c>
      <c r="T16" s="894"/>
      <c r="U16" s="1199"/>
      <c r="V16" s="73"/>
      <c r="W16" s="1153"/>
      <c r="X16" s="1200"/>
      <c r="Y16" s="835"/>
      <c r="Z16" s="894"/>
      <c r="AA16" s="1199"/>
      <c r="AB16" s="73"/>
      <c r="AC16" s="1153"/>
      <c r="AD16" s="1200"/>
      <c r="AE16" s="835"/>
      <c r="AF16" s="1112">
        <v>0.4</v>
      </c>
      <c r="AG16" s="1113">
        <v>7.09</v>
      </c>
      <c r="AH16" s="1110">
        <v>343</v>
      </c>
      <c r="AI16" s="238">
        <v>48.25</v>
      </c>
      <c r="AJ16" s="238"/>
      <c r="AK16" s="51">
        <f t="shared" si="0"/>
        <v>1.3930184804928132</v>
      </c>
      <c r="AL16" s="51">
        <f t="shared" si="1"/>
        <v>8.5705858071679186E-2</v>
      </c>
      <c r="AM16" s="1475">
        <f t="shared" si="3"/>
        <v>7</v>
      </c>
      <c r="AN16" s="1475">
        <f t="shared" si="4"/>
        <v>17500</v>
      </c>
      <c r="AO16" s="1465">
        <f>SUM($AH$9:AH16)</f>
        <v>16290</v>
      </c>
      <c r="AP16" s="1466">
        <f t="shared" si="2"/>
        <v>-1210</v>
      </c>
    </row>
    <row r="17" spans="1:42" x14ac:dyDescent="0.25">
      <c r="A17" s="71">
        <v>43343</v>
      </c>
      <c r="B17" s="72">
        <v>19.739999999999998</v>
      </c>
      <c r="C17" s="73">
        <v>27.62</v>
      </c>
      <c r="D17" s="147"/>
      <c r="E17" s="75"/>
      <c r="F17" s="73"/>
      <c r="G17" s="147"/>
      <c r="H17" s="75"/>
      <c r="I17" s="73"/>
      <c r="J17" s="234">
        <v>43465</v>
      </c>
      <c r="K17" s="73">
        <v>10.991999999999999</v>
      </c>
      <c r="L17" s="71"/>
      <c r="M17" s="73"/>
      <c r="N17" s="894"/>
      <c r="O17" s="73"/>
      <c r="P17" s="71"/>
      <c r="Q17" s="73"/>
      <c r="R17" s="71">
        <v>43332</v>
      </c>
      <c r="S17" s="73">
        <v>425.7</v>
      </c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0.35</v>
      </c>
      <c r="AG17" s="1113">
        <v>7.09</v>
      </c>
      <c r="AH17" s="1110">
        <v>278</v>
      </c>
      <c r="AI17" s="238">
        <v>50</v>
      </c>
      <c r="AJ17" s="238"/>
      <c r="AK17" s="51">
        <f t="shared" si="0"/>
        <v>1.3991894630192505</v>
      </c>
      <c r="AL17" s="51">
        <f t="shared" si="1"/>
        <v>9.1876840598116516E-2</v>
      </c>
      <c r="AM17" s="1475">
        <f t="shared" si="3"/>
        <v>8</v>
      </c>
      <c r="AN17" s="1475">
        <f t="shared" si="4"/>
        <v>20000</v>
      </c>
      <c r="AO17" s="1465">
        <f>SUM($AH$9:AH17)</f>
        <v>16568</v>
      </c>
      <c r="AP17" s="1466">
        <f t="shared" si="2"/>
        <v>-3432</v>
      </c>
    </row>
    <row r="18" spans="1:42" x14ac:dyDescent="0.25">
      <c r="A18" s="71">
        <v>43373</v>
      </c>
      <c r="B18" s="72">
        <v>170.9</v>
      </c>
      <c r="C18" s="73">
        <v>242.97</v>
      </c>
      <c r="D18" s="147"/>
      <c r="E18" s="75"/>
      <c r="F18" s="73"/>
      <c r="G18" s="147"/>
      <c r="H18" s="75"/>
      <c r="I18" s="73"/>
      <c r="J18" s="431">
        <v>43524</v>
      </c>
      <c r="K18" s="347">
        <v>10.99</v>
      </c>
      <c r="L18" s="1160"/>
      <c r="M18" s="347"/>
      <c r="N18" s="945"/>
      <c r="O18" s="347"/>
      <c r="P18" s="1160"/>
      <c r="Q18" s="347"/>
      <c r="R18" s="1160">
        <v>43363</v>
      </c>
      <c r="S18" s="73">
        <v>425.7</v>
      </c>
      <c r="T18" s="894"/>
      <c r="U18" s="1199"/>
      <c r="V18" s="73"/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v>0.33</v>
      </c>
      <c r="AG18" s="1113">
        <v>7.09</v>
      </c>
      <c r="AH18" s="1110">
        <v>2407</v>
      </c>
      <c r="AI18" s="238">
        <v>47.1</v>
      </c>
      <c r="AJ18" s="238"/>
      <c r="AK18" s="51">
        <f t="shared" si="0"/>
        <v>1.4217086015213574</v>
      </c>
      <c r="AL18" s="51">
        <f t="shared" si="1"/>
        <v>0.11439597910022337</v>
      </c>
      <c r="AM18" s="1475">
        <f t="shared" si="3"/>
        <v>9</v>
      </c>
      <c r="AN18" s="1475">
        <f t="shared" si="4"/>
        <v>22500</v>
      </c>
      <c r="AO18" s="1465">
        <f>SUM($AH$9:AH18)</f>
        <v>18975</v>
      </c>
      <c r="AP18" s="1466">
        <f t="shared" si="2"/>
        <v>-3525</v>
      </c>
    </row>
    <row r="19" spans="1:42" x14ac:dyDescent="0.25">
      <c r="A19" s="71">
        <v>43404</v>
      </c>
      <c r="B19" s="72">
        <v>81.510000000000005</v>
      </c>
      <c r="C19" s="73">
        <v>114.51</v>
      </c>
      <c r="D19" s="147"/>
      <c r="E19" s="75"/>
      <c r="F19" s="73"/>
      <c r="G19" s="147"/>
      <c r="H19" s="75"/>
      <c r="I19" s="73"/>
      <c r="J19" s="234">
        <v>43585</v>
      </c>
      <c r="K19" s="73">
        <v>10.991999999999999</v>
      </c>
      <c r="L19" s="71"/>
      <c r="M19" s="73"/>
      <c r="N19" s="894"/>
      <c r="O19" s="73"/>
      <c r="P19" s="71"/>
      <c r="Q19" s="73"/>
      <c r="R19" s="71">
        <v>43393</v>
      </c>
      <c r="S19" s="73">
        <v>425.7</v>
      </c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0.31</v>
      </c>
      <c r="AG19" s="1113">
        <v>7.09</v>
      </c>
      <c r="AH19" s="1110">
        <v>1148</v>
      </c>
      <c r="AI19" s="238">
        <v>48.59</v>
      </c>
      <c r="AJ19" s="238"/>
      <c r="AK19" s="51">
        <f t="shared" si="0"/>
        <v>1.4048582995951417</v>
      </c>
      <c r="AL19" s="51">
        <f t="shared" si="1"/>
        <v>9.754567717400775E-2</v>
      </c>
      <c r="AM19" s="1475">
        <f t="shared" si="3"/>
        <v>10</v>
      </c>
      <c r="AN19" s="1475">
        <f t="shared" si="4"/>
        <v>25000</v>
      </c>
      <c r="AO19" s="1465">
        <f>SUM($AH$9:AH19)</f>
        <v>20123</v>
      </c>
      <c r="AP19" s="1466">
        <f t="shared" si="2"/>
        <v>-4877</v>
      </c>
    </row>
    <row r="20" spans="1:42" x14ac:dyDescent="0.25">
      <c r="A20" s="71">
        <v>43434</v>
      </c>
      <c r="B20" s="72">
        <v>352.24</v>
      </c>
      <c r="C20" s="73">
        <v>473.22</v>
      </c>
      <c r="D20" s="147"/>
      <c r="E20" s="75"/>
      <c r="F20" s="73"/>
      <c r="G20" s="147"/>
      <c r="H20" s="75"/>
      <c r="I20" s="73"/>
      <c r="J20" s="234">
        <v>43616</v>
      </c>
      <c r="K20" s="73">
        <v>5.4959999999999996</v>
      </c>
      <c r="L20" s="71"/>
      <c r="M20" s="73"/>
      <c r="N20" s="894"/>
      <c r="O20" s="73"/>
      <c r="P20" s="71"/>
      <c r="Q20" s="73"/>
      <c r="R20" s="71">
        <v>43424</v>
      </c>
      <c r="S20" s="73">
        <v>425.7</v>
      </c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0.33</v>
      </c>
      <c r="AG20" s="1113">
        <v>7.09</v>
      </c>
      <c r="AH20" s="1110">
        <v>4826</v>
      </c>
      <c r="AI20" s="238">
        <v>17.350000000000001</v>
      </c>
      <c r="AJ20" s="238"/>
      <c r="AK20" s="51">
        <f t="shared" si="0"/>
        <v>1.3434590052237112</v>
      </c>
      <c r="AL20" s="51">
        <f t="shared" si="1"/>
        <v>3.6146382802577204E-2</v>
      </c>
      <c r="AM20" s="1475">
        <f t="shared" si="3"/>
        <v>11</v>
      </c>
      <c r="AN20" s="1475">
        <f t="shared" si="4"/>
        <v>27500</v>
      </c>
      <c r="AO20" s="1465">
        <f>SUM($AH$9:AH20)</f>
        <v>24949</v>
      </c>
      <c r="AP20" s="1466">
        <f t="shared" si="2"/>
        <v>-2551</v>
      </c>
    </row>
    <row r="21" spans="1:42" x14ac:dyDescent="0.25">
      <c r="A21" s="71">
        <v>43465</v>
      </c>
      <c r="B21" s="72">
        <v>265.35000000000002</v>
      </c>
      <c r="C21" s="73">
        <v>336.58</v>
      </c>
      <c r="D21" s="147"/>
      <c r="E21" s="75"/>
      <c r="F21" s="73"/>
      <c r="G21" s="345"/>
      <c r="H21" s="346"/>
      <c r="I21" s="347"/>
      <c r="J21" s="234">
        <v>43708</v>
      </c>
      <c r="K21" s="73">
        <v>39.503999999999998</v>
      </c>
      <c r="L21" s="71">
        <v>43480</v>
      </c>
      <c r="M21" s="73">
        <v>335.12</v>
      </c>
      <c r="N21" s="894"/>
      <c r="O21" s="73"/>
      <c r="P21" s="71"/>
      <c r="Q21" s="73"/>
      <c r="R21" s="1609">
        <v>43454</v>
      </c>
      <c r="S21" s="73">
        <v>425.7</v>
      </c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0.35</v>
      </c>
      <c r="AG21" s="1113">
        <v>7.09</v>
      </c>
      <c r="AH21" s="1110">
        <v>3992</v>
      </c>
      <c r="AI21" s="238">
        <v>1</v>
      </c>
      <c r="AJ21" s="238">
        <v>18.09</v>
      </c>
      <c r="AK21" s="51">
        <f t="shared" si="0"/>
        <v>1.2684379121914451</v>
      </c>
      <c r="AL21" s="51">
        <f t="shared" si="1"/>
        <v>-3.8874710229688914E-2</v>
      </c>
      <c r="AM21" s="1467">
        <f t="shared" si="3"/>
        <v>12</v>
      </c>
      <c r="AN21" s="1467">
        <f t="shared" si="4"/>
        <v>30000</v>
      </c>
      <c r="AO21" s="1489">
        <f>SUM($AH$9:AH21)</f>
        <v>28941</v>
      </c>
      <c r="AP21" s="1489">
        <f t="shared" si="2"/>
        <v>-1059</v>
      </c>
    </row>
    <row r="22" spans="1:42" x14ac:dyDescent="0.25">
      <c r="A22" s="71">
        <v>43496</v>
      </c>
      <c r="B22" s="72">
        <v>109.38</v>
      </c>
      <c r="C22" s="73">
        <v>137.62</v>
      </c>
      <c r="D22" s="147">
        <v>43726</v>
      </c>
      <c r="E22" s="75" t="s">
        <v>679</v>
      </c>
      <c r="F22" s="73">
        <v>66.39</v>
      </c>
      <c r="G22" s="1162">
        <v>43496</v>
      </c>
      <c r="H22" s="75" t="s">
        <v>510</v>
      </c>
      <c r="I22" s="73">
        <v>17.8</v>
      </c>
      <c r="J22" s="234">
        <v>43738</v>
      </c>
      <c r="K22" s="73">
        <v>6.5039999999999996</v>
      </c>
      <c r="L22" s="71">
        <v>43480</v>
      </c>
      <c r="M22" s="73">
        <v>8.4</v>
      </c>
      <c r="N22" s="894">
        <v>43475</v>
      </c>
      <c r="O22" s="73">
        <v>50</v>
      </c>
      <c r="P22" s="71"/>
      <c r="Q22" s="73"/>
      <c r="R22" s="1609">
        <v>43485</v>
      </c>
      <c r="S22" s="73">
        <v>425.7</v>
      </c>
      <c r="T22" s="894"/>
      <c r="U22" s="1199"/>
      <c r="V22" s="73"/>
      <c r="W22" s="894">
        <v>43588</v>
      </c>
      <c r="X22" s="1199" t="s">
        <v>946</v>
      </c>
      <c r="Y22" s="73">
        <v>40</v>
      </c>
      <c r="Z22" s="894"/>
      <c r="AA22" s="1199"/>
      <c r="AB22" s="73"/>
      <c r="AC22" s="894"/>
      <c r="AD22" s="1199"/>
      <c r="AE22" s="73"/>
      <c r="AF22" s="1112">
        <v>0.34</v>
      </c>
      <c r="AG22" s="1113">
        <v>7.1</v>
      </c>
      <c r="AH22" s="1110">
        <v>2159</v>
      </c>
      <c r="AI22" s="238">
        <v>47</v>
      </c>
      <c r="AJ22" s="238"/>
      <c r="AK22" s="51">
        <f t="shared" si="0"/>
        <v>1.2581824830864876</v>
      </c>
      <c r="AL22" s="51">
        <f t="shared" si="1"/>
        <v>-4.9130139334646383E-2</v>
      </c>
      <c r="AM22" s="1475">
        <f t="shared" si="3"/>
        <v>13</v>
      </c>
      <c r="AN22" s="1475">
        <f t="shared" si="4"/>
        <v>32500</v>
      </c>
      <c r="AO22" s="1465">
        <f>SUM($AH$9:AH22)</f>
        <v>31100</v>
      </c>
      <c r="AP22" s="1466">
        <f t="shared" si="2"/>
        <v>-1400</v>
      </c>
    </row>
    <row r="23" spans="1:42" x14ac:dyDescent="0.25">
      <c r="A23" s="71">
        <v>43524</v>
      </c>
      <c r="B23" s="72">
        <v>241.71</v>
      </c>
      <c r="C23" s="73">
        <v>306.89</v>
      </c>
      <c r="D23" s="147">
        <v>43817</v>
      </c>
      <c r="E23" s="75" t="s">
        <v>733</v>
      </c>
      <c r="F23" s="73">
        <v>23.15</v>
      </c>
      <c r="G23" s="147">
        <v>43516</v>
      </c>
      <c r="H23" s="75" t="s">
        <v>546</v>
      </c>
      <c r="I23" s="73">
        <v>10</v>
      </c>
      <c r="J23" s="431">
        <v>43769</v>
      </c>
      <c r="K23" s="347">
        <v>6.5039999999999996</v>
      </c>
      <c r="L23" s="1160">
        <v>43511</v>
      </c>
      <c r="M23" s="347">
        <v>8.4</v>
      </c>
      <c r="N23" s="945"/>
      <c r="O23" s="347"/>
      <c r="P23" s="1160"/>
      <c r="Q23" s="347"/>
      <c r="R23" s="1642">
        <v>43516</v>
      </c>
      <c r="S23" s="73">
        <v>425.7</v>
      </c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0.35</v>
      </c>
      <c r="AG23" s="1113">
        <v>7.1</v>
      </c>
      <c r="AH23" s="1110">
        <v>3842</v>
      </c>
      <c r="AI23" s="238">
        <v>47</v>
      </c>
      <c r="AJ23" s="238"/>
      <c r="AK23" s="51">
        <f t="shared" si="0"/>
        <v>1.2696619916428777</v>
      </c>
      <c r="AL23" s="51">
        <f t="shared" si="1"/>
        <v>-3.7650630778256255E-2</v>
      </c>
      <c r="AM23" s="1475">
        <f t="shared" si="3"/>
        <v>14</v>
      </c>
      <c r="AN23" s="1475">
        <f t="shared" si="4"/>
        <v>35000</v>
      </c>
      <c r="AO23" s="1465">
        <f>SUM($AH$9:AH23)</f>
        <v>34942</v>
      </c>
      <c r="AP23" s="1466">
        <f t="shared" si="2"/>
        <v>-58</v>
      </c>
    </row>
    <row r="24" spans="1:42" x14ac:dyDescent="0.25">
      <c r="A24" s="71">
        <v>43555</v>
      </c>
      <c r="B24" s="72">
        <v>76.930000000000007</v>
      </c>
      <c r="C24" s="73">
        <v>99.68</v>
      </c>
      <c r="D24" s="147">
        <v>43696</v>
      </c>
      <c r="E24" s="75" t="s">
        <v>766</v>
      </c>
      <c r="F24" s="73">
        <v>23.02</v>
      </c>
      <c r="G24" s="147">
        <v>43524</v>
      </c>
      <c r="H24" s="75" t="s">
        <v>510</v>
      </c>
      <c r="I24" s="73">
        <v>4.4000000000000004</v>
      </c>
      <c r="J24" s="234">
        <v>43799</v>
      </c>
      <c r="K24" s="73">
        <v>13.007999999999999</v>
      </c>
      <c r="L24" s="71">
        <v>43528</v>
      </c>
      <c r="M24" s="73">
        <v>8.4</v>
      </c>
      <c r="N24" s="894"/>
      <c r="O24" s="73"/>
      <c r="P24" s="71"/>
      <c r="Q24" s="73"/>
      <c r="R24" s="1609">
        <v>43544</v>
      </c>
      <c r="S24" s="73">
        <v>425.7</v>
      </c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0.32</v>
      </c>
      <c r="AG24" s="1113">
        <v>7.1</v>
      </c>
      <c r="AH24" s="1110">
        <v>1064</v>
      </c>
      <c r="AI24" s="238">
        <v>47</v>
      </c>
      <c r="AJ24" s="238"/>
      <c r="AK24" s="51">
        <f t="shared" si="0"/>
        <v>1.2957233848953593</v>
      </c>
      <c r="AL24" s="51">
        <f t="shared" si="1"/>
        <v>-1.1589237525774676E-2</v>
      </c>
      <c r="AM24" s="1475">
        <f t="shared" si="3"/>
        <v>15</v>
      </c>
      <c r="AN24" s="1475">
        <f t="shared" si="4"/>
        <v>37500</v>
      </c>
      <c r="AO24" s="1465">
        <f>SUM($AH$9:AH24)</f>
        <v>36006</v>
      </c>
      <c r="AP24" s="1466">
        <f t="shared" si="2"/>
        <v>-1494</v>
      </c>
    </row>
    <row r="25" spans="1:42" x14ac:dyDescent="0.25">
      <c r="A25" s="71">
        <v>43585</v>
      </c>
      <c r="B25" s="72">
        <v>158.85</v>
      </c>
      <c r="C25" s="73">
        <v>215.27</v>
      </c>
      <c r="D25" s="528"/>
      <c r="E25" s="516"/>
      <c r="F25" s="380"/>
      <c r="G25" s="147">
        <v>43678</v>
      </c>
      <c r="H25" s="75" t="s">
        <v>510</v>
      </c>
      <c r="I25" s="73">
        <f>3*4.2</f>
        <v>12.600000000000001</v>
      </c>
      <c r="J25" s="234">
        <v>43849</v>
      </c>
      <c r="K25" s="1674">
        <f t="shared" ref="K25:K30" si="5">5.42*1.2</f>
        <v>6.5039999999999996</v>
      </c>
      <c r="L25" s="71">
        <v>43563</v>
      </c>
      <c r="M25" s="73">
        <v>8.4</v>
      </c>
      <c r="N25" s="894"/>
      <c r="O25" s="73"/>
      <c r="P25" s="71"/>
      <c r="Q25" s="73"/>
      <c r="R25" s="1609">
        <v>43575</v>
      </c>
      <c r="S25" s="73">
        <v>425.7</v>
      </c>
      <c r="T25" s="894"/>
      <c r="U25" s="1199"/>
      <c r="V25" s="73"/>
      <c r="W25" s="894"/>
      <c r="X25" s="1199"/>
      <c r="Y25" s="73"/>
      <c r="Z25" s="894"/>
      <c r="AA25" s="1199"/>
      <c r="AB25" s="73"/>
      <c r="AC25" s="894"/>
      <c r="AD25" s="1199"/>
      <c r="AE25" s="73"/>
      <c r="AF25" s="1112">
        <v>0.3</v>
      </c>
      <c r="AG25" s="1113">
        <v>7.03</v>
      </c>
      <c r="AH25" s="1110">
        <v>2506</v>
      </c>
      <c r="AI25" s="238">
        <v>47</v>
      </c>
      <c r="AJ25" s="238"/>
      <c r="AK25" s="51">
        <f t="shared" si="0"/>
        <v>1.3551778407302488</v>
      </c>
      <c r="AL25" s="51">
        <f t="shared" si="1"/>
        <v>4.7865218309114832E-2</v>
      </c>
      <c r="AM25" s="1475">
        <f t="shared" si="3"/>
        <v>16</v>
      </c>
      <c r="AN25" s="1475">
        <f t="shared" si="4"/>
        <v>40000</v>
      </c>
      <c r="AO25" s="1465">
        <f>SUM($AH$9:AH25)</f>
        <v>38512</v>
      </c>
      <c r="AP25" s="1466">
        <f t="shared" si="2"/>
        <v>-1488</v>
      </c>
    </row>
    <row r="26" spans="1:42" x14ac:dyDescent="0.25">
      <c r="A26" s="71">
        <v>43616</v>
      </c>
      <c r="B26" s="72">
        <v>161.77000000000001</v>
      </c>
      <c r="C26" s="73">
        <v>228.27</v>
      </c>
      <c r="D26" s="147"/>
      <c r="E26" s="75"/>
      <c r="F26" s="73"/>
      <c r="G26" s="147"/>
      <c r="H26" s="75"/>
      <c r="I26" s="73"/>
      <c r="J26" s="234">
        <v>43866</v>
      </c>
      <c r="K26" s="1674">
        <f t="shared" si="5"/>
        <v>6.5039999999999996</v>
      </c>
      <c r="L26" s="71">
        <v>43593</v>
      </c>
      <c r="M26" s="73">
        <v>8.4</v>
      </c>
      <c r="N26" s="894"/>
      <c r="O26" s="73"/>
      <c r="P26" s="71"/>
      <c r="Q26" s="73"/>
      <c r="R26" s="1609">
        <v>43605</v>
      </c>
      <c r="S26" s="73">
        <v>425.7</v>
      </c>
      <c r="T26" s="894"/>
      <c r="U26" s="1199"/>
      <c r="V26" s="73"/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v>0.29135661451855732</v>
      </c>
      <c r="AG26" s="1113">
        <v>6.9</v>
      </c>
      <c r="AH26" s="1110">
        <v>2753</v>
      </c>
      <c r="AI26" s="238">
        <v>47</v>
      </c>
      <c r="AJ26" s="238"/>
      <c r="AK26" s="51">
        <f t="shared" si="0"/>
        <v>1.4110774556469061</v>
      </c>
      <c r="AL26" s="51">
        <f t="shared" si="1"/>
        <v>0.10376483322577212</v>
      </c>
      <c r="AM26" s="1475">
        <f t="shared" si="3"/>
        <v>17</v>
      </c>
      <c r="AN26" s="1475">
        <f t="shared" si="4"/>
        <v>42500</v>
      </c>
      <c r="AO26" s="1465">
        <f>SUM($AH$9:AH26)</f>
        <v>41265</v>
      </c>
      <c r="AP26" s="1466">
        <f t="shared" si="2"/>
        <v>-1235</v>
      </c>
    </row>
    <row r="27" spans="1:42" x14ac:dyDescent="0.25">
      <c r="A27" s="71">
        <v>43646</v>
      </c>
      <c r="B27" s="72">
        <v>279.75</v>
      </c>
      <c r="C27" s="73">
        <v>377.89</v>
      </c>
      <c r="D27" s="147"/>
      <c r="E27" s="75"/>
      <c r="F27" s="73"/>
      <c r="G27" s="147"/>
      <c r="H27" s="75"/>
      <c r="I27" s="73"/>
      <c r="J27" s="234">
        <v>43951</v>
      </c>
      <c r="K27" s="1674">
        <f t="shared" si="5"/>
        <v>6.5039999999999996</v>
      </c>
      <c r="L27" s="71">
        <v>43623</v>
      </c>
      <c r="M27" s="73">
        <v>8.4</v>
      </c>
      <c r="N27" s="894"/>
      <c r="O27" s="73"/>
      <c r="P27" s="71"/>
      <c r="Q27" s="73"/>
      <c r="R27" s="1609">
        <v>43636</v>
      </c>
      <c r="S27" s="73">
        <v>425.7</v>
      </c>
      <c r="T27" s="894"/>
      <c r="U27" s="1199"/>
      <c r="V27" s="73"/>
      <c r="W27" s="894"/>
      <c r="X27" s="1199"/>
      <c r="Y27" s="73"/>
      <c r="Z27" s="894"/>
      <c r="AA27" s="1199"/>
      <c r="AB27" s="73"/>
      <c r="AC27" s="894"/>
      <c r="AD27" s="1199"/>
      <c r="AE27" s="73"/>
      <c r="AF27" s="1112">
        <v>0.3</v>
      </c>
      <c r="AG27" s="1113">
        <v>6.83</v>
      </c>
      <c r="AH27" s="1110">
        <v>4546</v>
      </c>
      <c r="AI27" s="238">
        <v>36</v>
      </c>
      <c r="AJ27" s="238"/>
      <c r="AK27" s="51">
        <f t="shared" si="0"/>
        <v>1.3508132260947274</v>
      </c>
      <c r="AL27" s="51">
        <f t="shared" si="1"/>
        <v>4.350060367359343E-2</v>
      </c>
      <c r="AM27" s="1475">
        <f t="shared" si="3"/>
        <v>18</v>
      </c>
      <c r="AN27" s="1475">
        <f t="shared" si="4"/>
        <v>45000</v>
      </c>
      <c r="AO27" s="1465">
        <f>SUM($AH$9:AH27)</f>
        <v>45811</v>
      </c>
      <c r="AP27" s="1466">
        <f t="shared" si="2"/>
        <v>811</v>
      </c>
    </row>
    <row r="28" spans="1:42" x14ac:dyDescent="0.25">
      <c r="A28" s="71">
        <v>43677</v>
      </c>
      <c r="B28" s="72">
        <v>22.68</v>
      </c>
      <c r="C28" s="73">
        <v>30.63</v>
      </c>
      <c r="D28" s="147"/>
      <c r="E28" s="75"/>
      <c r="F28" s="73"/>
      <c r="G28" s="147"/>
      <c r="H28" s="75"/>
      <c r="I28" s="73"/>
      <c r="J28" s="234">
        <v>43962</v>
      </c>
      <c r="K28" s="1674">
        <f t="shared" si="5"/>
        <v>6.5039999999999996</v>
      </c>
      <c r="L28" s="71">
        <v>43653</v>
      </c>
      <c r="M28" s="73">
        <v>8.4</v>
      </c>
      <c r="N28" s="894"/>
      <c r="O28" s="73"/>
      <c r="P28" s="71"/>
      <c r="Q28" s="73"/>
      <c r="R28" s="1609">
        <v>43666</v>
      </c>
      <c r="S28" s="73">
        <v>425.7</v>
      </c>
      <c r="T28" s="894"/>
      <c r="U28" s="1199"/>
      <c r="V28" s="73"/>
      <c r="W28" s="894"/>
      <c r="X28" s="1199"/>
      <c r="Y28" s="73"/>
      <c r="Z28" s="894"/>
      <c r="AA28" s="1199"/>
      <c r="AB28" s="73"/>
      <c r="AC28" s="894"/>
      <c r="AD28" s="1199"/>
      <c r="AE28" s="73"/>
      <c r="AF28" s="1112">
        <v>0.31</v>
      </c>
      <c r="AG28" s="1113">
        <v>6.84</v>
      </c>
      <c r="AH28" s="1110">
        <v>231</v>
      </c>
      <c r="AI28" s="238">
        <v>34</v>
      </c>
      <c r="AJ28" s="238"/>
      <c r="AK28" s="51">
        <f t="shared" si="0"/>
        <v>1.3505291005291005</v>
      </c>
      <c r="AL28" s="51">
        <f t="shared" si="1"/>
        <v>4.3216478107966472E-2</v>
      </c>
      <c r="AM28" s="1475">
        <f t="shared" si="3"/>
        <v>19</v>
      </c>
      <c r="AN28" s="1475">
        <f t="shared" si="4"/>
        <v>47500</v>
      </c>
      <c r="AO28" s="1465">
        <f>SUM($AH$9:AH28)</f>
        <v>46042</v>
      </c>
      <c r="AP28" s="1466">
        <f t="shared" si="2"/>
        <v>-1458</v>
      </c>
    </row>
    <row r="29" spans="1:42" x14ac:dyDescent="0.25">
      <c r="A29" s="71">
        <v>43708</v>
      </c>
      <c r="B29" s="72">
        <v>10.53</v>
      </c>
      <c r="C29" s="73">
        <v>14.29</v>
      </c>
      <c r="D29" s="147"/>
      <c r="E29" s="75"/>
      <c r="F29" s="73"/>
      <c r="G29" s="147"/>
      <c r="H29" s="75"/>
      <c r="I29" s="73"/>
      <c r="J29" s="234">
        <v>43970</v>
      </c>
      <c r="K29" s="1674">
        <f t="shared" si="5"/>
        <v>6.5039999999999996</v>
      </c>
      <c r="L29" s="71">
        <v>43682</v>
      </c>
      <c r="M29" s="73">
        <v>8.4</v>
      </c>
      <c r="N29" s="894"/>
      <c r="O29" s="73"/>
      <c r="P29" s="71"/>
      <c r="Q29" s="73"/>
      <c r="R29" s="1609">
        <v>43697</v>
      </c>
      <c r="S29" s="73">
        <v>425.7</v>
      </c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0.3</v>
      </c>
      <c r="AG29" s="1113">
        <v>6.81</v>
      </c>
      <c r="AH29" s="1110">
        <v>53</v>
      </c>
      <c r="AI29" s="238">
        <v>47</v>
      </c>
      <c r="AJ29" s="238"/>
      <c r="AK29" s="51">
        <f t="shared" si="0"/>
        <v>1.3570750237416904</v>
      </c>
      <c r="AL29" s="51">
        <f t="shared" si="1"/>
        <v>4.9762401320556426E-2</v>
      </c>
      <c r="AM29" s="1475">
        <f t="shared" si="3"/>
        <v>20</v>
      </c>
      <c r="AN29" s="1475">
        <f t="shared" si="4"/>
        <v>50000</v>
      </c>
      <c r="AO29" s="1465">
        <f>SUM($AH$9:AH29)</f>
        <v>46095</v>
      </c>
      <c r="AP29" s="1466">
        <f t="shared" si="2"/>
        <v>-3905</v>
      </c>
    </row>
    <row r="30" spans="1:42" x14ac:dyDescent="0.25">
      <c r="A30" s="71">
        <v>43738</v>
      </c>
      <c r="B30" s="72">
        <v>273.72000000000003</v>
      </c>
      <c r="C30" s="73">
        <v>363.19</v>
      </c>
      <c r="D30" s="147"/>
      <c r="E30" s="75"/>
      <c r="F30" s="73"/>
      <c r="G30" s="1162"/>
      <c r="H30" s="75"/>
      <c r="I30" s="73"/>
      <c r="J30" s="234">
        <v>43992</v>
      </c>
      <c r="K30" s="1674">
        <f t="shared" si="5"/>
        <v>6.5039999999999996</v>
      </c>
      <c r="L30" s="71">
        <v>43713</v>
      </c>
      <c r="M30" s="73">
        <v>8.4</v>
      </c>
      <c r="N30" s="894"/>
      <c r="O30" s="73"/>
      <c r="P30" s="71"/>
      <c r="Q30" s="73"/>
      <c r="R30" s="1609">
        <v>43728</v>
      </c>
      <c r="S30" s="73">
        <v>425.7</v>
      </c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v>0.3</v>
      </c>
      <c r="AG30" s="1113">
        <v>6.77</v>
      </c>
      <c r="AH30" s="1110">
        <v>4578</v>
      </c>
      <c r="AI30" s="238">
        <v>43</v>
      </c>
      <c r="AJ30" s="238"/>
      <c r="AK30" s="51">
        <f t="shared" si="0"/>
        <v>1.3268668712552973</v>
      </c>
      <c r="AL30" s="51">
        <f t="shared" si="1"/>
        <v>1.9554248834163346E-2</v>
      </c>
      <c r="AM30" s="1475">
        <f t="shared" si="3"/>
        <v>21</v>
      </c>
      <c r="AN30" s="1475">
        <f t="shared" si="4"/>
        <v>52500</v>
      </c>
      <c r="AO30" s="1465">
        <f>SUM($AH$9:AH30)</f>
        <v>50673</v>
      </c>
      <c r="AP30" s="1466">
        <f t="shared" si="2"/>
        <v>-1827</v>
      </c>
    </row>
    <row r="31" spans="1:42" x14ac:dyDescent="0.25">
      <c r="A31" s="71">
        <v>43769</v>
      </c>
      <c r="B31" s="72">
        <v>199.01</v>
      </c>
      <c r="C31" s="73">
        <v>263.02999999999997</v>
      </c>
      <c r="D31" s="147"/>
      <c r="E31" s="75"/>
      <c r="F31" s="73"/>
      <c r="G31" s="147"/>
      <c r="H31" s="75"/>
      <c r="I31" s="73"/>
      <c r="J31" s="234">
        <v>44063</v>
      </c>
      <c r="K31" s="1674">
        <f>5.42*1.2</f>
        <v>6.5039999999999996</v>
      </c>
      <c r="L31" s="71">
        <v>43746</v>
      </c>
      <c r="M31" s="73">
        <v>8.4</v>
      </c>
      <c r="N31" s="894"/>
      <c r="O31" s="73"/>
      <c r="P31" s="71"/>
      <c r="Q31" s="73"/>
      <c r="R31" s="1609">
        <v>43758</v>
      </c>
      <c r="S31" s="73">
        <v>425.7</v>
      </c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0.28999999999999998</v>
      </c>
      <c r="AG31" s="1113">
        <v>6.71</v>
      </c>
      <c r="AH31" s="1110">
        <v>3017</v>
      </c>
      <c r="AI31" s="238">
        <v>43</v>
      </c>
      <c r="AJ31" s="238"/>
      <c r="AK31" s="51">
        <f t="shared" si="0"/>
        <v>1.321692377267474</v>
      </c>
      <c r="AL31" s="51">
        <f t="shared" si="1"/>
        <v>1.437975484634002E-2</v>
      </c>
      <c r="AM31" s="1475">
        <f t="shared" si="3"/>
        <v>22</v>
      </c>
      <c r="AN31" s="1475">
        <f t="shared" si="4"/>
        <v>55000</v>
      </c>
      <c r="AO31" s="1465">
        <f>SUM($AH$9:AH31)</f>
        <v>53690</v>
      </c>
      <c r="AP31" s="1466">
        <f t="shared" si="2"/>
        <v>-1310</v>
      </c>
    </row>
    <row r="32" spans="1:42" x14ac:dyDescent="0.25">
      <c r="A32" s="71">
        <v>43799</v>
      </c>
      <c r="B32" s="72">
        <v>319.91000000000003</v>
      </c>
      <c r="C32" s="73">
        <v>425.04</v>
      </c>
      <c r="D32" s="528"/>
      <c r="E32" s="516"/>
      <c r="F32" s="380"/>
      <c r="G32" s="147"/>
      <c r="H32" s="75"/>
      <c r="I32" s="73"/>
      <c r="J32" s="234"/>
      <c r="K32" s="73"/>
      <c r="L32" s="71">
        <v>43788</v>
      </c>
      <c r="M32" s="73">
        <v>8.4</v>
      </c>
      <c r="N32" s="894"/>
      <c r="O32" s="73"/>
      <c r="P32" s="71"/>
      <c r="Q32" s="73"/>
      <c r="R32" s="1609">
        <v>43789</v>
      </c>
      <c r="S32" s="73">
        <v>425.7</v>
      </c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0.3</v>
      </c>
      <c r="AG32" s="1113">
        <v>6.73</v>
      </c>
      <c r="AH32" s="1110">
        <v>4879</v>
      </c>
      <c r="AI32" s="238">
        <v>47</v>
      </c>
      <c r="AJ32" s="238"/>
      <c r="AK32" s="51">
        <f t="shared" si="0"/>
        <v>1.3286236754087086</v>
      </c>
      <c r="AL32" s="51">
        <f t="shared" si="1"/>
        <v>2.131105298757463E-2</v>
      </c>
      <c r="AM32" s="1475">
        <f t="shared" si="3"/>
        <v>23</v>
      </c>
      <c r="AN32" s="1475">
        <f t="shared" si="4"/>
        <v>57500</v>
      </c>
      <c r="AO32" s="1465">
        <f>SUM($AH$9:AH32)</f>
        <v>58569</v>
      </c>
      <c r="AP32" s="1466">
        <f t="shared" si="2"/>
        <v>1069</v>
      </c>
    </row>
    <row r="33" spans="1:42" x14ac:dyDescent="0.25">
      <c r="A33" s="71">
        <v>43830</v>
      </c>
      <c r="B33" s="72">
        <v>85.5</v>
      </c>
      <c r="C33" s="73">
        <v>113.87</v>
      </c>
      <c r="D33" s="147"/>
      <c r="E33" s="75"/>
      <c r="F33" s="73"/>
      <c r="G33" s="147"/>
      <c r="H33" s="75"/>
      <c r="I33" s="73"/>
      <c r="J33" s="234"/>
      <c r="K33" s="73"/>
      <c r="L33" s="71">
        <v>43818</v>
      </c>
      <c r="M33" s="73">
        <v>8.4</v>
      </c>
      <c r="N33" s="894"/>
      <c r="O33" s="73"/>
      <c r="P33" s="71"/>
      <c r="Q33" s="73"/>
      <c r="R33" s="1609">
        <v>43819</v>
      </c>
      <c r="S33" s="73">
        <v>425.7</v>
      </c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0.3</v>
      </c>
      <c r="AG33" s="1113">
        <v>6.74</v>
      </c>
      <c r="AH33" s="1110">
        <v>1228</v>
      </c>
      <c r="AI33" s="238">
        <v>47</v>
      </c>
      <c r="AJ33" s="238"/>
      <c r="AK33" s="51">
        <f t="shared" si="0"/>
        <v>1.331812865497076</v>
      </c>
      <c r="AL33" s="51">
        <f t="shared" si="1"/>
        <v>2.4500243075942008E-2</v>
      </c>
      <c r="AM33" s="1467">
        <f t="shared" si="3"/>
        <v>24</v>
      </c>
      <c r="AN33" s="1467">
        <f t="shared" si="4"/>
        <v>60000</v>
      </c>
      <c r="AO33" s="1489">
        <f>SUM($AH$9:AH33)</f>
        <v>59797</v>
      </c>
      <c r="AP33" s="1489">
        <f t="shared" si="2"/>
        <v>-203</v>
      </c>
    </row>
    <row r="34" spans="1:42" x14ac:dyDescent="0.25">
      <c r="A34" s="71">
        <v>43861</v>
      </c>
      <c r="B34" s="72">
        <v>88.02</v>
      </c>
      <c r="C34" s="73">
        <v>117.71</v>
      </c>
      <c r="D34" s="528">
        <v>44124</v>
      </c>
      <c r="E34" s="516" t="s">
        <v>1247</v>
      </c>
      <c r="F34" s="380">
        <v>74.709999999999994</v>
      </c>
      <c r="G34" s="147">
        <v>43950</v>
      </c>
      <c r="H34" s="75" t="s">
        <v>510</v>
      </c>
      <c r="I34" s="73">
        <f>17.5+2+4.4+2.5+4.4</f>
        <v>30.799999999999997</v>
      </c>
      <c r="J34" s="234"/>
      <c r="K34" s="73"/>
      <c r="L34" s="71">
        <v>43861</v>
      </c>
      <c r="M34" s="73">
        <v>8.4</v>
      </c>
      <c r="N34" s="894">
        <v>43845</v>
      </c>
      <c r="O34" s="73">
        <v>50</v>
      </c>
      <c r="P34" s="71"/>
      <c r="Q34" s="73"/>
      <c r="R34" s="1609">
        <v>43850</v>
      </c>
      <c r="S34" s="73">
        <v>425.7</v>
      </c>
      <c r="T34" s="894"/>
      <c r="U34" s="1199"/>
      <c r="V34" s="73"/>
      <c r="W34" s="894">
        <v>43942</v>
      </c>
      <c r="X34" s="1199" t="s">
        <v>1079</v>
      </c>
      <c r="Y34" s="73">
        <v>40</v>
      </c>
      <c r="Z34" s="894"/>
      <c r="AA34" s="1199"/>
      <c r="AB34" s="73"/>
      <c r="AC34" s="894"/>
      <c r="AD34" s="1199"/>
      <c r="AE34" s="73"/>
      <c r="AF34" s="1112">
        <v>0.3</v>
      </c>
      <c r="AG34" s="1113">
        <v>6.67</v>
      </c>
      <c r="AH34" s="1110">
        <v>1316</v>
      </c>
      <c r="AI34" s="238">
        <v>47</v>
      </c>
      <c r="AJ34" s="238"/>
      <c r="AK34" s="51">
        <f t="shared" si="0"/>
        <v>1.3373097023403773</v>
      </c>
      <c r="AL34" s="51">
        <f t="shared" si="1"/>
        <v>2.9997079919243275E-2</v>
      </c>
      <c r="AM34" s="1475">
        <f t="shared" si="3"/>
        <v>25</v>
      </c>
      <c r="AN34" s="1475">
        <f t="shared" si="4"/>
        <v>62500</v>
      </c>
      <c r="AO34" s="1465">
        <f>SUM($AH$9:AH34)</f>
        <v>61113</v>
      </c>
      <c r="AP34" s="1466">
        <f t="shared" si="2"/>
        <v>-1387</v>
      </c>
    </row>
    <row r="35" spans="1:42" x14ac:dyDescent="0.25">
      <c r="A35" s="71">
        <v>43890</v>
      </c>
      <c r="B35" s="72">
        <v>97.32</v>
      </c>
      <c r="C35" s="73">
        <v>127.79</v>
      </c>
      <c r="D35" s="528">
        <v>44186</v>
      </c>
      <c r="E35" s="516" t="s">
        <v>1266</v>
      </c>
      <c r="F35" s="380">
        <v>101.59</v>
      </c>
      <c r="G35" s="147">
        <v>43992</v>
      </c>
      <c r="H35" s="75" t="s">
        <v>510</v>
      </c>
      <c r="I35" s="73">
        <v>19.84</v>
      </c>
      <c r="J35" s="234"/>
      <c r="K35" s="73"/>
      <c r="L35" s="71">
        <v>43873</v>
      </c>
      <c r="M35" s="73">
        <v>8.4</v>
      </c>
      <c r="N35" s="894"/>
      <c r="O35" s="73"/>
      <c r="P35" s="71"/>
      <c r="Q35" s="73"/>
      <c r="R35" s="1609">
        <v>43881</v>
      </c>
      <c r="S35" s="73">
        <v>425.7</v>
      </c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0.3</v>
      </c>
      <c r="AG35" s="1113">
        <v>6.7</v>
      </c>
      <c r="AH35" s="1110">
        <v>1143</v>
      </c>
      <c r="AI35" s="238">
        <v>47</v>
      </c>
      <c r="AJ35" s="238"/>
      <c r="AK35" s="51">
        <f t="shared" si="0"/>
        <v>1.3130908343608716</v>
      </c>
      <c r="AL35" s="51">
        <f t="shared" si="1"/>
        <v>5.7782119397375986E-3</v>
      </c>
      <c r="AM35" s="1475">
        <f t="shared" si="3"/>
        <v>26</v>
      </c>
      <c r="AN35" s="1475">
        <f t="shared" si="4"/>
        <v>65000</v>
      </c>
      <c r="AO35" s="1465">
        <f>SUM($AH$9:AH35)</f>
        <v>62256</v>
      </c>
      <c r="AP35" s="1466">
        <f t="shared" si="2"/>
        <v>-2744</v>
      </c>
    </row>
    <row r="36" spans="1:42" x14ac:dyDescent="0.25">
      <c r="A36" s="71">
        <v>43921</v>
      </c>
      <c r="B36" s="72">
        <v>30.9</v>
      </c>
      <c r="C36" s="73">
        <v>38.520000000000003</v>
      </c>
      <c r="D36" s="147"/>
      <c r="E36" s="75"/>
      <c r="F36" s="73"/>
      <c r="G36" s="147">
        <v>44074</v>
      </c>
      <c r="H36" s="75" t="s">
        <v>510</v>
      </c>
      <c r="I36" s="73">
        <f>7.14+23.06</f>
        <v>30.2</v>
      </c>
      <c r="J36" s="234"/>
      <c r="K36" s="73"/>
      <c r="L36" s="71">
        <v>43899</v>
      </c>
      <c r="M36" s="73">
        <v>8.4</v>
      </c>
      <c r="N36" s="894"/>
      <c r="O36" s="73"/>
      <c r="P36" s="71"/>
      <c r="Q36" s="73"/>
      <c r="R36" s="1609">
        <v>43910</v>
      </c>
      <c r="S36" s="73">
        <v>425.7</v>
      </c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0.28999999999999998</v>
      </c>
      <c r="AG36" s="1113">
        <v>6.71</v>
      </c>
      <c r="AH36" s="1110">
        <v>328</v>
      </c>
      <c r="AI36" s="238">
        <v>47</v>
      </c>
      <c r="AJ36" s="238"/>
      <c r="AK36" s="51">
        <f t="shared" si="0"/>
        <v>1.2466019417475729</v>
      </c>
      <c r="AL36" s="51">
        <f t="shared" si="1"/>
        <v>-6.0710680673561113E-2</v>
      </c>
      <c r="AM36" s="1475">
        <f t="shared" si="3"/>
        <v>27</v>
      </c>
      <c r="AN36" s="1475">
        <f t="shared" si="4"/>
        <v>67500</v>
      </c>
      <c r="AO36" s="1465">
        <f>SUM($AH$9:AH36)</f>
        <v>62584</v>
      </c>
      <c r="AP36" s="1466">
        <f t="shared" si="2"/>
        <v>-4916</v>
      </c>
    </row>
    <row r="37" spans="1:42" x14ac:dyDescent="0.25">
      <c r="A37" s="71">
        <v>43951</v>
      </c>
      <c r="B37" s="72">
        <v>258.05</v>
      </c>
      <c r="C37" s="73">
        <v>293.12</v>
      </c>
      <c r="D37" s="147"/>
      <c r="E37" s="75"/>
      <c r="F37" s="73"/>
      <c r="G37" s="147">
        <v>44104</v>
      </c>
      <c r="H37" s="75" t="s">
        <v>510</v>
      </c>
      <c r="I37" s="73">
        <v>12.86</v>
      </c>
      <c r="J37" s="234"/>
      <c r="K37" s="73"/>
      <c r="L37" s="71">
        <v>43929</v>
      </c>
      <c r="M37" s="73">
        <v>8.4</v>
      </c>
      <c r="N37" s="894"/>
      <c r="O37" s="73"/>
      <c r="P37" s="71"/>
      <c r="Q37" s="73"/>
      <c r="R37" s="1609">
        <v>43941</v>
      </c>
      <c r="S37" s="73">
        <v>425.7</v>
      </c>
      <c r="T37" s="894"/>
      <c r="U37" s="1199"/>
      <c r="V37" s="73"/>
      <c r="W37" s="894"/>
      <c r="X37" s="1199"/>
      <c r="Y37" s="73"/>
      <c r="Z37" s="894"/>
      <c r="AA37" s="1199"/>
      <c r="AB37" s="73"/>
      <c r="AC37" s="894"/>
      <c r="AD37" s="1199"/>
      <c r="AE37" s="73"/>
      <c r="AF37" s="1112">
        <v>0.3</v>
      </c>
      <c r="AG37" s="1113">
        <v>6.73</v>
      </c>
      <c r="AH37" s="1110">
        <v>3722</v>
      </c>
      <c r="AI37" s="238">
        <v>47</v>
      </c>
      <c r="AJ37" s="238"/>
      <c r="AK37" s="51">
        <f t="shared" si="0"/>
        <v>1.1359038945940709</v>
      </c>
      <c r="AL37" s="51">
        <f t="shared" si="1"/>
        <v>-0.17140872782706307</v>
      </c>
      <c r="AM37" s="1475">
        <f t="shared" si="3"/>
        <v>28</v>
      </c>
      <c r="AN37" s="1475">
        <f t="shared" si="4"/>
        <v>70000</v>
      </c>
      <c r="AO37" s="1465">
        <f>SUM($AH$9:AH37)</f>
        <v>66306</v>
      </c>
      <c r="AP37" s="1466">
        <f t="shared" si="2"/>
        <v>-3694</v>
      </c>
    </row>
    <row r="38" spans="1:42" x14ac:dyDescent="0.25">
      <c r="A38" s="71">
        <v>43982</v>
      </c>
      <c r="B38" s="72">
        <v>144.63</v>
      </c>
      <c r="C38" s="73">
        <v>158.68</v>
      </c>
      <c r="D38" s="147"/>
      <c r="E38" s="75"/>
      <c r="F38" s="73"/>
      <c r="G38" s="147">
        <v>44196</v>
      </c>
      <c r="H38" s="75" t="s">
        <v>510</v>
      </c>
      <c r="I38" s="73">
        <f>12.86+4.5</f>
        <v>17.36</v>
      </c>
      <c r="J38" s="234"/>
      <c r="K38" s="73"/>
      <c r="L38" s="71">
        <v>43958</v>
      </c>
      <c r="M38" s="73">
        <v>8.4</v>
      </c>
      <c r="N38" s="894"/>
      <c r="O38" s="73"/>
      <c r="P38" s="71"/>
      <c r="Q38" s="73"/>
      <c r="R38" s="1609">
        <v>43971</v>
      </c>
      <c r="S38" s="73">
        <v>425.7</v>
      </c>
      <c r="T38" s="894"/>
      <c r="U38" s="1199"/>
      <c r="V38" s="73"/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v>0.3</v>
      </c>
      <c r="AG38" s="1113">
        <v>6.74</v>
      </c>
      <c r="AH38" s="1110">
        <v>2043</v>
      </c>
      <c r="AI38" s="238">
        <v>47</v>
      </c>
      <c r="AJ38" s="238"/>
      <c r="AK38" s="51">
        <f t="shared" si="0"/>
        <v>1.0971444375302497</v>
      </c>
      <c r="AL38" s="51">
        <f t="shared" si="1"/>
        <v>-0.21016818489088429</v>
      </c>
      <c r="AM38" s="1475">
        <f t="shared" si="3"/>
        <v>29</v>
      </c>
      <c r="AN38" s="1475">
        <f t="shared" si="4"/>
        <v>72500</v>
      </c>
      <c r="AO38" s="1465">
        <f>SUM($AH$9:AH38)</f>
        <v>68349</v>
      </c>
      <c r="AP38" s="1466">
        <f t="shared" si="2"/>
        <v>-4151</v>
      </c>
    </row>
    <row r="39" spans="1:42" x14ac:dyDescent="0.25">
      <c r="A39" s="71">
        <v>44012</v>
      </c>
      <c r="B39" s="72">
        <v>227.74</v>
      </c>
      <c r="C39" s="73">
        <v>257.36</v>
      </c>
      <c r="D39" s="147"/>
      <c r="E39" s="75"/>
      <c r="F39" s="73"/>
      <c r="G39" s="147"/>
      <c r="H39" s="75"/>
      <c r="I39" s="73"/>
      <c r="J39" s="234"/>
      <c r="K39" s="73"/>
      <c r="L39" s="71">
        <v>43983</v>
      </c>
      <c r="M39" s="73">
        <v>8.4</v>
      </c>
      <c r="N39" s="894"/>
      <c r="O39" s="73"/>
      <c r="P39" s="71"/>
      <c r="Q39" s="73"/>
      <c r="R39" s="1609">
        <v>44002</v>
      </c>
      <c r="S39" s="73">
        <v>425.7</v>
      </c>
      <c r="T39" s="894"/>
      <c r="U39" s="1199"/>
      <c r="V39" s="73"/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v>0.28999999999999998</v>
      </c>
      <c r="AG39" s="1113">
        <v>6.7</v>
      </c>
      <c r="AH39" s="1110">
        <v>3772</v>
      </c>
      <c r="AI39" s="238">
        <v>46</v>
      </c>
      <c r="AJ39" s="238"/>
      <c r="AK39" s="51">
        <f t="shared" si="0"/>
        <v>1.1300605954158252</v>
      </c>
      <c r="AL39" s="51">
        <f t="shared" si="1"/>
        <v>-0.17725202700530884</v>
      </c>
      <c r="AM39" s="1475">
        <f t="shared" si="3"/>
        <v>30</v>
      </c>
      <c r="AN39" s="1475">
        <f t="shared" si="4"/>
        <v>75000</v>
      </c>
      <c r="AO39" s="1465">
        <f>SUM($AH$9:AH39)</f>
        <v>72121</v>
      </c>
      <c r="AP39" s="1466">
        <f t="shared" si="2"/>
        <v>-2879</v>
      </c>
    </row>
    <row r="40" spans="1:42" x14ac:dyDescent="0.25">
      <c r="A40" s="71">
        <v>44043</v>
      </c>
      <c r="B40" s="72">
        <v>203.35</v>
      </c>
      <c r="C40" s="73">
        <v>238.38</v>
      </c>
      <c r="D40" s="147"/>
      <c r="E40" s="75"/>
      <c r="F40" s="73"/>
      <c r="G40" s="147"/>
      <c r="H40" s="75"/>
      <c r="I40" s="73"/>
      <c r="J40" s="234"/>
      <c r="K40" s="73"/>
      <c r="L40" s="71">
        <v>44025</v>
      </c>
      <c r="M40" s="73">
        <v>8.4</v>
      </c>
      <c r="N40" s="894"/>
      <c r="O40" s="73"/>
      <c r="P40" s="71"/>
      <c r="Q40" s="73"/>
      <c r="R40" s="1609">
        <v>44032</v>
      </c>
      <c r="S40" s="73">
        <v>425.7</v>
      </c>
      <c r="T40" s="894"/>
      <c r="U40" s="1199"/>
      <c r="V40" s="73"/>
      <c r="W40" s="894"/>
      <c r="X40" s="1199"/>
      <c r="Y40" s="73"/>
      <c r="Z40" s="894"/>
      <c r="AA40" s="1199"/>
      <c r="AB40" s="73"/>
      <c r="AC40" s="894"/>
      <c r="AD40" s="1199"/>
      <c r="AE40" s="73"/>
      <c r="AF40" s="1112">
        <v>0.28000000000000003</v>
      </c>
      <c r="AG40" s="1113">
        <v>6.4</v>
      </c>
      <c r="AH40" s="1110">
        <v>3252</v>
      </c>
      <c r="AI40" s="238">
        <v>47</v>
      </c>
      <c r="AJ40" s="238"/>
      <c r="AK40" s="51">
        <f t="shared" si="0"/>
        <v>1.1722645684779935</v>
      </c>
      <c r="AL40" s="51">
        <f t="shared" si="1"/>
        <v>-0.13504805394314046</v>
      </c>
      <c r="AM40" s="1475">
        <f t="shared" si="3"/>
        <v>31</v>
      </c>
      <c r="AN40" s="1475">
        <f t="shared" si="4"/>
        <v>77500</v>
      </c>
      <c r="AO40" s="1465">
        <f>SUM($AH$9:AH40)</f>
        <v>75373</v>
      </c>
      <c r="AP40" s="1466">
        <f t="shared" si="2"/>
        <v>-2127</v>
      </c>
    </row>
    <row r="41" spans="1:42" x14ac:dyDescent="0.25">
      <c r="A41" s="71">
        <v>44074</v>
      </c>
      <c r="B41" s="72">
        <v>329.34</v>
      </c>
      <c r="C41" s="73">
        <v>388.31</v>
      </c>
      <c r="D41" s="147"/>
      <c r="E41" s="75"/>
      <c r="F41" s="73"/>
      <c r="G41" s="147"/>
      <c r="H41" s="75"/>
      <c r="I41" s="73"/>
      <c r="J41" s="234"/>
      <c r="K41" s="73"/>
      <c r="L41" s="1609">
        <v>44053</v>
      </c>
      <c r="M41" s="73">
        <v>8.4</v>
      </c>
      <c r="N41" s="894"/>
      <c r="O41" s="73"/>
      <c r="P41" s="71"/>
      <c r="Q41" s="73"/>
      <c r="R41" s="1609">
        <v>44063</v>
      </c>
      <c r="S41" s="73">
        <v>425.7</v>
      </c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v>0.28000000000000003</v>
      </c>
      <c r="AG41" s="1113">
        <v>6.64</v>
      </c>
      <c r="AH41" s="1110">
        <v>5113</v>
      </c>
      <c r="AI41" s="238">
        <v>47</v>
      </c>
      <c r="AJ41" s="238"/>
      <c r="AK41" s="51">
        <f t="shared" si="0"/>
        <v>1.1790550798566832</v>
      </c>
      <c r="AL41" s="51">
        <f t="shared" si="1"/>
        <v>-0.12825754256445077</v>
      </c>
      <c r="AM41" s="1475">
        <f t="shared" si="3"/>
        <v>32</v>
      </c>
      <c r="AN41" s="1475">
        <f t="shared" si="4"/>
        <v>80000</v>
      </c>
      <c r="AO41" s="1465">
        <f>SUM($AH$9:AH41)</f>
        <v>80486</v>
      </c>
      <c r="AP41" s="1466">
        <f t="shared" si="2"/>
        <v>486</v>
      </c>
    </row>
    <row r="42" spans="1:42" x14ac:dyDescent="0.25">
      <c r="A42" s="71">
        <v>44104</v>
      </c>
      <c r="B42" s="72">
        <v>186.26</v>
      </c>
      <c r="C42" s="73">
        <v>217.11</v>
      </c>
      <c r="D42" s="147"/>
      <c r="E42" s="75"/>
      <c r="F42" s="73"/>
      <c r="G42" s="147"/>
      <c r="H42" s="75"/>
      <c r="I42" s="73"/>
      <c r="J42" s="234"/>
      <c r="K42" s="73"/>
      <c r="L42" s="1609">
        <v>44084</v>
      </c>
      <c r="M42" s="73">
        <v>8.4</v>
      </c>
      <c r="N42" s="894"/>
      <c r="O42" s="73"/>
      <c r="P42" s="71"/>
      <c r="Q42" s="73"/>
      <c r="R42" s="1609">
        <v>44094</v>
      </c>
      <c r="S42" s="73">
        <v>425.7</v>
      </c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v>0.28000000000000003</v>
      </c>
      <c r="AG42" s="1113">
        <v>6.55</v>
      </c>
      <c r="AH42" s="1110">
        <v>2910</v>
      </c>
      <c r="AI42" s="238">
        <v>47</v>
      </c>
      <c r="AJ42" s="238"/>
      <c r="AK42" s="51">
        <f t="shared" si="0"/>
        <v>1.1656286910769893</v>
      </c>
      <c r="AL42" s="51">
        <f t="shared" si="1"/>
        <v>-0.1416839313441447</v>
      </c>
      <c r="AM42" s="1475">
        <f t="shared" si="3"/>
        <v>33</v>
      </c>
      <c r="AN42" s="1475">
        <f t="shared" si="4"/>
        <v>82500</v>
      </c>
      <c r="AO42" s="1465">
        <f>SUM($AH$9:AH42)</f>
        <v>83396</v>
      </c>
      <c r="AP42" s="1466">
        <f t="shared" si="2"/>
        <v>896</v>
      </c>
    </row>
    <row r="43" spans="1:42" x14ac:dyDescent="0.25">
      <c r="A43" s="71">
        <v>44135</v>
      </c>
      <c r="B43" s="72">
        <v>105.2</v>
      </c>
      <c r="C43" s="73">
        <v>123.7</v>
      </c>
      <c r="D43" s="147"/>
      <c r="E43" s="75"/>
      <c r="F43" s="73"/>
      <c r="G43" s="147"/>
      <c r="H43" s="75"/>
      <c r="I43" s="73"/>
      <c r="J43" s="234"/>
      <c r="K43" s="73"/>
      <c r="L43" s="1609">
        <v>44119</v>
      </c>
      <c r="M43" s="73">
        <v>8.4</v>
      </c>
      <c r="N43" s="894"/>
      <c r="O43" s="73"/>
      <c r="P43" s="71"/>
      <c r="Q43" s="73"/>
      <c r="R43" s="1609">
        <v>44124</v>
      </c>
      <c r="S43" s="73">
        <v>425.7</v>
      </c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v>0.28000000000000003</v>
      </c>
      <c r="AG43" s="1113">
        <v>6.65</v>
      </c>
      <c r="AH43" s="1110">
        <v>1560</v>
      </c>
      <c r="AI43" s="238">
        <v>47</v>
      </c>
      <c r="AJ43" s="238"/>
      <c r="AK43" s="51">
        <f t="shared" si="0"/>
        <v>1.1758555133079849</v>
      </c>
      <c r="AL43" s="51">
        <f t="shared" si="1"/>
        <v>-0.13145710911314912</v>
      </c>
      <c r="AM43" s="1475">
        <f t="shared" si="3"/>
        <v>34</v>
      </c>
      <c r="AN43" s="1475">
        <f t="shared" si="4"/>
        <v>85000</v>
      </c>
      <c r="AO43" s="1465">
        <f>SUM($AH$9:AH43)</f>
        <v>84956</v>
      </c>
      <c r="AP43" s="1466">
        <f t="shared" si="2"/>
        <v>-44</v>
      </c>
    </row>
    <row r="44" spans="1:42" x14ac:dyDescent="0.25">
      <c r="A44" s="71">
        <v>44165</v>
      </c>
      <c r="B44" s="72">
        <v>13</v>
      </c>
      <c r="C44" s="73">
        <v>15.28</v>
      </c>
      <c r="D44" s="147"/>
      <c r="E44" s="75"/>
      <c r="F44" s="73"/>
      <c r="G44" s="147"/>
      <c r="H44" s="75"/>
      <c r="I44" s="73"/>
      <c r="J44" s="234"/>
      <c r="K44" s="73"/>
      <c r="L44" s="1609">
        <v>44145</v>
      </c>
      <c r="M44" s="73">
        <v>8.4</v>
      </c>
      <c r="N44" s="894"/>
      <c r="O44" s="73"/>
      <c r="P44" s="71"/>
      <c r="Q44" s="73"/>
      <c r="R44" s="1609">
        <v>44155</v>
      </c>
      <c r="S44" s="73">
        <v>425.7</v>
      </c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v>0.28000000000000003</v>
      </c>
      <c r="AG44" s="1113">
        <v>6.51</v>
      </c>
      <c r="AH44" s="1110">
        <v>173</v>
      </c>
      <c r="AI44" s="238">
        <v>34</v>
      </c>
      <c r="AJ44" s="238"/>
      <c r="AK44" s="51">
        <f t="shared" si="0"/>
        <v>1.1753846153846153</v>
      </c>
      <c r="AL44" s="51">
        <f t="shared" si="1"/>
        <v>-0.13192800703651875</v>
      </c>
      <c r="AM44" s="1475">
        <f t="shared" si="3"/>
        <v>35</v>
      </c>
      <c r="AN44" s="1475">
        <f t="shared" si="4"/>
        <v>87500</v>
      </c>
      <c r="AO44" s="1465">
        <f>SUM($AH$9:AH44)</f>
        <v>85129</v>
      </c>
      <c r="AP44" s="1466">
        <f t="shared" si="2"/>
        <v>-2371</v>
      </c>
    </row>
    <row r="45" spans="1:42" x14ac:dyDescent="0.25">
      <c r="A45" s="71">
        <v>44196</v>
      </c>
      <c r="B45" s="72">
        <v>31.62</v>
      </c>
      <c r="C45" s="73">
        <v>37.26</v>
      </c>
      <c r="D45" s="147"/>
      <c r="E45" s="75"/>
      <c r="F45" s="73"/>
      <c r="G45" s="147"/>
      <c r="H45" s="75"/>
      <c r="I45" s="73"/>
      <c r="J45" s="234"/>
      <c r="K45" s="73"/>
      <c r="L45" s="1609">
        <v>44196</v>
      </c>
      <c r="M45" s="73">
        <v>8.4</v>
      </c>
      <c r="N45" s="894"/>
      <c r="O45" s="73"/>
      <c r="P45" s="71"/>
      <c r="Q45" s="73"/>
      <c r="R45" s="1609">
        <v>44550</v>
      </c>
      <c r="S45" s="73">
        <v>425.7</v>
      </c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v>0.28000000000000003</v>
      </c>
      <c r="AG45" s="1113">
        <v>6.36</v>
      </c>
      <c r="AH45" s="1110">
        <v>370</v>
      </c>
      <c r="AI45" s="238">
        <v>47</v>
      </c>
      <c r="AJ45" s="238"/>
      <c r="AK45" s="51">
        <f t="shared" si="0"/>
        <v>1.1783681214421251</v>
      </c>
      <c r="AL45" s="51">
        <f t="shared" si="1"/>
        <v>-0.12894450097900889</v>
      </c>
      <c r="AM45" s="1467">
        <f t="shared" si="3"/>
        <v>36</v>
      </c>
      <c r="AN45" s="1467">
        <f t="shared" si="4"/>
        <v>90000</v>
      </c>
      <c r="AO45" s="1489">
        <f>SUM($AH$9:AH45)</f>
        <v>85499</v>
      </c>
      <c r="AP45" s="1489">
        <f t="shared" si="2"/>
        <v>-4501</v>
      </c>
    </row>
    <row r="46" spans="1:42" x14ac:dyDescent="0.25">
      <c r="A46" s="71">
        <v>44227</v>
      </c>
      <c r="B46" s="72">
        <v>48.34</v>
      </c>
      <c r="C46" s="73">
        <v>58.45</v>
      </c>
      <c r="D46" s="147"/>
      <c r="E46" s="75"/>
      <c r="F46" s="73"/>
      <c r="G46" s="147"/>
      <c r="H46" s="75"/>
      <c r="I46" s="73"/>
      <c r="J46" s="234">
        <v>44491</v>
      </c>
      <c r="K46" s="73">
        <f>5.42*1.2</f>
        <v>6.5039999999999996</v>
      </c>
      <c r="L46" s="1609">
        <v>44225</v>
      </c>
      <c r="M46" s="73">
        <v>8.4</v>
      </c>
      <c r="N46" s="894">
        <v>44223</v>
      </c>
      <c r="O46" s="73">
        <v>50</v>
      </c>
      <c r="P46" s="71"/>
      <c r="Q46" s="73"/>
      <c r="R46" s="1609">
        <v>44216</v>
      </c>
      <c r="S46" s="73">
        <v>426.28</v>
      </c>
      <c r="T46" s="894"/>
      <c r="U46" s="1199"/>
      <c r="V46" s="73"/>
      <c r="W46" s="894">
        <v>44312</v>
      </c>
      <c r="X46" s="1199" t="s">
        <v>1329</v>
      </c>
      <c r="Y46" s="73">
        <v>40</v>
      </c>
      <c r="Z46" s="894"/>
      <c r="AA46" s="1199"/>
      <c r="AB46" s="73"/>
      <c r="AC46" s="894"/>
      <c r="AD46" s="1199"/>
      <c r="AE46" s="73"/>
      <c r="AF46" s="1112">
        <v>0.28999999999999998</v>
      </c>
      <c r="AG46" s="1113">
        <v>6.42</v>
      </c>
      <c r="AH46" s="1110">
        <v>398</v>
      </c>
      <c r="AI46" s="238">
        <v>47</v>
      </c>
      <c r="AJ46" s="238"/>
      <c r="AK46" s="51">
        <f t="shared" si="0"/>
        <v>1.2091435664046337</v>
      </c>
      <c r="AL46" s="51">
        <f t="shared" si="1"/>
        <v>-9.8169056016500278E-2</v>
      </c>
      <c r="AM46" s="1475">
        <f t="shared" si="3"/>
        <v>37</v>
      </c>
      <c r="AN46" s="1475">
        <f t="shared" si="4"/>
        <v>92500</v>
      </c>
      <c r="AO46" s="1465">
        <f>SUM($AH$9:AH46)</f>
        <v>85897</v>
      </c>
      <c r="AP46" s="1466">
        <f t="shared" si="2"/>
        <v>-6603</v>
      </c>
    </row>
    <row r="47" spans="1:42" x14ac:dyDescent="0.25">
      <c r="A47" s="71">
        <v>44255</v>
      </c>
      <c r="B47" s="72">
        <v>103.34</v>
      </c>
      <c r="C47" s="73">
        <v>129.34</v>
      </c>
      <c r="D47" s="147"/>
      <c r="E47" s="75"/>
      <c r="F47" s="73"/>
      <c r="G47" s="147"/>
      <c r="H47" s="75"/>
      <c r="I47" s="73"/>
      <c r="J47" s="234">
        <v>44547</v>
      </c>
      <c r="K47" s="73">
        <f>5.42*1.2</f>
        <v>6.5039999999999996</v>
      </c>
      <c r="L47" s="1609">
        <v>44231</v>
      </c>
      <c r="M47" s="73">
        <v>8.4</v>
      </c>
      <c r="N47" s="894"/>
      <c r="O47" s="73"/>
      <c r="P47" s="71"/>
      <c r="Q47" s="73"/>
      <c r="R47" s="1609">
        <v>44247</v>
      </c>
      <c r="S47" s="73">
        <v>426.28</v>
      </c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v>0.28999999999999998</v>
      </c>
      <c r="AG47" s="1113">
        <v>6.5</v>
      </c>
      <c r="AH47" s="1110">
        <v>1374</v>
      </c>
      <c r="AI47" s="238">
        <v>47</v>
      </c>
      <c r="AJ47" s="238"/>
      <c r="AK47" s="51">
        <f t="shared" si="0"/>
        <v>1.2515966711825044</v>
      </c>
      <c r="AL47" s="51">
        <f t="shared" si="1"/>
        <v>-5.5715951238629602E-2</v>
      </c>
      <c r="AM47" s="1475">
        <f t="shared" si="3"/>
        <v>38</v>
      </c>
      <c r="AN47" s="1475">
        <f t="shared" si="4"/>
        <v>95000</v>
      </c>
      <c r="AO47" s="1465">
        <f>SUM($AH$9:AH47)</f>
        <v>87271</v>
      </c>
      <c r="AP47" s="1466">
        <f t="shared" si="2"/>
        <v>-7729</v>
      </c>
    </row>
    <row r="48" spans="1:42" x14ac:dyDescent="0.25">
      <c r="A48" s="71">
        <v>44286</v>
      </c>
      <c r="B48" s="72">
        <v>65.14</v>
      </c>
      <c r="C48" s="73">
        <v>85.03</v>
      </c>
      <c r="D48" s="147"/>
      <c r="E48" s="75"/>
      <c r="F48" s="73"/>
      <c r="G48" s="147"/>
      <c r="H48" s="75"/>
      <c r="I48" s="73"/>
      <c r="J48" s="234"/>
      <c r="K48" s="73"/>
      <c r="L48" s="1609">
        <v>44264</v>
      </c>
      <c r="M48" s="73">
        <v>8.4</v>
      </c>
      <c r="N48" s="894"/>
      <c r="O48" s="73"/>
      <c r="P48" s="71"/>
      <c r="Q48" s="73"/>
      <c r="R48" s="1609">
        <v>44275</v>
      </c>
      <c r="S48" s="73">
        <v>426.28</v>
      </c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v>0.3</v>
      </c>
      <c r="AG48" s="1113">
        <v>6.53</v>
      </c>
      <c r="AH48" s="1110">
        <v>707</v>
      </c>
      <c r="AI48" s="238">
        <v>47</v>
      </c>
      <c r="AJ48" s="238"/>
      <c r="AK48" s="51">
        <f t="shared" si="0"/>
        <v>1.3053423395762973</v>
      </c>
      <c r="AL48" s="51">
        <f t="shared" si="1"/>
        <v>-1.9702828448366905E-3</v>
      </c>
      <c r="AM48" s="1475">
        <f t="shared" si="3"/>
        <v>39</v>
      </c>
      <c r="AN48" s="1475">
        <f t="shared" si="4"/>
        <v>97500</v>
      </c>
      <c r="AO48" s="1465">
        <f>SUM($AH$9:AH48)</f>
        <v>87978</v>
      </c>
      <c r="AP48" s="1466">
        <f t="shared" si="2"/>
        <v>-9522</v>
      </c>
    </row>
    <row r="49" spans="1:43" x14ac:dyDescent="0.25">
      <c r="A49" s="71">
        <v>44316</v>
      </c>
      <c r="B49" s="72">
        <v>110.73</v>
      </c>
      <c r="C49" s="73">
        <v>148.43</v>
      </c>
      <c r="D49" s="147"/>
      <c r="E49" s="75"/>
      <c r="F49" s="73"/>
      <c r="G49" s="147"/>
      <c r="H49" s="75"/>
      <c r="I49" s="73"/>
      <c r="J49" s="234"/>
      <c r="K49" s="73"/>
      <c r="L49" s="1609">
        <v>44295</v>
      </c>
      <c r="M49" s="73">
        <v>8.4</v>
      </c>
      <c r="N49" s="894"/>
      <c r="O49" s="73"/>
      <c r="P49" s="71"/>
      <c r="Q49" s="73"/>
      <c r="R49" s="1609">
        <v>44306</v>
      </c>
      <c r="S49" s="73">
        <v>426.28</v>
      </c>
      <c r="T49" s="894"/>
      <c r="U49" s="1199"/>
      <c r="V49" s="73"/>
      <c r="W49" s="894"/>
      <c r="X49" s="1199"/>
      <c r="Y49" s="73"/>
      <c r="Z49" s="894"/>
      <c r="AA49" s="1199"/>
      <c r="AB49" s="73"/>
      <c r="AC49" s="894"/>
      <c r="AD49" s="1199"/>
      <c r="AE49" s="73"/>
      <c r="AF49" s="1112">
        <v>0.3</v>
      </c>
      <c r="AG49" s="1113">
        <v>6.65</v>
      </c>
      <c r="AH49" s="1110">
        <v>1563</v>
      </c>
      <c r="AI49" s="238">
        <v>47</v>
      </c>
      <c r="AJ49" s="238"/>
      <c r="AK49" s="51">
        <f t="shared" si="0"/>
        <v>1.3404678045696741</v>
      </c>
      <c r="AL49" s="51">
        <f t="shared" si="1"/>
        <v>3.3155182148540074E-2</v>
      </c>
      <c r="AM49" s="1475">
        <f t="shared" si="3"/>
        <v>40</v>
      </c>
      <c r="AN49" s="1475">
        <f t="shared" si="4"/>
        <v>100000</v>
      </c>
      <c r="AO49" s="1465">
        <f>SUM($AH$9:AH49)</f>
        <v>89541</v>
      </c>
      <c r="AP49" s="1466">
        <f t="shared" si="2"/>
        <v>-10459</v>
      </c>
    </row>
    <row r="50" spans="1:43" x14ac:dyDescent="0.25">
      <c r="A50" s="71">
        <v>44347</v>
      </c>
      <c r="B50" s="72">
        <v>126.45</v>
      </c>
      <c r="C50" s="73">
        <v>173.75</v>
      </c>
      <c r="D50" s="147"/>
      <c r="E50" s="75"/>
      <c r="F50" s="73"/>
      <c r="G50" s="147"/>
      <c r="H50" s="75"/>
      <c r="I50" s="73"/>
      <c r="J50" s="234"/>
      <c r="K50" s="73"/>
      <c r="L50" s="1609">
        <v>44320</v>
      </c>
      <c r="M50" s="73">
        <v>8.4</v>
      </c>
      <c r="N50" s="894"/>
      <c r="O50" s="73"/>
      <c r="P50" s="71"/>
      <c r="Q50" s="73"/>
      <c r="R50" s="1609">
        <v>44336</v>
      </c>
      <c r="S50" s="73">
        <v>426.28</v>
      </c>
      <c r="T50" s="894"/>
      <c r="U50" s="1199"/>
      <c r="V50" s="73"/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v>0.28999999999999998</v>
      </c>
      <c r="AG50" s="1113">
        <v>6.29</v>
      </c>
      <c r="AH50" s="1110">
        <v>1884</v>
      </c>
      <c r="AI50" s="238">
        <v>47</v>
      </c>
      <c r="AJ50" s="238"/>
      <c r="AK50" s="51">
        <f t="shared" si="0"/>
        <v>1.3740608936338474</v>
      </c>
      <c r="AL50" s="51">
        <f t="shared" si="1"/>
        <v>6.6748271212713428E-2</v>
      </c>
      <c r="AM50" s="1475">
        <f t="shared" si="3"/>
        <v>41</v>
      </c>
      <c r="AN50" s="1475">
        <f t="shared" si="4"/>
        <v>102500</v>
      </c>
      <c r="AO50" s="1465">
        <f>SUM($AH$9:AH50)</f>
        <v>91425</v>
      </c>
      <c r="AP50" s="1466">
        <f t="shared" si="2"/>
        <v>-11075</v>
      </c>
    </row>
    <row r="51" spans="1:43" x14ac:dyDescent="0.25">
      <c r="A51" s="71">
        <v>44377</v>
      </c>
      <c r="B51" s="72">
        <v>305.08999999999997</v>
      </c>
      <c r="C51" s="73">
        <v>421.33</v>
      </c>
      <c r="D51" s="147"/>
      <c r="E51" s="75"/>
      <c r="F51" s="73"/>
      <c r="G51" s="147"/>
      <c r="H51" s="75"/>
      <c r="I51" s="73"/>
      <c r="J51" s="234"/>
      <c r="K51" s="73"/>
      <c r="L51" s="1785">
        <v>44351</v>
      </c>
      <c r="M51" s="73">
        <v>8.4</v>
      </c>
      <c r="N51" s="894"/>
      <c r="O51" s="73"/>
      <c r="P51" s="71"/>
      <c r="Q51" s="73"/>
      <c r="R51" s="1609">
        <v>44367</v>
      </c>
      <c r="S51" s="73">
        <v>426.28</v>
      </c>
      <c r="T51" s="894"/>
      <c r="U51" s="1199"/>
      <c r="V51" s="73"/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v>0.28999999999999998</v>
      </c>
      <c r="AG51" s="1113">
        <v>6.71</v>
      </c>
      <c r="AH51" s="1110">
        <v>4790</v>
      </c>
      <c r="AI51" s="238">
        <v>47</v>
      </c>
      <c r="AJ51" s="238"/>
      <c r="AK51" s="51">
        <f t="shared" si="0"/>
        <v>1.381002327182143</v>
      </c>
      <c r="AL51" s="51">
        <f t="shared" si="1"/>
        <v>7.3689704761009001E-2</v>
      </c>
      <c r="AM51" s="1475">
        <f t="shared" si="3"/>
        <v>42</v>
      </c>
      <c r="AN51" s="1475">
        <f t="shared" si="4"/>
        <v>105000</v>
      </c>
      <c r="AO51" s="1465">
        <f>SUM($AH$9:AH51)</f>
        <v>96215</v>
      </c>
      <c r="AP51" s="1466">
        <f t="shared" si="2"/>
        <v>-8785</v>
      </c>
    </row>
    <row r="52" spans="1:43" x14ac:dyDescent="0.25">
      <c r="A52" s="71">
        <v>44408</v>
      </c>
      <c r="B52" s="72">
        <v>124.62</v>
      </c>
      <c r="C52" s="73">
        <v>175.22</v>
      </c>
      <c r="D52" s="147"/>
      <c r="E52" s="75"/>
      <c r="F52" s="73"/>
      <c r="G52" s="147"/>
      <c r="H52" s="75"/>
      <c r="I52" s="73"/>
      <c r="J52" s="234"/>
      <c r="K52" s="73"/>
      <c r="L52" s="1609">
        <v>44383</v>
      </c>
      <c r="M52" s="73">
        <v>8.4</v>
      </c>
      <c r="N52" s="894"/>
      <c r="O52" s="73"/>
      <c r="P52" s="71"/>
      <c r="Q52" s="73"/>
      <c r="R52" s="1609">
        <v>44397</v>
      </c>
      <c r="S52" s="73">
        <v>426.28</v>
      </c>
      <c r="T52" s="894"/>
      <c r="U52" s="1199"/>
      <c r="V52" s="73"/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v>0.28000000000000003</v>
      </c>
      <c r="AG52" s="1113">
        <v>6.35</v>
      </c>
      <c r="AH52" s="1110">
        <v>1770</v>
      </c>
      <c r="AI52" s="238">
        <v>47</v>
      </c>
      <c r="AJ52" s="238"/>
      <c r="AK52" s="51">
        <f t="shared" si="0"/>
        <v>1.4060343444069971</v>
      </c>
      <c r="AL52" s="51">
        <f t="shared" si="1"/>
        <v>9.8721721985863153E-2</v>
      </c>
      <c r="AM52" s="1475">
        <f t="shared" si="3"/>
        <v>43</v>
      </c>
      <c r="AN52" s="1475">
        <f t="shared" si="4"/>
        <v>107500</v>
      </c>
      <c r="AO52" s="1465">
        <f>SUM($AH$9:AH52)</f>
        <v>97985</v>
      </c>
      <c r="AP52" s="1466">
        <f t="shared" si="2"/>
        <v>-9515</v>
      </c>
    </row>
    <row r="53" spans="1:43" x14ac:dyDescent="0.25">
      <c r="A53" s="71">
        <v>44439</v>
      </c>
      <c r="B53" s="72">
        <v>223.21</v>
      </c>
      <c r="C53" s="73">
        <v>314.89</v>
      </c>
      <c r="D53" s="147"/>
      <c r="E53" s="75"/>
      <c r="F53" s="73"/>
      <c r="G53" s="147"/>
      <c r="H53" s="75"/>
      <c r="I53" s="73"/>
      <c r="J53" s="234"/>
      <c r="K53" s="73"/>
      <c r="L53" s="1785">
        <v>44415</v>
      </c>
      <c r="M53" s="73">
        <v>8.4</v>
      </c>
      <c r="N53" s="894"/>
      <c r="O53" s="73"/>
      <c r="P53" s="71"/>
      <c r="Q53" s="73"/>
      <c r="R53" s="1609">
        <v>44428</v>
      </c>
      <c r="S53" s="73">
        <v>426.28</v>
      </c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v>0.28000000000000003</v>
      </c>
      <c r="AG53" s="1113">
        <v>6.35</v>
      </c>
      <c r="AH53" s="1110">
        <v>3762</v>
      </c>
      <c r="AI53" s="238">
        <v>47</v>
      </c>
      <c r="AJ53" s="238"/>
      <c r="AK53" s="51">
        <f t="shared" si="0"/>
        <v>1.410734286098293</v>
      </c>
      <c r="AL53" s="51">
        <f t="shared" si="1"/>
        <v>0.10342166367715899</v>
      </c>
      <c r="AM53" s="1475">
        <f t="shared" si="3"/>
        <v>44</v>
      </c>
      <c r="AN53" s="1475">
        <f t="shared" si="4"/>
        <v>110000</v>
      </c>
      <c r="AO53" s="1465">
        <f>SUM($AH$9:AH53)</f>
        <v>101747</v>
      </c>
      <c r="AP53" s="1466">
        <f t="shared" si="2"/>
        <v>-8253</v>
      </c>
    </row>
    <row r="54" spans="1:43" x14ac:dyDescent="0.25">
      <c r="A54" s="71">
        <v>44469</v>
      </c>
      <c r="B54" s="72">
        <v>359.63</v>
      </c>
      <c r="C54" s="73">
        <v>514.92999999999995</v>
      </c>
      <c r="D54" s="147"/>
      <c r="E54" s="75"/>
      <c r="F54" s="73"/>
      <c r="G54" s="147"/>
      <c r="H54" s="75"/>
      <c r="I54" s="73"/>
      <c r="J54" s="234"/>
      <c r="K54" s="73"/>
      <c r="L54" s="1609">
        <v>44446</v>
      </c>
      <c r="M54" s="73">
        <v>8.4</v>
      </c>
      <c r="N54" s="894"/>
      <c r="O54" s="73"/>
      <c r="P54" s="71"/>
      <c r="Q54" s="73"/>
      <c r="R54" s="1609">
        <v>44459</v>
      </c>
      <c r="S54" s="73">
        <v>426.28</v>
      </c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v>0.28000000000000003</v>
      </c>
      <c r="AG54" s="1113">
        <v>6.68</v>
      </c>
      <c r="AH54" s="1110">
        <v>5554</v>
      </c>
      <c r="AI54" s="238">
        <v>47</v>
      </c>
      <c r="AJ54" s="238"/>
      <c r="AK54" s="51">
        <f t="shared" si="0"/>
        <v>1.4318327169590968</v>
      </c>
      <c r="AL54" s="51">
        <f t="shared" si="1"/>
        <v>0.12452009453796276</v>
      </c>
      <c r="AM54" s="1475">
        <f t="shared" si="3"/>
        <v>45</v>
      </c>
      <c r="AN54" s="1475">
        <f t="shared" si="4"/>
        <v>112500</v>
      </c>
      <c r="AO54" s="1465">
        <f>SUM($AH$9:AH54)</f>
        <v>107301</v>
      </c>
      <c r="AP54" s="1466">
        <f t="shared" si="2"/>
        <v>-5199</v>
      </c>
    </row>
    <row r="55" spans="1:43" x14ac:dyDescent="0.25">
      <c r="A55" s="71"/>
      <c r="B55" s="72"/>
      <c r="C55" s="73"/>
      <c r="D55" s="147"/>
      <c r="E55" s="75"/>
      <c r="F55" s="73"/>
      <c r="G55" s="147"/>
      <c r="H55" s="75"/>
      <c r="I55" s="73"/>
      <c r="J55" s="234"/>
      <c r="K55" s="73"/>
      <c r="L55" s="1609">
        <v>44470</v>
      </c>
      <c r="M55" s="73">
        <v>8.4</v>
      </c>
      <c r="N55" s="894"/>
      <c r="O55" s="73"/>
      <c r="P55" s="71"/>
      <c r="Q55" s="73"/>
      <c r="R55" s="1609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f t="shared" ref="AF55:AF82" ca="1" si="6">$F$5</f>
        <v>0.27017295314380901</v>
      </c>
      <c r="AG55" s="1113">
        <f>SUM($B$9:B55)/($J$1-$B$4)*100</f>
        <v>6.6804727110050699</v>
      </c>
      <c r="AH55" s="1110"/>
      <c r="AI55" s="238"/>
      <c r="AJ55" s="238"/>
      <c r="AK55" s="51" t="e">
        <f t="shared" si="0"/>
        <v>#DIV/0!</v>
      </c>
      <c r="AL55" s="51" t="e">
        <f t="shared" si="1"/>
        <v>#DIV/0!</v>
      </c>
      <c r="AM55" s="1475">
        <f t="shared" si="3"/>
        <v>46</v>
      </c>
      <c r="AN55" s="1475">
        <f t="shared" si="4"/>
        <v>115000</v>
      </c>
      <c r="AO55" s="1465">
        <f>SUM($AH$9:AH55)</f>
        <v>107301</v>
      </c>
      <c r="AP55" s="1466">
        <f t="shared" si="2"/>
        <v>-7699</v>
      </c>
    </row>
    <row r="56" spans="1:43" x14ac:dyDescent="0.25">
      <c r="A56" s="71"/>
      <c r="B56" s="72"/>
      <c r="C56" s="73"/>
      <c r="D56" s="147"/>
      <c r="E56" s="75"/>
      <c r="F56" s="73"/>
      <c r="G56" s="147"/>
      <c r="H56" s="75"/>
      <c r="I56" s="73"/>
      <c r="J56" s="234"/>
      <c r="K56" s="73"/>
      <c r="L56" s="1609">
        <v>44504</v>
      </c>
      <c r="M56" s="73">
        <v>8.4</v>
      </c>
      <c r="N56" s="894"/>
      <c r="O56" s="73"/>
      <c r="P56" s="71"/>
      <c r="Q56" s="73"/>
      <c r="R56" s="1609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f t="shared" ca="1" si="6"/>
        <v>0.27017295314380901</v>
      </c>
      <c r="AG56" s="1113">
        <f>SUM($B$9:B56)/($J$1-$B$4)*100</f>
        <v>6.6804727110050699</v>
      </c>
      <c r="AH56" s="1110"/>
      <c r="AI56" s="238"/>
      <c r="AJ56" s="238"/>
      <c r="AK56" s="51" t="e">
        <f t="shared" si="0"/>
        <v>#DIV/0!</v>
      </c>
      <c r="AL56" s="51" t="e">
        <f t="shared" si="1"/>
        <v>#DIV/0!</v>
      </c>
      <c r="AM56" s="1475">
        <f t="shared" si="3"/>
        <v>47</v>
      </c>
      <c r="AN56" s="1475">
        <f t="shared" si="4"/>
        <v>117500</v>
      </c>
      <c r="AO56" s="1465">
        <f>SUM($AH$9:AH56)</f>
        <v>107301</v>
      </c>
      <c r="AP56" s="1466">
        <f t="shared" si="2"/>
        <v>-10199</v>
      </c>
    </row>
    <row r="57" spans="1:43" x14ac:dyDescent="0.25">
      <c r="A57" s="71"/>
      <c r="B57" s="72"/>
      <c r="C57" s="73"/>
      <c r="D57" s="147"/>
      <c r="E57" s="75"/>
      <c r="F57" s="73"/>
      <c r="G57" s="147"/>
      <c r="H57" s="75"/>
      <c r="I57" s="73"/>
      <c r="J57" s="234"/>
      <c r="K57" s="73"/>
      <c r="L57" s="1609">
        <v>44531</v>
      </c>
      <c r="M57" s="73">
        <v>4.12</v>
      </c>
      <c r="N57" s="894"/>
      <c r="O57" s="73"/>
      <c r="P57" s="71"/>
      <c r="Q57" s="73"/>
      <c r="R57" s="1609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f t="shared" ca="1" si="6"/>
        <v>0.27017295314380901</v>
      </c>
      <c r="AG57" s="1113">
        <f>SUM($B$9:B57)/($J$1-$B$4)*100</f>
        <v>6.6804727110050699</v>
      </c>
      <c r="AH57" s="1110"/>
      <c r="AI57" s="238"/>
      <c r="AJ57" s="238"/>
      <c r="AK57" s="51" t="e">
        <f t="shared" si="0"/>
        <v>#DIV/0!</v>
      </c>
      <c r="AL57" s="51" t="e">
        <f t="shared" si="1"/>
        <v>#DIV/0!</v>
      </c>
      <c r="AM57" s="1467">
        <f t="shared" si="3"/>
        <v>48</v>
      </c>
      <c r="AN57" s="1467">
        <f t="shared" si="4"/>
        <v>120000</v>
      </c>
      <c r="AO57" s="1489">
        <f>SUM($AH$9:AH57)</f>
        <v>107301</v>
      </c>
      <c r="AP57" s="1489">
        <f t="shared" si="2"/>
        <v>-12699</v>
      </c>
    </row>
    <row r="58" spans="1:43" x14ac:dyDescent="0.25">
      <c r="A58" s="71"/>
      <c r="B58" s="72"/>
      <c r="C58" s="73"/>
      <c r="D58" s="147">
        <v>44571</v>
      </c>
      <c r="E58" s="75" t="s">
        <v>1526</v>
      </c>
      <c r="F58" s="73">
        <v>-399.6</v>
      </c>
      <c r="G58" s="147"/>
      <c r="H58" s="75"/>
      <c r="I58" s="73"/>
      <c r="J58" s="234"/>
      <c r="K58" s="73"/>
      <c r="L58" s="71"/>
      <c r="M58" s="73"/>
      <c r="N58" s="894"/>
      <c r="O58" s="73"/>
      <c r="P58" s="71"/>
      <c r="Q58" s="73"/>
      <c r="R58" s="1609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f t="shared" ca="1" si="6"/>
        <v>0.27017295314380901</v>
      </c>
      <c r="AG58" s="1113">
        <f>SUM($B$9:B58)/($J$1-$B$4)*100</f>
        <v>6.6804727110050699</v>
      </c>
      <c r="AH58" s="1110"/>
      <c r="AI58" s="238"/>
      <c r="AJ58" s="238"/>
      <c r="AK58" s="51" t="e">
        <f t="shared" si="0"/>
        <v>#DIV/0!</v>
      </c>
      <c r="AL58" s="51" t="e">
        <f t="shared" si="1"/>
        <v>#DIV/0!</v>
      </c>
      <c r="AM58" s="1475"/>
      <c r="AO58" s="1465"/>
      <c r="AP58" s="1477"/>
      <c r="AQ58" s="1468"/>
    </row>
    <row r="59" spans="1:43" x14ac:dyDescent="0.25">
      <c r="A59" s="71"/>
      <c r="B59" s="72"/>
      <c r="C59" s="73"/>
      <c r="D59" s="147"/>
      <c r="E59" s="75"/>
      <c r="F59" s="73"/>
      <c r="G59" s="147"/>
      <c r="H59" s="75"/>
      <c r="I59" s="73"/>
      <c r="J59" s="234"/>
      <c r="K59" s="73"/>
      <c r="L59" s="71"/>
      <c r="M59" s="73"/>
      <c r="N59" s="894"/>
      <c r="O59" s="73"/>
      <c r="P59" s="71"/>
      <c r="Q59" s="73"/>
      <c r="R59" s="1609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f t="shared" ca="1" si="6"/>
        <v>0.27017295314380901</v>
      </c>
      <c r="AG59" s="1113">
        <f>SUM($B$9:B59)/($J$1-$B$4)*100</f>
        <v>6.6804727110050699</v>
      </c>
      <c r="AH59" s="1110"/>
      <c r="AI59" s="238"/>
      <c r="AJ59" s="238"/>
      <c r="AK59" s="51" t="e">
        <f t="shared" si="0"/>
        <v>#DIV/0!</v>
      </c>
      <c r="AL59" s="51" t="e">
        <f t="shared" si="1"/>
        <v>#DIV/0!</v>
      </c>
      <c r="AM59" s="1475"/>
    </row>
    <row r="60" spans="1:43" x14ac:dyDescent="0.25">
      <c r="A60" s="71"/>
      <c r="B60" s="72"/>
      <c r="C60" s="73"/>
      <c r="D60" s="147"/>
      <c r="E60" s="75"/>
      <c r="F60" s="73"/>
      <c r="G60" s="147"/>
      <c r="H60" s="75"/>
      <c r="I60" s="73"/>
      <c r="J60" s="234"/>
      <c r="K60" s="73"/>
      <c r="L60" s="71"/>
      <c r="M60" s="73"/>
      <c r="N60" s="894"/>
      <c r="O60" s="73"/>
      <c r="P60" s="71"/>
      <c r="Q60" s="73"/>
      <c r="R60" s="1609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f t="shared" ca="1" si="6"/>
        <v>0.27017295314380901</v>
      </c>
      <c r="AG60" s="1113">
        <f>SUM($B$9:B60)/($J$1-$B$4)*100</f>
        <v>6.6804727110050699</v>
      </c>
      <c r="AH60" s="1110"/>
      <c r="AI60" s="238"/>
      <c r="AJ60" s="238"/>
      <c r="AK60" s="51" t="e">
        <f t="shared" si="0"/>
        <v>#DIV/0!</v>
      </c>
      <c r="AL60" s="51" t="e">
        <f t="shared" si="1"/>
        <v>#DIV/0!</v>
      </c>
      <c r="AM60" s="1475"/>
    </row>
    <row r="61" spans="1:43" x14ac:dyDescent="0.25">
      <c r="A61" s="71"/>
      <c r="B61" s="72"/>
      <c r="C61" s="73"/>
      <c r="D61" s="147"/>
      <c r="E61" s="75"/>
      <c r="F61" s="73"/>
      <c r="G61" s="147"/>
      <c r="H61" s="75"/>
      <c r="I61" s="73"/>
      <c r="J61" s="234"/>
      <c r="K61" s="73"/>
      <c r="L61" s="71"/>
      <c r="M61" s="73"/>
      <c r="N61" s="894"/>
      <c r="O61" s="73"/>
      <c r="P61" s="71"/>
      <c r="Q61" s="73"/>
      <c r="R61" s="1609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>
        <f t="shared" ca="1" si="6"/>
        <v>0.27017295314380901</v>
      </c>
      <c r="AG61" s="1113">
        <f>SUM($B$9:B61)/($J$1-$B$4)*100</f>
        <v>6.6804727110050699</v>
      </c>
      <c r="AH61" s="1110"/>
      <c r="AI61" s="238"/>
      <c r="AJ61" s="238"/>
      <c r="AK61" s="51" t="e">
        <f t="shared" si="0"/>
        <v>#DIV/0!</v>
      </c>
      <c r="AL61" s="51" t="e">
        <f t="shared" si="1"/>
        <v>#DIV/0!</v>
      </c>
      <c r="AM61" s="1475"/>
    </row>
    <row r="62" spans="1:43" x14ac:dyDescent="0.25">
      <c r="A62" s="71"/>
      <c r="B62" s="72"/>
      <c r="C62" s="73"/>
      <c r="D62" s="147"/>
      <c r="E62" s="75"/>
      <c r="F62" s="73"/>
      <c r="G62" s="147"/>
      <c r="H62" s="75"/>
      <c r="I62" s="73"/>
      <c r="J62" s="234"/>
      <c r="K62" s="73"/>
      <c r="L62" s="71"/>
      <c r="M62" s="73"/>
      <c r="N62" s="894"/>
      <c r="O62" s="73"/>
      <c r="P62" s="71"/>
      <c r="Q62" s="73"/>
      <c r="R62" s="1609"/>
      <c r="S62" s="73"/>
      <c r="T62" s="894"/>
      <c r="U62" s="1199"/>
      <c r="V62" s="73"/>
      <c r="W62" s="894"/>
      <c r="X62" s="1199"/>
      <c r="Y62" s="73"/>
      <c r="Z62" s="894"/>
      <c r="AA62" s="1199"/>
      <c r="AB62" s="73"/>
      <c r="AC62" s="894"/>
      <c r="AD62" s="1199"/>
      <c r="AE62" s="73"/>
      <c r="AF62" s="1112">
        <f t="shared" ca="1" si="6"/>
        <v>0.27017295314380901</v>
      </c>
      <c r="AG62" s="1113">
        <f>SUM($B$9:B62)/($J$1-$B$4)*100</f>
        <v>6.6804727110050699</v>
      </c>
      <c r="AH62" s="1110"/>
      <c r="AI62" s="238"/>
      <c r="AJ62" s="238"/>
      <c r="AK62" s="51" t="e">
        <f t="shared" si="0"/>
        <v>#DIV/0!</v>
      </c>
      <c r="AL62" s="51" t="e">
        <f t="shared" si="1"/>
        <v>#DIV/0!</v>
      </c>
      <c r="AM62" s="1475"/>
    </row>
    <row r="63" spans="1:43" x14ac:dyDescent="0.25">
      <c r="A63" s="71"/>
      <c r="B63" s="72"/>
      <c r="C63" s="73"/>
      <c r="D63" s="147"/>
      <c r="E63" s="75"/>
      <c r="F63" s="73"/>
      <c r="G63" s="147"/>
      <c r="H63" s="75"/>
      <c r="I63" s="73"/>
      <c r="J63" s="234"/>
      <c r="K63" s="73"/>
      <c r="L63" s="71"/>
      <c r="M63" s="73"/>
      <c r="N63" s="894"/>
      <c r="O63" s="73"/>
      <c r="P63" s="71"/>
      <c r="Q63" s="73"/>
      <c r="R63" s="1609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f t="shared" ca="1" si="6"/>
        <v>0.27017295314380901</v>
      </c>
      <c r="AG63" s="1113">
        <f>SUM($B$9:B63)/($J$1-$B$4)*100</f>
        <v>6.6804727110050699</v>
      </c>
      <c r="AH63" s="1110"/>
      <c r="AI63" s="238"/>
      <c r="AJ63" s="238"/>
      <c r="AK63" s="51" t="e">
        <f t="shared" si="0"/>
        <v>#DIV/0!</v>
      </c>
      <c r="AL63" s="51" t="e">
        <f t="shared" si="1"/>
        <v>#DIV/0!</v>
      </c>
      <c r="AM63" s="1475"/>
    </row>
    <row r="64" spans="1:43" x14ac:dyDescent="0.25">
      <c r="A64" s="71"/>
      <c r="B64" s="72"/>
      <c r="C64" s="73"/>
      <c r="D64" s="147"/>
      <c r="E64" s="75"/>
      <c r="F64" s="73"/>
      <c r="G64" s="147"/>
      <c r="H64" s="75"/>
      <c r="I64" s="73"/>
      <c r="J64" s="234"/>
      <c r="K64" s="73"/>
      <c r="L64" s="71"/>
      <c r="M64" s="73"/>
      <c r="N64" s="894"/>
      <c r="O64" s="73"/>
      <c r="P64" s="71"/>
      <c r="Q64" s="73"/>
      <c r="R64" s="1609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f t="shared" ca="1" si="6"/>
        <v>0.27017295314380901</v>
      </c>
      <c r="AG64" s="1113">
        <f>SUM($B$9:B64)/($J$1-$B$4)*100</f>
        <v>6.6804727110050699</v>
      </c>
      <c r="AH64" s="1110"/>
      <c r="AI64" s="238"/>
      <c r="AJ64" s="238"/>
      <c r="AK64" s="51" t="e">
        <f t="shared" si="0"/>
        <v>#DIV/0!</v>
      </c>
      <c r="AL64" s="51" t="e">
        <f t="shared" si="1"/>
        <v>#DIV/0!</v>
      </c>
      <c r="AM64" s="1475"/>
    </row>
    <row r="65" spans="1:39" x14ac:dyDescent="0.25">
      <c r="A65" s="71"/>
      <c r="B65" s="72"/>
      <c r="C65" s="73"/>
      <c r="D65" s="147"/>
      <c r="E65" s="75"/>
      <c r="F65" s="73"/>
      <c r="G65" s="147"/>
      <c r="H65" s="75"/>
      <c r="I65" s="73"/>
      <c r="J65" s="234"/>
      <c r="K65" s="73"/>
      <c r="L65" s="71"/>
      <c r="M65" s="73"/>
      <c r="N65" s="894"/>
      <c r="O65" s="73"/>
      <c r="P65" s="71"/>
      <c r="Q65" s="73"/>
      <c r="R65" s="1609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f t="shared" ca="1" si="6"/>
        <v>0.27017295314380901</v>
      </c>
      <c r="AG65" s="1113">
        <f>SUM($B$9:B65)/($J$1-$B$4)*100</f>
        <v>6.6804727110050699</v>
      </c>
      <c r="AH65" s="1110"/>
      <c r="AI65" s="238"/>
      <c r="AJ65" s="238"/>
      <c r="AK65" s="51" t="e">
        <f t="shared" si="0"/>
        <v>#DIV/0!</v>
      </c>
      <c r="AL65" s="51" t="e">
        <f t="shared" si="1"/>
        <v>#DIV/0!</v>
      </c>
      <c r="AM65" s="1475"/>
    </row>
    <row r="66" spans="1:39" x14ac:dyDescent="0.25">
      <c r="A66" s="71"/>
      <c r="B66" s="72"/>
      <c r="C66" s="73"/>
      <c r="D66" s="147"/>
      <c r="E66" s="75"/>
      <c r="F66" s="73"/>
      <c r="G66" s="147"/>
      <c r="H66" s="75"/>
      <c r="I66" s="73"/>
      <c r="J66" s="234"/>
      <c r="K66" s="73"/>
      <c r="L66" s="71"/>
      <c r="M66" s="73"/>
      <c r="N66" s="894"/>
      <c r="O66" s="73"/>
      <c r="P66" s="71"/>
      <c r="Q66" s="73"/>
      <c r="R66" s="1609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f t="shared" ca="1" si="6"/>
        <v>0.27017295314380901</v>
      </c>
      <c r="AG66" s="1113">
        <f>SUM($B$9:B66)/($J$1-$B$4)*100</f>
        <v>6.6804727110050699</v>
      </c>
      <c r="AH66" s="1110"/>
      <c r="AI66" s="238"/>
      <c r="AJ66" s="238"/>
      <c r="AK66" s="51" t="e">
        <f t="shared" si="0"/>
        <v>#DIV/0!</v>
      </c>
      <c r="AL66" s="51" t="e">
        <f t="shared" si="1"/>
        <v>#DIV/0!</v>
      </c>
      <c r="AM66" s="1475"/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71"/>
      <c r="M67" s="73"/>
      <c r="N67" s="894"/>
      <c r="O67" s="73"/>
      <c r="P67" s="71"/>
      <c r="Q67" s="73"/>
      <c r="R67" s="1609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ca="1" si="6"/>
        <v>0.27017295314380901</v>
      </c>
      <c r="AG67" s="1113">
        <f>SUM($B$9:B67)/($J$1-$B$4)*100</f>
        <v>6.6804727110050699</v>
      </c>
      <c r="AH67" s="1110"/>
      <c r="AI67" s="238"/>
      <c r="AJ67" s="238"/>
      <c r="AK67" s="51" t="e">
        <f t="shared" si="0"/>
        <v>#DIV/0!</v>
      </c>
      <c r="AL67" s="51" t="e">
        <f t="shared" si="1"/>
        <v>#DIV/0!</v>
      </c>
      <c r="AM67" s="1475"/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71"/>
      <c r="M68" s="73"/>
      <c r="N68" s="894"/>
      <c r="O68" s="73"/>
      <c r="P68" s="71"/>
      <c r="Q68" s="73"/>
      <c r="R68" s="1609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6"/>
        <v>0.27017295314380901</v>
      </c>
      <c r="AG68" s="1113">
        <f>SUM($B$9:B68)/($J$1-$B$4)*100</f>
        <v>6.6804727110050699</v>
      </c>
      <c r="AH68" s="1110"/>
      <c r="AI68" s="238"/>
      <c r="AJ68" s="238"/>
      <c r="AK68" s="51" t="e">
        <f t="shared" si="0"/>
        <v>#DIV/0!</v>
      </c>
      <c r="AL68" s="51" t="e">
        <f t="shared" si="1"/>
        <v>#DIV/0!</v>
      </c>
      <c r="AM68" s="1475"/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71"/>
      <c r="M69" s="73"/>
      <c r="N69" s="894"/>
      <c r="O69" s="73"/>
      <c r="P69" s="71"/>
      <c r="Q69" s="73"/>
      <c r="R69" s="1609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6"/>
        <v>0.27017295314380901</v>
      </c>
      <c r="AG69" s="1113">
        <f>SUM($B$9:B69)/($J$1-$B$4)*100</f>
        <v>6.6804727110050699</v>
      </c>
      <c r="AH69" s="1110"/>
      <c r="AI69" s="238"/>
      <c r="AJ69" s="238"/>
      <c r="AK69" s="51" t="e">
        <f t="shared" si="0"/>
        <v>#DIV/0!</v>
      </c>
      <c r="AL69" s="51" t="e">
        <f t="shared" si="1"/>
        <v>#DIV/0!</v>
      </c>
      <c r="AM69" s="1475"/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71"/>
      <c r="M70" s="73"/>
      <c r="N70" s="894"/>
      <c r="O70" s="73"/>
      <c r="P70" s="71"/>
      <c r="Q70" s="73"/>
      <c r="R70" s="1609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6"/>
        <v>0.27017295314380901</v>
      </c>
      <c r="AG70" s="1113">
        <f>SUM($B$9:B70)/($J$1-$B$4)*100</f>
        <v>6.6804727110050699</v>
      </c>
      <c r="AH70" s="1110"/>
      <c r="AI70" s="238"/>
      <c r="AJ70" s="238"/>
      <c r="AK70" s="51" t="e">
        <f t="shared" si="0"/>
        <v>#DIV/0!</v>
      </c>
      <c r="AL70" s="51" t="e">
        <f t="shared" si="1"/>
        <v>#DIV/0!</v>
      </c>
      <c r="AM70" s="1475"/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71"/>
      <c r="M71" s="73"/>
      <c r="N71" s="894"/>
      <c r="O71" s="73"/>
      <c r="P71" s="71"/>
      <c r="Q71" s="73"/>
      <c r="R71" s="1609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6"/>
        <v>0.27017295314380901</v>
      </c>
      <c r="AG71" s="1113">
        <f>SUM($B$9:B71)/($J$1-$B$4)*100</f>
        <v>6.6804727110050699</v>
      </c>
      <c r="AH71" s="1110"/>
      <c r="AI71" s="238"/>
      <c r="AJ71" s="238"/>
      <c r="AK71" s="51" t="e">
        <f t="shared" si="0"/>
        <v>#DIV/0!</v>
      </c>
      <c r="AL71" s="51" t="e">
        <f t="shared" si="1"/>
        <v>#DIV/0!</v>
      </c>
      <c r="AM71" s="1475"/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71"/>
      <c r="M72" s="73"/>
      <c r="N72" s="894"/>
      <c r="O72" s="73"/>
      <c r="P72" s="71"/>
      <c r="Q72" s="73"/>
      <c r="R72" s="1609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6"/>
        <v>0.27017295314380901</v>
      </c>
      <c r="AG72" s="1113">
        <f>SUM($B$9:B72)/($J$1-$B$4)*100</f>
        <v>6.6804727110050699</v>
      </c>
      <c r="AH72" s="1110"/>
      <c r="AI72" s="238"/>
      <c r="AJ72" s="238"/>
      <c r="AK72" s="51" t="e">
        <f t="shared" si="0"/>
        <v>#DIV/0!</v>
      </c>
      <c r="AL72" s="51" t="e">
        <f t="shared" si="1"/>
        <v>#DIV/0!</v>
      </c>
      <c r="AM72" s="1475"/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71"/>
      <c r="M73" s="73"/>
      <c r="N73" s="894"/>
      <c r="O73" s="73"/>
      <c r="P73" s="71"/>
      <c r="Q73" s="73"/>
      <c r="R73" s="1609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6"/>
        <v>0.27017295314380901</v>
      </c>
      <c r="AG73" s="1113">
        <f>SUM($B$9:B73)/($J$1-$B$4)*100</f>
        <v>6.6804727110050699</v>
      </c>
      <c r="AH73" s="1110"/>
      <c r="AI73" s="238"/>
      <c r="AJ73" s="238"/>
      <c r="AK73" s="51" t="e">
        <f t="shared" ref="AK73:AK96" si="7">C73/B73</f>
        <v>#DIV/0!</v>
      </c>
      <c r="AL73" s="51" t="e">
        <f t="shared" ref="AL73:AL96" si="8">AK73-$AK$8</f>
        <v>#DIV/0!</v>
      </c>
      <c r="AM73" s="1475"/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71"/>
      <c r="M74" s="73"/>
      <c r="N74" s="894"/>
      <c r="O74" s="73"/>
      <c r="P74" s="71"/>
      <c r="Q74" s="73"/>
      <c r="R74" s="1609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6"/>
        <v>0.27017295314380901</v>
      </c>
      <c r="AG74" s="1113">
        <f>SUM($B$9:B74)/($J$1-$B$4)*100</f>
        <v>6.6804727110050699</v>
      </c>
      <c r="AH74" s="1110"/>
      <c r="AI74" s="238"/>
      <c r="AJ74" s="238"/>
      <c r="AK74" s="51" t="e">
        <f t="shared" si="7"/>
        <v>#DIV/0!</v>
      </c>
      <c r="AL74" s="51" t="e">
        <f t="shared" si="8"/>
        <v>#DIV/0!</v>
      </c>
      <c r="AM74" s="1475"/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1609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6"/>
        <v>0.27017295314380901</v>
      </c>
      <c r="AG75" s="1113">
        <f>SUM($B$9:B75)/($J$1-$B$4)*100</f>
        <v>6.6804727110050699</v>
      </c>
      <c r="AH75" s="1110"/>
      <c r="AI75" s="238"/>
      <c r="AJ75" s="238"/>
      <c r="AK75" s="51" t="e">
        <f t="shared" si="7"/>
        <v>#DIV/0!</v>
      </c>
      <c r="AL75" s="51" t="e">
        <f t="shared" si="8"/>
        <v>#DIV/0!</v>
      </c>
      <c r="AM75" s="1475"/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1609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6"/>
        <v>0.27017295314380901</v>
      </c>
      <c r="AG76" s="1113">
        <f>SUM($B$9:B76)/($J$1-$B$4)*100</f>
        <v>6.6804727110050699</v>
      </c>
      <c r="AH76" s="1110"/>
      <c r="AI76" s="238"/>
      <c r="AJ76" s="238"/>
      <c r="AK76" s="51" t="e">
        <f t="shared" si="7"/>
        <v>#DIV/0!</v>
      </c>
      <c r="AL76" s="51" t="e">
        <f t="shared" si="8"/>
        <v>#DIV/0!</v>
      </c>
      <c r="AM76" s="1475"/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1609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6"/>
        <v>0.27017295314380901</v>
      </c>
      <c r="AG77" s="1113">
        <f>SUM($B$9:B77)/($J$1-$B$4)*100</f>
        <v>6.6804727110050699</v>
      </c>
      <c r="AH77" s="1110"/>
      <c r="AI77" s="238"/>
      <c r="AJ77" s="238"/>
      <c r="AK77" s="51" t="e">
        <f t="shared" si="7"/>
        <v>#DIV/0!</v>
      </c>
      <c r="AL77" s="51" t="e">
        <f t="shared" si="8"/>
        <v>#DIV/0!</v>
      </c>
      <c r="AM77" s="1475"/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1609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6"/>
        <v>0.27017295314380901</v>
      </c>
      <c r="AG78" s="1113">
        <f>SUM($B$9:B78)/($J$1-$B$4)*100</f>
        <v>6.6804727110050699</v>
      </c>
      <c r="AH78" s="1110"/>
      <c r="AI78" s="238"/>
      <c r="AJ78" s="238"/>
      <c r="AK78" s="51" t="e">
        <f t="shared" si="7"/>
        <v>#DIV/0!</v>
      </c>
      <c r="AL78" s="51" t="e">
        <f t="shared" si="8"/>
        <v>#DIV/0!</v>
      </c>
      <c r="AM78" s="1475"/>
    </row>
    <row r="79" spans="1:39" x14ac:dyDescent="0.25">
      <c r="A79" s="71"/>
      <c r="B79" s="72"/>
      <c r="C79" s="73"/>
      <c r="D79" s="147"/>
      <c r="E79" s="75"/>
      <c r="F79" s="73"/>
      <c r="G79" s="1161"/>
      <c r="H79" s="831"/>
      <c r="I79" s="835"/>
      <c r="J79" s="234"/>
      <c r="K79" s="73"/>
      <c r="L79" s="71"/>
      <c r="M79" s="73"/>
      <c r="N79" s="894"/>
      <c r="O79" s="73"/>
      <c r="P79" s="71"/>
      <c r="Q79" s="73"/>
      <c r="R79" s="1609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6"/>
        <v>0.27017295314380901</v>
      </c>
      <c r="AG79" s="1113">
        <f>SUM($B$9:B79)/($J$1-$B$4)*100</f>
        <v>6.6804727110050699</v>
      </c>
      <c r="AH79" s="1110"/>
      <c r="AI79" s="238"/>
      <c r="AJ79" s="238"/>
      <c r="AK79" s="51" t="e">
        <f t="shared" si="7"/>
        <v>#DIV/0!</v>
      </c>
      <c r="AL79" s="51" t="e">
        <f t="shared" si="8"/>
        <v>#DIV/0!</v>
      </c>
      <c r="AM79" s="1475"/>
    </row>
    <row r="80" spans="1:39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71"/>
      <c r="M80" s="73"/>
      <c r="N80" s="894"/>
      <c r="O80" s="73"/>
      <c r="P80" s="71"/>
      <c r="Q80" s="73"/>
      <c r="R80" s="1609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6"/>
        <v>0.27017295314380901</v>
      </c>
      <c r="AG80" s="1113">
        <f>SUM($B$9:B80)/($J$1-$B$4)*100</f>
        <v>6.6804727110050699</v>
      </c>
      <c r="AH80" s="1110"/>
      <c r="AI80" s="238"/>
      <c r="AJ80" s="238"/>
      <c r="AK80" s="51" t="e">
        <f t="shared" si="7"/>
        <v>#DIV/0!</v>
      </c>
      <c r="AL80" s="51" t="e">
        <f t="shared" si="8"/>
        <v>#DIV/0!</v>
      </c>
      <c r="AM80" s="1475"/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1609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6"/>
        <v>0.27017295314380901</v>
      </c>
      <c r="AG81" s="1113">
        <f>SUM($B$9:B81)/($J$1-$B$4)*100</f>
        <v>6.6804727110050699</v>
      </c>
      <c r="AH81" s="1110"/>
      <c r="AI81" s="238"/>
      <c r="AJ81" s="238"/>
      <c r="AK81" s="51" t="e">
        <f t="shared" si="7"/>
        <v>#DIV/0!</v>
      </c>
      <c r="AL81" s="51" t="e">
        <f t="shared" si="8"/>
        <v>#DIV/0!</v>
      </c>
      <c r="AM81" s="1475"/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1609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6"/>
        <v>0.27017295314380901</v>
      </c>
      <c r="AG82" s="1113">
        <f>SUM($B$9:B82)/($J$1-$B$4)*100</f>
        <v>6.6804727110050699</v>
      </c>
      <c r="AH82" s="1110"/>
      <c r="AI82" s="238"/>
      <c r="AJ82" s="238"/>
      <c r="AK82" s="51" t="e">
        <f t="shared" si="7"/>
        <v>#DIV/0!</v>
      </c>
      <c r="AL82" s="51" t="e">
        <f t="shared" si="8"/>
        <v>#DIV/0!</v>
      </c>
      <c r="AM82" s="1475"/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1609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ref="AF83:AF96" ca="1" si="9">$F$5</f>
        <v>0.27017295314380901</v>
      </c>
      <c r="AG83" s="1113">
        <f>SUM($B$9:B83)/($J$1-$B$4)*100</f>
        <v>6.6804727110050699</v>
      </c>
      <c r="AH83" s="1110"/>
      <c r="AI83" s="238"/>
      <c r="AJ83" s="238"/>
      <c r="AK83" s="51" t="e">
        <f t="shared" si="7"/>
        <v>#DIV/0!</v>
      </c>
      <c r="AL83" s="51" t="e">
        <f t="shared" si="8"/>
        <v>#DIV/0!</v>
      </c>
      <c r="AM83" s="1475"/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1609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9"/>
        <v>0.27017295314380901</v>
      </c>
      <c r="AG84" s="1113">
        <f>SUM($B$9:B84)/($J$1-$B$4)*100</f>
        <v>6.6804727110050699</v>
      </c>
      <c r="AH84" s="1110"/>
      <c r="AI84" s="238"/>
      <c r="AJ84" s="238"/>
      <c r="AK84" s="51" t="e">
        <f t="shared" si="7"/>
        <v>#DIV/0!</v>
      </c>
      <c r="AL84" s="51" t="e">
        <f t="shared" si="8"/>
        <v>#DIV/0!</v>
      </c>
      <c r="AM84" s="1475"/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1609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9"/>
        <v>0.27017295314380901</v>
      </c>
      <c r="AG85" s="1113">
        <f>SUM($B$9:B85)/($J$1-$B$4)*100</f>
        <v>6.6804727110050699</v>
      </c>
      <c r="AH85" s="1110"/>
      <c r="AI85" s="238"/>
      <c r="AJ85" s="238"/>
      <c r="AK85" s="51" t="e">
        <f t="shared" si="7"/>
        <v>#DIV/0!</v>
      </c>
      <c r="AL85" s="51" t="e">
        <f t="shared" si="8"/>
        <v>#DIV/0!</v>
      </c>
      <c r="AM85" s="1475"/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1609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9"/>
        <v>0.27017295314380901</v>
      </c>
      <c r="AG86" s="1113">
        <f>SUM($B$9:B86)/($J$1-$B$4)*100</f>
        <v>6.6804727110050699</v>
      </c>
      <c r="AH86" s="1110"/>
      <c r="AI86" s="238"/>
      <c r="AJ86" s="238"/>
      <c r="AK86" s="51" t="e">
        <f t="shared" si="7"/>
        <v>#DIV/0!</v>
      </c>
      <c r="AL86" s="51" t="e">
        <f t="shared" si="8"/>
        <v>#DIV/0!</v>
      </c>
      <c r="AM86" s="1475"/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1609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9"/>
        <v>0.27017295314380901</v>
      </c>
      <c r="AG87" s="1113">
        <f>SUM($B$9:B87)/($J$1-$B$4)*100</f>
        <v>6.6804727110050699</v>
      </c>
      <c r="AH87" s="1110"/>
      <c r="AI87" s="238"/>
      <c r="AJ87" s="238"/>
      <c r="AK87" s="51" t="e">
        <f t="shared" si="7"/>
        <v>#DIV/0!</v>
      </c>
      <c r="AL87" s="51" t="e">
        <f t="shared" si="8"/>
        <v>#DIV/0!</v>
      </c>
      <c r="AM87" s="1475"/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1609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9"/>
        <v>0.27017295314380901</v>
      </c>
      <c r="AG88" s="1113">
        <f>SUM($B$9:B88)/($J$1-$B$4)*100</f>
        <v>6.6804727110050699</v>
      </c>
      <c r="AH88" s="1110"/>
      <c r="AI88" s="238"/>
      <c r="AJ88" s="238"/>
      <c r="AK88" s="51" t="e">
        <f t="shared" si="7"/>
        <v>#DIV/0!</v>
      </c>
      <c r="AL88" s="51" t="e">
        <f t="shared" si="8"/>
        <v>#DIV/0!</v>
      </c>
      <c r="AM88" s="1475"/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1609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9"/>
        <v>0.27017295314380901</v>
      </c>
      <c r="AG89" s="1113">
        <f>SUM($B$9:B89)/($J$1-$B$4)*100</f>
        <v>6.6804727110050699</v>
      </c>
      <c r="AH89" s="1110"/>
      <c r="AI89" s="238"/>
      <c r="AJ89" s="238"/>
      <c r="AK89" s="51" t="e">
        <f t="shared" si="7"/>
        <v>#DIV/0!</v>
      </c>
      <c r="AL89" s="51" t="e">
        <f t="shared" si="8"/>
        <v>#DIV/0!</v>
      </c>
      <c r="AM89" s="1475"/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1609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9"/>
        <v>0.27017295314380901</v>
      </c>
      <c r="AG90" s="1113">
        <f>SUM($B$9:B90)/($J$1-$B$4)*100</f>
        <v>6.6804727110050699</v>
      </c>
      <c r="AH90" s="1110"/>
      <c r="AI90" s="238"/>
      <c r="AJ90" s="238"/>
      <c r="AK90" s="51" t="e">
        <f t="shared" si="7"/>
        <v>#DIV/0!</v>
      </c>
      <c r="AL90" s="51" t="e">
        <f t="shared" si="8"/>
        <v>#DIV/0!</v>
      </c>
      <c r="AM90" s="1475"/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1609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9"/>
        <v>0.27017295314380901</v>
      </c>
      <c r="AG91" s="1113">
        <f>SUM($B$9:B91)/($J$1-$B$4)*100</f>
        <v>6.6804727110050699</v>
      </c>
      <c r="AH91" s="1110"/>
      <c r="AI91" s="238"/>
      <c r="AJ91" s="238"/>
      <c r="AK91" s="51" t="e">
        <f t="shared" si="7"/>
        <v>#DIV/0!</v>
      </c>
      <c r="AL91" s="51" t="e">
        <f t="shared" si="8"/>
        <v>#DIV/0!</v>
      </c>
      <c r="AM91" s="1475"/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1609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9"/>
        <v>0.27017295314380901</v>
      </c>
      <c r="AG92" s="1113">
        <f>SUM($B$9:B92)/($J$1-$B$4)*100</f>
        <v>6.6804727110050699</v>
      </c>
      <c r="AH92" s="1110"/>
      <c r="AI92" s="238"/>
      <c r="AJ92" s="238"/>
      <c r="AK92" s="51" t="e">
        <f t="shared" si="7"/>
        <v>#DIV/0!</v>
      </c>
      <c r="AL92" s="51" t="e">
        <f t="shared" si="8"/>
        <v>#DIV/0!</v>
      </c>
      <c r="AM92" s="1475"/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1609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9"/>
        <v>0.27017295314380901</v>
      </c>
      <c r="AG93" s="1113">
        <f>SUM($B$9:B93)/($J$1-$B$4)*100</f>
        <v>6.6804727110050699</v>
      </c>
      <c r="AH93" s="1110"/>
      <c r="AI93" s="238"/>
      <c r="AJ93" s="238"/>
      <c r="AK93" s="51" t="e">
        <f t="shared" si="7"/>
        <v>#DIV/0!</v>
      </c>
      <c r="AL93" s="51" t="e">
        <f t="shared" si="8"/>
        <v>#DIV/0!</v>
      </c>
      <c r="AM93" s="1475"/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1609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9"/>
        <v>0.27017295314380901</v>
      </c>
      <c r="AG94" s="1113">
        <f>SUM($B$9:B94)/($J$1-$B$4)*100</f>
        <v>6.6804727110050699</v>
      </c>
      <c r="AH94" s="1110"/>
      <c r="AI94" s="238"/>
      <c r="AJ94" s="238"/>
      <c r="AK94" s="51" t="e">
        <f t="shared" si="7"/>
        <v>#DIV/0!</v>
      </c>
      <c r="AL94" s="51" t="e">
        <f t="shared" si="8"/>
        <v>#DIV/0!</v>
      </c>
      <c r="AM94" s="1475"/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1609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9"/>
        <v>0.27017295314380901</v>
      </c>
      <c r="AG95" s="1113">
        <f>SUM($B$9:B95)/($J$1-$B$4)*100</f>
        <v>6.6804727110050699</v>
      </c>
      <c r="AH95" s="1110"/>
      <c r="AI95" s="238"/>
      <c r="AJ95" s="238"/>
      <c r="AK95" s="51" t="e">
        <f t="shared" si="7"/>
        <v>#DIV/0!</v>
      </c>
      <c r="AL95" s="51" t="e">
        <f t="shared" si="8"/>
        <v>#DIV/0!</v>
      </c>
      <c r="AM95" s="1475"/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1609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9"/>
        <v>0.27017295314380901</v>
      </c>
      <c r="AG96" s="1113">
        <f>SUM($B$9:B96)/($J$1-$B$4)*100</f>
        <v>6.6804727110050699</v>
      </c>
      <c r="AH96" s="1110"/>
      <c r="AI96" s="238"/>
      <c r="AJ96" s="238"/>
      <c r="AK96" s="51" t="e">
        <f t="shared" si="7"/>
        <v>#DIV/0!</v>
      </c>
      <c r="AL96" s="51" t="e">
        <f t="shared" si="8"/>
        <v>#DIV/0!</v>
      </c>
      <c r="AM96" s="1475"/>
    </row>
    <row r="97" spans="1:46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896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239"/>
      <c r="AK97" s="51"/>
      <c r="AM97" s="1475"/>
    </row>
    <row r="98" spans="1:46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0.29074096092381291</v>
      </c>
      <c r="AG98" s="1109">
        <f>AVERAGE(AG9:AG97)</f>
        <v>6.6382937938887814</v>
      </c>
      <c r="AH98" s="1228">
        <f ca="1">SUMIFS($AH$9:$AH$97,$A$9:$A$97,"&gt;="&amp;$C99,$A$9:$A$97,"&lt;="&amp;$D99)</f>
        <v>47504</v>
      </c>
      <c r="AI98" s="1229"/>
      <c r="AJ98" s="273"/>
      <c r="AK98" s="1213"/>
      <c r="AM98" s="1476"/>
      <c r="AN98" s="1475"/>
      <c r="AO98" s="1485"/>
      <c r="AP98" s="1466"/>
      <c r="AQ98"/>
    </row>
    <row r="99" spans="1:46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0.28004222802290329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9.8692748790942808E-3</v>
      </c>
      <c r="J99" s="1303">
        <f ca="1">(F99/F5)-1</f>
        <v>3.6529470342062664E-2</v>
      </c>
      <c r="K99" s="2253">
        <f ca="1">((D99-C99)/(365.25/12)*F3)+C102+F102+I102+K102+M102+O102+Q102+S102+AE106</f>
        <v>13303.125999999997</v>
      </c>
      <c r="L99" s="2253"/>
      <c r="M99" s="1472" t="s">
        <v>1135</v>
      </c>
      <c r="N99" s="1470"/>
      <c r="O99" s="1471"/>
      <c r="P99" s="1189">
        <f ca="1">K99/AH98</f>
        <v>0.28004222802290324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7.1</v>
      </c>
      <c r="AH99" s="1226">
        <f>AVERAGE(AH9:AH97)</f>
        <v>2332.6304347826085</v>
      </c>
      <c r="AI99" s="150"/>
      <c r="AJ99" s="150"/>
      <c r="AM99" s="1476"/>
      <c r="AN99" s="1475"/>
      <c r="AO99" s="1485"/>
      <c r="AP99" s="1466"/>
      <c r="AQ99" s="319"/>
    </row>
    <row r="100" spans="1:46" s="561" customFormat="1" x14ac:dyDescent="0.25">
      <c r="A100" s="1178" t="s">
        <v>877</v>
      </c>
      <c r="B100" s="1179"/>
      <c r="C100" s="1180">
        <f ca="1">C102/$AH$98</f>
        <v>8.493158470865611E-2</v>
      </c>
      <c r="D100" s="2252" t="s">
        <v>879</v>
      </c>
      <c r="E100" s="2246"/>
      <c r="F100" s="1180">
        <f ca="1">F102/$AH$98</f>
        <v>-4.7006567867969012E-3</v>
      </c>
      <c r="G100" s="2252" t="s">
        <v>881</v>
      </c>
      <c r="H100" s="2246"/>
      <c r="I100" s="1180">
        <f ca="1">I102/$AH$98</f>
        <v>2.3379083866621759E-3</v>
      </c>
      <c r="J100" s="1181" t="s">
        <v>898</v>
      </c>
      <c r="K100" s="1180">
        <f ca="1">K102/$AH$98</f>
        <v>1.2322330751094641E-3</v>
      </c>
      <c r="L100" s="1181" t="s">
        <v>883</v>
      </c>
      <c r="M100" s="1180">
        <f ca="1">M102/$AH$98</f>
        <v>4.1537554732233089E-3</v>
      </c>
      <c r="N100" s="1181" t="s">
        <v>908</v>
      </c>
      <c r="O100" s="1180">
        <f ca="1">O102/$AH$98</f>
        <v>2.1050858875042103E-3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0.18829824856854155</v>
      </c>
      <c r="T100" s="2252" t="s">
        <v>886</v>
      </c>
      <c r="U100" s="2246"/>
      <c r="V100" s="1180">
        <f ca="1">V102/$AH$98</f>
        <v>0</v>
      </c>
      <c r="W100" s="2252" t="s">
        <v>912</v>
      </c>
      <c r="X100" s="2246"/>
      <c r="Y100" s="1180">
        <f ca="1">Y102/$AH$98</f>
        <v>1.6840687100033681E-3</v>
      </c>
      <c r="Z100" s="2252" t="s">
        <v>889</v>
      </c>
      <c r="AA100" s="2246"/>
      <c r="AB100" s="1180">
        <f ca="1">AB102/$AH$98</f>
        <v>0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M100" s="1478"/>
      <c r="AN100" s="1496"/>
      <c r="AO100" s="734"/>
      <c r="AP100" s="638"/>
      <c r="AQ100" s="49"/>
    </row>
    <row r="101" spans="1:46" s="561" customFormat="1" x14ac:dyDescent="0.25">
      <c r="A101" s="1192" t="s">
        <v>896</v>
      </c>
      <c r="B101" s="1193">
        <f ca="1">B102/AH98*100</f>
        <v>6.6983411923206466</v>
      </c>
      <c r="C101" s="1183">
        <f ca="1">C100/$F$99</f>
        <v>0.30328134906036375</v>
      </c>
      <c r="D101" s="1184"/>
      <c r="E101" s="1185"/>
      <c r="F101" s="1183">
        <f ca="1">F100/$F$99</f>
        <v>-1.6785528453988938E-2</v>
      </c>
      <c r="G101" s="1184"/>
      <c r="H101" s="1185"/>
      <c r="I101" s="1183">
        <f ca="1">I100/$F$99</f>
        <v>8.3484137487685236E-3</v>
      </c>
      <c r="J101" s="1243">
        <f ca="1">COUNTIFS(J9:J97,"&gt;="&amp;$C$99,J9:J97,"&lt;=" &amp;$D$99)</f>
        <v>9</v>
      </c>
      <c r="K101" s="1183">
        <f ca="1">K100/$F$99</f>
        <v>4.4001688024303456E-3</v>
      </c>
      <c r="L101" s="1184"/>
      <c r="M101" s="1183">
        <f ca="1">M100/$F$99</f>
        <v>1.4832604006005813E-2</v>
      </c>
      <c r="N101" s="1184"/>
      <c r="O101" s="1183">
        <f ca="1">O100/$F$99</f>
        <v>7.5170302077872545E-3</v>
      </c>
      <c r="P101" s="1184"/>
      <c r="Q101" s="1183">
        <f ca="1">Q100/$F$99</f>
        <v>0</v>
      </c>
      <c r="R101" s="1184"/>
      <c r="S101" s="1183">
        <f ca="1">S100/$F$99</f>
        <v>0.67239233846240343</v>
      </c>
      <c r="T101" s="1184"/>
      <c r="U101" s="1185"/>
      <c r="V101" s="1183">
        <f ca="1">V100/$F$99</f>
        <v>0</v>
      </c>
      <c r="W101" s="1184"/>
      <c r="X101" s="1185"/>
      <c r="Y101" s="1183">
        <f ca="1">Y100/$F$99</f>
        <v>6.0136241662298029E-3</v>
      </c>
      <c r="Z101" s="1184"/>
      <c r="AA101" s="1185"/>
      <c r="AB101" s="1183">
        <f ca="1">AB100/$F$99</f>
        <v>0</v>
      </c>
      <c r="AC101" s="1184"/>
      <c r="AD101" s="1185"/>
      <c r="AE101" s="1183">
        <f ca="1">AE100/$F$99</f>
        <v>0</v>
      </c>
      <c r="AF101" s="1217"/>
      <c r="AG101" s="1"/>
      <c r="AH101" s="5"/>
      <c r="AM101" s="1478"/>
      <c r="AN101" s="1496"/>
      <c r="AO101" s="734"/>
      <c r="AP101" s="638"/>
    </row>
    <row r="102" spans="1:46" x14ac:dyDescent="0.25">
      <c r="A102" s="1191" t="s">
        <v>878</v>
      </c>
      <c r="B102" s="1196">
        <f ca="1">SUMIFS($B$9:$B$97,$A$9:$A$97,"&gt;="&amp;$C99,$A$9:$A$97,"&lt;="&amp;$D99)</f>
        <v>3181.98</v>
      </c>
      <c r="C102" s="1197">
        <f ca="1">SUMIFS($C$9:$C$97,$A$9:$A$97,"&gt;="&amp;$C99,$A$9:$A$97,"&lt;="&amp;$D99)</f>
        <v>4034.5899999999997</v>
      </c>
      <c r="D102" s="2251" t="s">
        <v>880</v>
      </c>
      <c r="E102" s="2250"/>
      <c r="F102" s="1197">
        <f ca="1">SUMIFS($F$9:$F$97,$D$9:$D$97,"&gt;="&amp;$C99,$D$9:$D$97,"&lt;="&amp;$D99)</f>
        <v>-223.3</v>
      </c>
      <c r="G102" s="2251" t="s">
        <v>882</v>
      </c>
      <c r="H102" s="2250"/>
      <c r="I102" s="1197">
        <f ca="1">SUMIFS($I$9:$I$97,$G$9:$G$97,"&gt;="&amp;$C99,$G$9:$G$97,"&lt;="&amp;$D99)</f>
        <v>111.06</v>
      </c>
      <c r="J102" s="1157" t="s">
        <v>899</v>
      </c>
      <c r="K102" s="1158">
        <f ca="1">SUMIFS(K9:K97,J9:J97,"&gt;="&amp;$C99,J9:J97,"&lt;="&amp;$D99)</f>
        <v>58.535999999999987</v>
      </c>
      <c r="L102" s="1157" t="s">
        <v>884</v>
      </c>
      <c r="M102" s="1158">
        <f ca="1">SUMIFS(M9:M97,L9:L97,"&gt;="&amp;$C99,L9:L97,"&lt;="&amp;$D99)</f>
        <v>197.32000000000008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8944.9199999999983</v>
      </c>
      <c r="T102" s="2251" t="s">
        <v>887</v>
      </c>
      <c r="U102" s="2250"/>
      <c r="V102" s="1158">
        <f ca="1">SUMIFS(V9:V97,T9:T97,"&gt;="&amp;$C99,T9:T97,"&lt;="&amp;$D99)</f>
        <v>0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0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M102" s="1478"/>
      <c r="AN102" s="1496"/>
      <c r="AO102" s="734"/>
      <c r="AP102" s="638"/>
      <c r="AQ102" s="561"/>
    </row>
    <row r="103" spans="1:46" x14ac:dyDescent="0.25">
      <c r="A103" s="1194" t="s">
        <v>897</v>
      </c>
      <c r="B103" s="1195"/>
      <c r="C103" s="1203">
        <f ca="1">C100-C6</f>
        <v>-2.4030782797124922E-3</v>
      </c>
      <c r="D103" s="1205" t="s">
        <v>897</v>
      </c>
      <c r="E103" s="1195"/>
      <c r="F103" s="1206">
        <f ca="1">F100-F6</f>
        <v>-3.7443528144307527E-3</v>
      </c>
      <c r="G103" s="1204" t="s">
        <v>897</v>
      </c>
      <c r="H103" s="1195"/>
      <c r="I103" s="1203">
        <f ca="1">I100-I6</f>
        <v>-1.7541468810407601E-3</v>
      </c>
      <c r="J103" s="1205" t="s">
        <v>897</v>
      </c>
      <c r="K103" s="1206">
        <f ca="1">K100-K6</f>
        <v>-7.443990492428667E-4</v>
      </c>
      <c r="L103" s="1204" t="s">
        <v>897</v>
      </c>
      <c r="M103" s="1203">
        <f ca="1">M100-M6</f>
        <v>-1.3146383091601037E-3</v>
      </c>
      <c r="N103" s="1205" t="s">
        <v>897</v>
      </c>
      <c r="O103" s="1206">
        <f ca="1">O100-O6</f>
        <v>3.7797017075118797E-4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1.9149543905329108E-2</v>
      </c>
      <c r="T103" s="1205" t="s">
        <v>897</v>
      </c>
      <c r="U103" s="1195"/>
      <c r="V103" s="1206">
        <f ca="1">V100-V6</f>
        <v>0</v>
      </c>
      <c r="W103" s="1205" t="s">
        <v>897</v>
      </c>
      <c r="X103" s="1195"/>
      <c r="Y103" s="1206">
        <f ca="1">Y100-Y6</f>
        <v>3.023761366009502E-4</v>
      </c>
      <c r="Z103" s="1205" t="s">
        <v>897</v>
      </c>
      <c r="AA103" s="1195"/>
      <c r="AB103" s="1206">
        <f ca="1">AB100-AB6</f>
        <v>0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</row>
    <row r="104" spans="1:46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1.6840687100033681E-3</v>
      </c>
      <c r="AI104" s="1"/>
      <c r="AJ104" s="1"/>
    </row>
    <row r="105" spans="1:46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6.0136241662298029E-3</v>
      </c>
      <c r="AI105" s="1"/>
      <c r="AJ105" s="1"/>
    </row>
    <row r="106" spans="1:46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80</v>
      </c>
      <c r="AF106" s="618"/>
      <c r="AH106" s="829"/>
      <c r="AM106" s="1476"/>
      <c r="AN106" s="1475"/>
      <c r="AO106" s="1485"/>
      <c r="AP106" s="1466"/>
      <c r="AQ106"/>
    </row>
    <row r="107" spans="1:46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M107" s="1479"/>
      <c r="AN107" s="1497"/>
      <c r="AO107" s="1486"/>
      <c r="AP107" s="1491"/>
      <c r="AQ107" s="828"/>
    </row>
    <row r="108" spans="1:46" s="800" customFormat="1" x14ac:dyDescent="0.25">
      <c r="A108" s="799">
        <v>43664</v>
      </c>
      <c r="B108" s="750" t="s">
        <v>680</v>
      </c>
      <c r="C108" s="750"/>
      <c r="D108" s="750" t="s">
        <v>681</v>
      </c>
      <c r="E108" s="776">
        <v>46042</v>
      </c>
      <c r="F108" s="918">
        <v>66.39</v>
      </c>
      <c r="G108" s="750" t="s">
        <v>682</v>
      </c>
      <c r="J108" s="764"/>
      <c r="L108" s="801"/>
      <c r="M108" s="802"/>
      <c r="N108" s="802"/>
      <c r="AM108" s="1480"/>
      <c r="AN108" s="1498"/>
      <c r="AO108" s="1487"/>
      <c r="AP108" s="1492"/>
    </row>
    <row r="109" spans="1:46" s="800" customFormat="1" x14ac:dyDescent="0.25">
      <c r="A109" s="799">
        <v>43696</v>
      </c>
      <c r="B109" s="750" t="s">
        <v>376</v>
      </c>
      <c r="C109" s="750"/>
      <c r="D109" s="750" t="s">
        <v>767</v>
      </c>
      <c r="E109" s="776">
        <v>46088</v>
      </c>
      <c r="F109" s="918">
        <v>23.02</v>
      </c>
      <c r="G109" s="750" t="s">
        <v>768</v>
      </c>
      <c r="J109" s="764"/>
      <c r="L109" s="801"/>
      <c r="M109" s="802"/>
      <c r="N109" s="802"/>
      <c r="AM109" s="1480"/>
      <c r="AN109" s="1498"/>
      <c r="AO109" s="1487"/>
      <c r="AP109" s="1492"/>
    </row>
    <row r="110" spans="1:46" s="800" customFormat="1" x14ac:dyDescent="0.25">
      <c r="A110" s="799">
        <v>43817</v>
      </c>
      <c r="B110" s="750" t="s">
        <v>376</v>
      </c>
      <c r="C110" s="750"/>
      <c r="D110" s="750" t="s">
        <v>734</v>
      </c>
      <c r="E110" s="776">
        <v>59776</v>
      </c>
      <c r="F110" s="918">
        <v>23.15</v>
      </c>
      <c r="G110" s="750" t="s">
        <v>378</v>
      </c>
      <c r="J110" s="764"/>
      <c r="L110" s="801"/>
      <c r="M110" s="802"/>
      <c r="N110" s="802"/>
      <c r="AM110" s="1480"/>
      <c r="AN110" s="1498"/>
      <c r="AO110" s="1487"/>
      <c r="AP110" s="1492"/>
    </row>
    <row r="111" spans="1:46" s="828" customFormat="1" x14ac:dyDescent="0.25">
      <c r="A111" s="827">
        <v>44124</v>
      </c>
      <c r="B111" s="537" t="s">
        <v>376</v>
      </c>
      <c r="C111" s="537"/>
      <c r="D111" s="537" t="s">
        <v>1245</v>
      </c>
      <c r="E111" s="596">
        <v>84762</v>
      </c>
      <c r="F111" s="751">
        <v>74.709999999999994</v>
      </c>
      <c r="G111" s="537" t="s">
        <v>1244</v>
      </c>
      <c r="I111" s="537" t="s">
        <v>1246</v>
      </c>
      <c r="J111" s="618"/>
      <c r="L111" s="829"/>
      <c r="M111" s="830"/>
      <c r="N111" s="830"/>
      <c r="S111" s="1691"/>
      <c r="T111" s="596"/>
      <c r="U111" s="596"/>
      <c r="V111" s="1692"/>
      <c r="W111" s="596"/>
      <c r="AM111" s="1479"/>
      <c r="AN111" s="1497"/>
      <c r="AO111" s="1486"/>
      <c r="AP111" s="1491"/>
      <c r="AQ111" s="1693"/>
      <c r="AR111" s="600"/>
      <c r="AS111" s="600"/>
      <c r="AT111" s="600"/>
    </row>
    <row r="112" spans="1:46" s="828" customFormat="1" x14ac:dyDescent="0.25">
      <c r="A112" s="827">
        <v>44186</v>
      </c>
      <c r="B112" s="537" t="s">
        <v>376</v>
      </c>
      <c r="C112" s="537"/>
      <c r="D112" s="537" t="s">
        <v>1265</v>
      </c>
      <c r="E112" s="596">
        <v>85493</v>
      </c>
      <c r="F112" s="751">
        <v>101.59</v>
      </c>
      <c r="G112" s="537" t="s">
        <v>378</v>
      </c>
      <c r="I112" s="537" t="s">
        <v>1267</v>
      </c>
      <c r="J112" s="618"/>
      <c r="L112" s="829"/>
      <c r="M112" s="830"/>
      <c r="N112" s="830"/>
      <c r="S112" s="1691"/>
      <c r="T112" s="596"/>
      <c r="U112" s="596"/>
      <c r="V112" s="1692"/>
      <c r="W112" s="596"/>
      <c r="AM112" s="1479"/>
      <c r="AN112" s="1497"/>
      <c r="AO112" s="1486"/>
      <c r="AP112" s="1491"/>
      <c r="AQ112" s="1693"/>
      <c r="AR112" s="600"/>
      <c r="AS112" s="600"/>
      <c r="AT112" s="600"/>
    </row>
    <row r="113" spans="1:43" s="800" customFormat="1" x14ac:dyDescent="0.25">
      <c r="A113" s="799">
        <v>44571</v>
      </c>
      <c r="B113" s="750" t="s">
        <v>1527</v>
      </c>
      <c r="C113" s="750"/>
      <c r="D113" s="750" t="s">
        <v>1528</v>
      </c>
      <c r="E113" s="776"/>
      <c r="F113" s="918">
        <v>-399.6</v>
      </c>
      <c r="G113" s="750" t="s">
        <v>1529</v>
      </c>
      <c r="I113" s="800" t="s">
        <v>1530</v>
      </c>
      <c r="J113" s="764"/>
      <c r="L113" s="801"/>
      <c r="M113" s="802"/>
      <c r="N113" s="802"/>
      <c r="AM113" s="1480"/>
      <c r="AN113" s="1498"/>
      <c r="AO113" s="1487"/>
      <c r="AP113" s="1492"/>
    </row>
    <row r="114" spans="1:43" s="7" customFormat="1" x14ac:dyDescent="0.25">
      <c r="A114" s="799"/>
      <c r="B114" s="750"/>
      <c r="C114" s="750"/>
      <c r="D114" s="750"/>
      <c r="E114" s="776"/>
      <c r="F114" s="918"/>
      <c r="G114" s="750"/>
      <c r="J114" s="918"/>
      <c r="L114" s="776"/>
      <c r="M114" s="909"/>
      <c r="N114" s="909"/>
      <c r="O114" s="909"/>
      <c r="AM114" s="1481"/>
      <c r="AN114" s="1499"/>
      <c r="AO114" s="143"/>
      <c r="AP114" s="1493"/>
    </row>
    <row r="115" spans="1:43" s="7" customFormat="1" x14ac:dyDescent="0.25">
      <c r="A115" s="799"/>
      <c r="B115" s="750"/>
      <c r="C115" s="750"/>
      <c r="D115" s="750"/>
      <c r="E115" s="776"/>
      <c r="F115" s="918"/>
      <c r="G115" s="750"/>
      <c r="J115" s="918"/>
      <c r="L115" s="776"/>
      <c r="M115" s="909"/>
      <c r="N115" s="909"/>
      <c r="O115" s="909"/>
      <c r="AM115" s="1481"/>
      <c r="AN115" s="1499"/>
      <c r="AO115" s="143"/>
      <c r="AP115" s="1493"/>
    </row>
    <row r="116" spans="1:43" s="7" customFormat="1" x14ac:dyDescent="0.25">
      <c r="A116" s="799"/>
      <c r="B116" s="750"/>
      <c r="C116" s="750"/>
      <c r="D116" s="750"/>
      <c r="E116" s="776"/>
      <c r="F116" s="918"/>
      <c r="G116" s="750"/>
      <c r="H116" s="800"/>
      <c r="I116" s="800"/>
      <c r="J116" s="764"/>
      <c r="K116" s="800"/>
      <c r="L116" s="801"/>
      <c r="M116" s="802"/>
      <c r="N116" s="776"/>
      <c r="O116" s="909"/>
      <c r="P116" s="909"/>
      <c r="AM116" s="1481"/>
      <c r="AN116" s="1499"/>
      <c r="AO116" s="143"/>
      <c r="AP116" s="1493"/>
    </row>
    <row r="117" spans="1:43" s="7" customFormat="1" x14ac:dyDescent="0.25">
      <c r="A117" s="799"/>
      <c r="B117" s="750"/>
      <c r="C117" s="750"/>
      <c r="D117" s="750"/>
      <c r="E117" s="776"/>
      <c r="F117" s="918"/>
      <c r="G117" s="750"/>
      <c r="H117" s="800"/>
      <c r="I117" s="800"/>
      <c r="J117" s="764"/>
      <c r="K117" s="800"/>
      <c r="L117" s="801"/>
      <c r="M117" s="802"/>
      <c r="N117" s="776"/>
      <c r="O117" s="909"/>
      <c r="P117" s="909"/>
      <c r="AM117" s="1481"/>
      <c r="AN117" s="1499"/>
      <c r="AO117" s="143"/>
      <c r="AP117" s="1493"/>
    </row>
    <row r="118" spans="1:43" s="600" customFormat="1" x14ac:dyDescent="0.25">
      <c r="A118" s="827"/>
      <c r="B118" s="537"/>
      <c r="C118" s="537"/>
      <c r="D118" s="537"/>
      <c r="E118" s="596"/>
      <c r="F118" s="751"/>
      <c r="G118" s="537"/>
      <c r="H118" s="828"/>
      <c r="I118" s="828"/>
      <c r="J118" s="618"/>
      <c r="K118" s="828"/>
      <c r="L118" s="829"/>
      <c r="M118" s="830"/>
      <c r="N118" s="596"/>
      <c r="O118" s="597"/>
      <c r="P118" s="597"/>
      <c r="AM118" s="1481"/>
      <c r="AN118" s="1499"/>
      <c r="AO118" s="143"/>
      <c r="AP118" s="1493"/>
      <c r="AQ118" s="7"/>
    </row>
    <row r="119" spans="1:43" x14ac:dyDescent="0.25">
      <c r="E119" s="57"/>
      <c r="I119" s="6"/>
      <c r="AM119" s="1482"/>
      <c r="AN119" s="1500"/>
      <c r="AO119" s="1488"/>
      <c r="AP119" s="1494"/>
      <c r="AQ119" s="600"/>
    </row>
    <row r="120" spans="1:43" x14ac:dyDescent="0.25">
      <c r="E120" s="57"/>
      <c r="I120" s="476"/>
    </row>
    <row r="121" spans="1:43" x14ac:dyDescent="0.25">
      <c r="E121" s="57"/>
      <c r="I121" s="476"/>
    </row>
  </sheetData>
  <sortState ref="G9:I18">
    <sortCondition ref="G9:G18"/>
  </sortState>
  <mergeCells count="44"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  <mergeCell ref="Z8:AA8"/>
    <mergeCell ref="AC8:AD8"/>
    <mergeCell ref="D100:E100"/>
    <mergeCell ref="G100:H100"/>
    <mergeCell ref="T100:U100"/>
    <mergeCell ref="W100:X100"/>
    <mergeCell ref="Z100:AA100"/>
    <mergeCell ref="K99:L99"/>
    <mergeCell ref="T5:AD5"/>
    <mergeCell ref="D6:E6"/>
    <mergeCell ref="G6:H6"/>
    <mergeCell ref="T6:U6"/>
    <mergeCell ref="W6:X6"/>
    <mergeCell ref="Z6:AA6"/>
    <mergeCell ref="H1:I1"/>
    <mergeCell ref="AJ1:AJ7"/>
    <mergeCell ref="D2:F2"/>
    <mergeCell ref="I2:J2"/>
    <mergeCell ref="B3:C3"/>
    <mergeCell ref="G3:H3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</mergeCells>
  <conditionalFormatting sqref="AL9:AL44 AL97:AL98">
    <cfRule type="cellIs" dxfId="167" priority="10" operator="greaterThan">
      <formula>0</formula>
    </cfRule>
    <cfRule type="cellIs" dxfId="166" priority="11" operator="lessThan">
      <formula>0</formula>
    </cfRule>
  </conditionalFormatting>
  <conditionalFormatting sqref="AF9:AF96">
    <cfRule type="cellIs" dxfId="165" priority="12" operator="lessThan">
      <formula>$AF$98</formula>
    </cfRule>
    <cfRule type="cellIs" dxfId="164" priority="13" operator="greaterThan">
      <formula>$AF$98</formula>
    </cfRule>
  </conditionalFormatting>
  <conditionalFormatting sqref="AG9:AG96">
    <cfRule type="cellIs" dxfId="163" priority="14" operator="equal">
      <formula>$AG$99</formula>
    </cfRule>
    <cfRule type="cellIs" dxfId="162" priority="15" operator="lessThan">
      <formula>$AG$98</formula>
    </cfRule>
    <cfRule type="cellIs" dxfId="161" priority="16" operator="greaterThan">
      <formula>$AG$98</formula>
    </cfRule>
  </conditionalFormatting>
  <conditionalFormatting sqref="AL45:AL96">
    <cfRule type="cellIs" dxfId="160" priority="8" operator="greaterThan">
      <formula>0</formula>
    </cfRule>
    <cfRule type="cellIs" dxfId="159" priority="9" operator="lessThan">
      <formula>0</formula>
    </cfRule>
  </conditionalFormatting>
  <conditionalFormatting sqref="AP58">
    <cfRule type="cellIs" dxfId="158" priority="1" operator="lessThan">
      <formula>0</formula>
    </cfRule>
  </conditionalFormatting>
  <conditionalFormatting sqref="AP10:AP57">
    <cfRule type="cellIs" dxfId="157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tabColor rgb="FF92D050"/>
  </sheetPr>
  <dimension ref="A1:AM122"/>
  <sheetViews>
    <sheetView workbookViewId="0">
      <pane xSplit="1" ySplit="8" topLeftCell="B9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62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6.5" style="51" customWidth="1"/>
    <col min="25" max="25" width="10.375" style="51" customWidth="1"/>
    <col min="26" max="26" width="9.125" style="478" customWidth="1"/>
    <col min="27" max="27" width="16.625" style="478" customWidth="1"/>
    <col min="28" max="28" width="10.375" style="51" customWidth="1"/>
    <col min="29" max="29" width="9.125" style="478" customWidth="1"/>
    <col min="30" max="30" width="16.6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7" width="10.75" style="61" customWidth="1"/>
    <col min="38" max="16384" width="9" style="1"/>
  </cols>
  <sheetData>
    <row r="1" spans="1:39" s="1165" customFormat="1" ht="18.75" customHeight="1" x14ac:dyDescent="0.25">
      <c r="A1" s="1166" t="s">
        <v>393</v>
      </c>
      <c r="B1" s="2288" t="s">
        <v>1037</v>
      </c>
      <c r="C1" s="2288"/>
      <c r="D1" s="2288"/>
      <c r="E1" s="2288"/>
      <c r="F1" s="2288"/>
      <c r="G1" s="2288"/>
      <c r="H1" s="2288"/>
      <c r="I1" s="2288"/>
      <c r="J1" s="2289"/>
      <c r="K1" s="1164"/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57" t="s">
        <v>171</v>
      </c>
      <c r="AK1" s="2258"/>
    </row>
    <row r="2" spans="1:39" s="561" customFormat="1" x14ac:dyDescent="0.25">
      <c r="A2" s="1167" t="s">
        <v>927</v>
      </c>
      <c r="B2" s="1251">
        <v>43348</v>
      </c>
      <c r="C2" s="1251">
        <v>43348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59"/>
      <c r="AK2" s="2260"/>
    </row>
    <row r="3" spans="1:39" s="561" customFormat="1" x14ac:dyDescent="0.25">
      <c r="A3" s="1167" t="s">
        <v>870</v>
      </c>
      <c r="B3" s="2264">
        <v>1315</v>
      </c>
      <c r="C3" s="2264"/>
      <c r="D3" s="1400" t="s">
        <v>874</v>
      </c>
      <c r="E3" s="1169"/>
      <c r="F3" s="1175">
        <f ca="1">B3/G2/12</f>
        <v>7.9163988330696204</v>
      </c>
      <c r="G3" s="2267" t="s">
        <v>77</v>
      </c>
      <c r="H3" s="2267"/>
      <c r="I3" s="1401">
        <f ca="1">B3/G2/365.25</f>
        <v>0.26008702531645567</v>
      </c>
      <c r="J3" s="1171">
        <f ca="1">I3/$F$5</f>
        <v>0.87932221977037328</v>
      </c>
      <c r="K3" s="1375"/>
      <c r="L3" s="645"/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 ca="1">AE5/$G$2/365.25</f>
        <v>4.0486550632911388E-3</v>
      </c>
      <c r="AF3" s="2270"/>
      <c r="AG3" s="2273"/>
      <c r="AH3" s="2276"/>
      <c r="AI3" s="2280"/>
      <c r="AJ3" s="2259"/>
      <c r="AK3" s="2260"/>
    </row>
    <row r="4" spans="1:39" s="561" customFormat="1" ht="19.5" thickBot="1" x14ac:dyDescent="0.3">
      <c r="A4" s="1167" t="s">
        <v>869</v>
      </c>
      <c r="B4" s="2283">
        <v>0</v>
      </c>
      <c r="C4" s="2283"/>
      <c r="D4" s="2284" t="s">
        <v>872</v>
      </c>
      <c r="E4" s="2285"/>
      <c r="F4" s="1221">
        <v>0</v>
      </c>
      <c r="G4" s="1172" t="s">
        <v>876</v>
      </c>
      <c r="H4" s="1376"/>
      <c r="I4" s="1377">
        <f>F4-B4</f>
        <v>0</v>
      </c>
      <c r="J4" s="1378">
        <f ca="1">I3/F99</f>
        <v>0.77498538795140892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1.3688004440075697E-2</v>
      </c>
      <c r="AF4" s="2270"/>
      <c r="AG4" s="2273"/>
      <c r="AH4" s="2276"/>
      <c r="AI4" s="2280"/>
      <c r="AJ4" s="2259"/>
      <c r="AK4" s="2260"/>
    </row>
    <row r="5" spans="1:39" s="561" customFormat="1" ht="19.5" thickBot="1" x14ac:dyDescent="0.3">
      <c r="A5" s="2286" t="s">
        <v>1034</v>
      </c>
      <c r="B5" s="2287"/>
      <c r="C5" s="2287"/>
      <c r="D5" s="2287"/>
      <c r="E5" s="1469" t="s">
        <v>1127</v>
      </c>
      <c r="F5" s="1216">
        <f ca="1">I3+C6+F6+I6+K6+M6+O6+Q6+S6+V6+Y6+AB6+AE6</f>
        <v>0.29578124999999994</v>
      </c>
      <c r="G5" s="1211">
        <f ca="1">J3+C7+F7+I7+K7+M7+O7+Q7+S7+V7+Y7+AB7+AE7</f>
        <v>1.0000000000000002</v>
      </c>
      <c r="H5" s="1380">
        <f>B3+C8+F8+I8+K8+M8+O8+Q8+S8+AE5</f>
        <v>1495.47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20.47</v>
      </c>
      <c r="AF5" s="2270"/>
      <c r="AG5" s="2273"/>
      <c r="AH5" s="2276"/>
      <c r="AI5" s="2280"/>
      <c r="AJ5" s="2259"/>
      <c r="AK5" s="2260"/>
    </row>
    <row r="6" spans="1:39" s="561" customFormat="1" x14ac:dyDescent="0.25">
      <c r="A6" s="1178" t="s">
        <v>1022</v>
      </c>
      <c r="B6" s="1179"/>
      <c r="C6" s="1180">
        <v>0</v>
      </c>
      <c r="D6" s="2252" t="s">
        <v>1023</v>
      </c>
      <c r="E6" s="2246"/>
      <c r="F6" s="1180">
        <f ca="1">F8/$G$2/365.25</f>
        <v>0</v>
      </c>
      <c r="G6" s="2252" t="s">
        <v>1024</v>
      </c>
      <c r="H6" s="2254"/>
      <c r="I6" s="1180">
        <f ca="1">I8/$G$2/365.25</f>
        <v>2.0767405063291139E-2</v>
      </c>
      <c r="J6" s="1184" t="s">
        <v>1025</v>
      </c>
      <c r="K6" s="1180">
        <f ca="1">K8/$G$2/365.25</f>
        <v>9.8892405063291146E-4</v>
      </c>
      <c r="L6" s="1181" t="s">
        <v>1026</v>
      </c>
      <c r="M6" s="1180">
        <f ca="1">M8/$G$2/365.25</f>
        <v>0</v>
      </c>
      <c r="N6" s="1181" t="s">
        <v>1027</v>
      </c>
      <c r="O6" s="1180">
        <f ca="1">O8/$G$2/365.25</f>
        <v>9.8892405063291146E-3</v>
      </c>
      <c r="P6" s="1181" t="s">
        <v>1028</v>
      </c>
      <c r="Q6" s="1180">
        <f ca="1">Q8/$G$2/365.25</f>
        <v>0</v>
      </c>
      <c r="R6" s="1181" t="s">
        <v>1029</v>
      </c>
      <c r="S6" s="1180">
        <f ca="1">S8/$G$2/365.25</f>
        <v>0</v>
      </c>
      <c r="T6" s="2252" t="s">
        <v>1030</v>
      </c>
      <c r="U6" s="2246"/>
      <c r="V6" s="1180">
        <f ca="1">V8/$G$2/365.25</f>
        <v>4.0486550632911388E-3</v>
      </c>
      <c r="W6" s="2252" t="s">
        <v>1031</v>
      </c>
      <c r="X6" s="2246"/>
      <c r="Y6" s="1180">
        <f ca="1">Y8/$G$2/365.25</f>
        <v>0</v>
      </c>
      <c r="Z6" s="2252" t="s">
        <v>1032</v>
      </c>
      <c r="AA6" s="2246"/>
      <c r="AB6" s="1180">
        <f ca="1">AB8/$G$2/365.25</f>
        <v>0</v>
      </c>
      <c r="AC6" s="2252" t="s">
        <v>1033</v>
      </c>
      <c r="AD6" s="2246"/>
      <c r="AE6" s="1180">
        <f ca="1">AE8/$G$2/365.25</f>
        <v>0</v>
      </c>
      <c r="AF6" s="2269"/>
      <c r="AG6" s="2273"/>
      <c r="AH6" s="2277"/>
      <c r="AI6" s="2281"/>
      <c r="AJ6" s="2259"/>
      <c r="AK6" s="2260"/>
    </row>
    <row r="7" spans="1:39" s="561" customFormat="1" x14ac:dyDescent="0.25">
      <c r="A7" s="1192" t="s">
        <v>896</v>
      </c>
      <c r="B7" s="1193">
        <v>0</v>
      </c>
      <c r="C7" s="1183">
        <v>0</v>
      </c>
      <c r="D7" s="1184"/>
      <c r="E7" s="1185"/>
      <c r="F7" s="1183">
        <f ca="1">F6/$F$5</f>
        <v>0</v>
      </c>
      <c r="G7" s="1184"/>
      <c r="H7" s="1185"/>
      <c r="I7" s="1183">
        <f ca="1">I6/$F$5</f>
        <v>7.0212040361892936E-2</v>
      </c>
      <c r="J7" s="1243">
        <f>COUNT(J9:J97)</f>
        <v>2</v>
      </c>
      <c r="K7" s="1183">
        <f ca="1">K6/$F$5</f>
        <v>3.3434304934234732E-3</v>
      </c>
      <c r="L7" s="1184"/>
      <c r="M7" s="1183">
        <f ca="1">M6/$F$5</f>
        <v>0</v>
      </c>
      <c r="N7" s="1184"/>
      <c r="O7" s="1183">
        <f ca="1">O6/$F$5</f>
        <v>3.3434304934234729E-2</v>
      </c>
      <c r="P7" s="1184"/>
      <c r="Q7" s="1183">
        <f ca="1">Q6/$F$5</f>
        <v>0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1.3688004440075697E-2</v>
      </c>
      <c r="W7" s="1184"/>
      <c r="X7" s="1185"/>
      <c r="Y7" s="1183">
        <f ca="1">Y6/$F$5</f>
        <v>0</v>
      </c>
      <c r="Z7" s="1184"/>
      <c r="AA7" s="1185"/>
      <c r="AB7" s="1183">
        <f ca="1">AB6/$F$5</f>
        <v>0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61"/>
      <c r="AK7" s="2262"/>
    </row>
    <row r="8" spans="1:39" x14ac:dyDescent="0.25">
      <c r="A8" s="1191" t="s">
        <v>878</v>
      </c>
      <c r="B8" s="1220">
        <f>SUM(B9:B97)</f>
        <v>0</v>
      </c>
      <c r="C8" s="1156">
        <f>SUM(C9:C97)</f>
        <v>0</v>
      </c>
      <c r="D8" s="2251" t="s">
        <v>880</v>
      </c>
      <c r="E8" s="2250"/>
      <c r="F8" s="1158">
        <f>SUM(F9:F97)</f>
        <v>0</v>
      </c>
      <c r="G8" s="2251" t="s">
        <v>882</v>
      </c>
      <c r="H8" s="2250"/>
      <c r="I8" s="1158">
        <f>SUM(I9:I97)</f>
        <v>105</v>
      </c>
      <c r="J8" s="1157" t="s">
        <v>899</v>
      </c>
      <c r="K8" s="1158">
        <f>SUM(K9:K97)</f>
        <v>5</v>
      </c>
      <c r="L8" s="1157" t="s">
        <v>884</v>
      </c>
      <c r="M8" s="1158">
        <f>SUM(M9:M97)</f>
        <v>0</v>
      </c>
      <c r="N8" s="1157" t="s">
        <v>909</v>
      </c>
      <c r="O8" s="1158">
        <f>SUM(O9:O97)</f>
        <v>50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0</v>
      </c>
      <c r="T8" s="2251" t="s">
        <v>887</v>
      </c>
      <c r="U8" s="2250"/>
      <c r="V8" s="1158">
        <f>SUM(V9:V97)</f>
        <v>20.47</v>
      </c>
      <c r="W8" s="2251" t="s">
        <v>913</v>
      </c>
      <c r="X8" s="2250"/>
      <c r="Y8" s="1158">
        <f>SUM(Y9:Y97)</f>
        <v>0</v>
      </c>
      <c r="Z8" s="2251" t="s">
        <v>890</v>
      </c>
      <c r="AA8" s="2250"/>
      <c r="AB8" s="1158">
        <f>SUM(AB9:AB97)</f>
        <v>0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832">
        <f>SUM(AJ9:AJ97)</f>
        <v>0</v>
      </c>
      <c r="AK8" s="833">
        <f>SUM(AK9:AK97)</f>
        <v>0</v>
      </c>
      <c r="AL8" s="54" t="e">
        <f>SUM(C9:C97)/SUM(B9:B97)</f>
        <v>#DIV/0!</v>
      </c>
    </row>
    <row r="9" spans="1:39" x14ac:dyDescent="0.25">
      <c r="A9" s="64"/>
      <c r="B9" s="65"/>
      <c r="C9" s="66"/>
      <c r="D9" s="67"/>
      <c r="E9" s="68"/>
      <c r="F9" s="66"/>
      <c r="G9" s="1355">
        <v>43348</v>
      </c>
      <c r="H9" s="1356" t="s">
        <v>219</v>
      </c>
      <c r="I9" s="1357">
        <v>49.5</v>
      </c>
      <c r="J9" s="69">
        <v>43564</v>
      </c>
      <c r="K9" s="66">
        <v>2.5</v>
      </c>
      <c r="L9" s="64"/>
      <c r="M9" s="66"/>
      <c r="N9" s="1152">
        <v>44428</v>
      </c>
      <c r="O9" s="66">
        <v>50</v>
      </c>
      <c r="P9" s="64"/>
      <c r="Q9" s="66"/>
      <c r="R9" s="64"/>
      <c r="S9" s="66"/>
      <c r="T9" s="1152">
        <v>43711</v>
      </c>
      <c r="U9" s="1198" t="s">
        <v>1038</v>
      </c>
      <c r="V9" s="66">
        <v>0.53</v>
      </c>
      <c r="W9" s="1152"/>
      <c r="X9" s="1198"/>
      <c r="Y9" s="66"/>
      <c r="Z9" s="1152"/>
      <c r="AA9" s="1198"/>
      <c r="AB9" s="66"/>
      <c r="AC9" s="1152"/>
      <c r="AD9" s="1198"/>
      <c r="AE9" s="66"/>
      <c r="AF9" s="1118">
        <v>3.18</v>
      </c>
      <c r="AG9" s="1119"/>
      <c r="AH9" s="1117"/>
      <c r="AI9" s="237"/>
      <c r="AJ9" s="838"/>
      <c r="AK9" s="839"/>
      <c r="AL9" s="51" t="e">
        <f t="shared" ref="AL9:AL72" si="0">C9/B9</f>
        <v>#DIV/0!</v>
      </c>
      <c r="AM9" s="51" t="e">
        <f t="shared" ref="AM9:AM72" si="1">AL9-$AL$8</f>
        <v>#DIV/0!</v>
      </c>
    </row>
    <row r="10" spans="1:39" x14ac:dyDescent="0.25">
      <c r="A10" s="71"/>
      <c r="B10" s="72"/>
      <c r="C10" s="73"/>
      <c r="D10" s="345"/>
      <c r="E10" s="346"/>
      <c r="F10" s="347"/>
      <c r="G10" s="147">
        <v>43830</v>
      </c>
      <c r="H10" s="75" t="s">
        <v>811</v>
      </c>
      <c r="I10" s="73">
        <v>55.5</v>
      </c>
      <c r="J10" s="234">
        <v>43585</v>
      </c>
      <c r="K10" s="73">
        <v>2.5</v>
      </c>
      <c r="L10" s="71"/>
      <c r="M10" s="73"/>
      <c r="N10" s="894"/>
      <c r="O10" s="73"/>
      <c r="P10" s="71"/>
      <c r="Q10" s="73"/>
      <c r="R10" s="71"/>
      <c r="S10" s="73"/>
      <c r="T10" s="147">
        <v>43374</v>
      </c>
      <c r="U10" s="1199" t="s">
        <v>956</v>
      </c>
      <c r="V10" s="73">
        <v>1</v>
      </c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0.7</v>
      </c>
      <c r="AG10" s="1113"/>
      <c r="AH10" s="1110"/>
      <c r="AI10" s="238"/>
      <c r="AJ10" s="838"/>
      <c r="AK10" s="839"/>
      <c r="AL10" s="51" t="e">
        <f t="shared" si="0"/>
        <v>#DIV/0!</v>
      </c>
      <c r="AM10" s="51" t="e">
        <f t="shared" si="1"/>
        <v>#DIV/0!</v>
      </c>
    </row>
    <row r="11" spans="1:39" x14ac:dyDescent="0.25">
      <c r="A11" s="71"/>
      <c r="B11" s="72"/>
      <c r="C11" s="73"/>
      <c r="D11" s="147"/>
      <c r="E11" s="75"/>
      <c r="F11" s="73"/>
      <c r="G11" s="147"/>
      <c r="H11" s="75"/>
      <c r="I11" s="73"/>
      <c r="J11" s="234"/>
      <c r="K11" s="73"/>
      <c r="L11" s="71"/>
      <c r="M11" s="73"/>
      <c r="N11" s="894"/>
      <c r="O11" s="73"/>
      <c r="P11" s="71"/>
      <c r="Q11" s="73"/>
      <c r="R11" s="71"/>
      <c r="S11" s="73"/>
      <c r="T11" s="894">
        <v>43466</v>
      </c>
      <c r="U11" s="1199" t="s">
        <v>957</v>
      </c>
      <c r="V11" s="73">
        <v>1.73</v>
      </c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0.7</v>
      </c>
      <c r="AG11" s="1113"/>
      <c r="AH11" s="1110"/>
      <c r="AI11" s="238"/>
      <c r="AJ11" s="838"/>
      <c r="AK11" s="839"/>
      <c r="AL11" s="51" t="e">
        <f t="shared" si="0"/>
        <v>#DIV/0!</v>
      </c>
      <c r="AM11" s="51" t="e">
        <f t="shared" si="1"/>
        <v>#DIV/0!</v>
      </c>
    </row>
    <row r="12" spans="1:39" x14ac:dyDescent="0.25">
      <c r="A12" s="71"/>
      <c r="B12" s="72"/>
      <c r="C12" s="73"/>
      <c r="D12" s="147"/>
      <c r="E12" s="75"/>
      <c r="F12" s="73"/>
      <c r="G12" s="147"/>
      <c r="H12" s="75"/>
      <c r="I12" s="73"/>
      <c r="J12" s="234"/>
      <c r="K12" s="73"/>
      <c r="L12" s="71"/>
      <c r="M12" s="73"/>
      <c r="N12" s="894"/>
      <c r="O12" s="73"/>
      <c r="P12" s="71"/>
      <c r="Q12" s="73"/>
      <c r="R12" s="71"/>
      <c r="S12" s="73"/>
      <c r="T12" s="147">
        <v>43556</v>
      </c>
      <c r="U12" s="1199" t="s">
        <v>958</v>
      </c>
      <c r="V12" s="73">
        <v>1.73</v>
      </c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0.7</v>
      </c>
      <c r="AG12" s="1113"/>
      <c r="AH12" s="1110"/>
      <c r="AI12" s="238"/>
      <c r="AJ12" s="838"/>
      <c r="AK12" s="839"/>
      <c r="AL12" s="51" t="e">
        <f t="shared" si="0"/>
        <v>#DIV/0!</v>
      </c>
      <c r="AM12" s="51" t="e">
        <f t="shared" si="1"/>
        <v>#DIV/0!</v>
      </c>
    </row>
    <row r="13" spans="1:39" x14ac:dyDescent="0.25">
      <c r="A13" s="71"/>
      <c r="B13" s="72"/>
      <c r="C13" s="73"/>
      <c r="D13" s="147"/>
      <c r="E13" s="75"/>
      <c r="F13" s="73"/>
      <c r="G13" s="147"/>
      <c r="H13" s="75"/>
      <c r="I13" s="73"/>
      <c r="J13" s="234"/>
      <c r="K13" s="73"/>
      <c r="L13" s="71"/>
      <c r="M13" s="73"/>
      <c r="N13" s="894"/>
      <c r="O13" s="73"/>
      <c r="P13" s="71"/>
      <c r="Q13" s="73"/>
      <c r="R13" s="71"/>
      <c r="S13" s="73"/>
      <c r="T13" s="894">
        <v>43647</v>
      </c>
      <c r="U13" s="1199" t="s">
        <v>959</v>
      </c>
      <c r="V13" s="73">
        <v>1.72</v>
      </c>
      <c r="W13" s="894"/>
      <c r="X13" s="1199"/>
      <c r="Y13" s="73"/>
      <c r="Z13" s="147"/>
      <c r="AA13" s="75"/>
      <c r="AB13" s="73"/>
      <c r="AC13" s="894"/>
      <c r="AD13" s="1199"/>
      <c r="AE13" s="73"/>
      <c r="AF13" s="1112">
        <v>0.50195538318893229</v>
      </c>
      <c r="AG13" s="1113"/>
      <c r="AH13" s="1110"/>
      <c r="AI13" s="238"/>
      <c r="AJ13" s="838"/>
      <c r="AK13" s="839"/>
      <c r="AL13" s="51" t="e">
        <f t="shared" si="0"/>
        <v>#DIV/0!</v>
      </c>
      <c r="AM13" s="51" t="e">
        <f t="shared" si="1"/>
        <v>#DIV/0!</v>
      </c>
    </row>
    <row r="14" spans="1:39" x14ac:dyDescent="0.25">
      <c r="A14" s="71"/>
      <c r="B14" s="72"/>
      <c r="C14" s="73"/>
      <c r="D14" s="147"/>
      <c r="E14" s="75"/>
      <c r="F14" s="73"/>
      <c r="G14" s="147"/>
      <c r="H14" s="75"/>
      <c r="I14" s="73"/>
      <c r="J14" s="234"/>
      <c r="K14" s="73"/>
      <c r="L14" s="71"/>
      <c r="M14" s="73"/>
      <c r="N14" s="894"/>
      <c r="O14" s="73"/>
      <c r="P14" s="71"/>
      <c r="Q14" s="73"/>
      <c r="R14" s="71"/>
      <c r="S14" s="73"/>
      <c r="T14" s="894">
        <v>43739</v>
      </c>
      <c r="U14" s="1199" t="s">
        <v>960</v>
      </c>
      <c r="V14" s="73">
        <v>1.72</v>
      </c>
      <c r="W14" s="894"/>
      <c r="X14" s="1199"/>
      <c r="Y14" s="73"/>
      <c r="Z14" s="894"/>
      <c r="AA14" s="1199"/>
      <c r="AB14" s="73"/>
      <c r="AC14" s="894"/>
      <c r="AD14" s="1199"/>
      <c r="AE14" s="73"/>
      <c r="AF14" s="1112">
        <v>0.50195538318893229</v>
      </c>
      <c r="AG14" s="1113"/>
      <c r="AH14" s="1110"/>
      <c r="AI14" s="238"/>
      <c r="AJ14" s="838"/>
      <c r="AK14" s="839"/>
      <c r="AL14" s="51" t="e">
        <f t="shared" si="0"/>
        <v>#DIV/0!</v>
      </c>
      <c r="AM14" s="51" t="e">
        <f t="shared" si="1"/>
        <v>#DIV/0!</v>
      </c>
    </row>
    <row r="15" spans="1:39" x14ac:dyDescent="0.25">
      <c r="A15" s="71"/>
      <c r="B15" s="72"/>
      <c r="C15" s="73"/>
      <c r="D15" s="147"/>
      <c r="E15" s="75"/>
      <c r="F15" s="73"/>
      <c r="G15" s="1162"/>
      <c r="H15" s="75"/>
      <c r="I15" s="73"/>
      <c r="J15" s="234"/>
      <c r="K15" s="73"/>
      <c r="L15" s="71"/>
      <c r="M15" s="73"/>
      <c r="N15" s="894"/>
      <c r="O15" s="73"/>
      <c r="P15" s="71"/>
      <c r="Q15" s="73"/>
      <c r="R15" s="71"/>
      <c r="S15" s="73"/>
      <c r="T15" s="894">
        <v>43808</v>
      </c>
      <c r="U15" s="1199" t="s">
        <v>961</v>
      </c>
      <c r="V15" s="73">
        <v>1.72</v>
      </c>
      <c r="W15" s="894"/>
      <c r="X15" s="1199"/>
      <c r="Y15" s="73"/>
      <c r="Z15" s="147"/>
      <c r="AA15" s="75"/>
      <c r="AB15" s="73"/>
      <c r="AC15" s="894"/>
      <c r="AD15" s="1199"/>
      <c r="AE15" s="73"/>
      <c r="AF15" s="1112">
        <f t="shared" ref="AF15:AF21" ca="1" si="2">$F$5</f>
        <v>0.29578124999999994</v>
      </c>
      <c r="AG15" s="1113"/>
      <c r="AH15" s="1110"/>
      <c r="AI15" s="238"/>
      <c r="AJ15" s="838"/>
      <c r="AK15" s="839"/>
      <c r="AL15" s="51" t="e">
        <f t="shared" si="0"/>
        <v>#DIV/0!</v>
      </c>
      <c r="AM15" s="51" t="e">
        <f t="shared" si="1"/>
        <v>#DIV/0!</v>
      </c>
    </row>
    <row r="16" spans="1:39" x14ac:dyDescent="0.25">
      <c r="A16" s="71"/>
      <c r="B16" s="72"/>
      <c r="C16" s="73"/>
      <c r="D16" s="147"/>
      <c r="E16" s="75"/>
      <c r="F16" s="73"/>
      <c r="G16" s="147"/>
      <c r="H16" s="75"/>
      <c r="I16" s="73"/>
      <c r="J16" s="836"/>
      <c r="K16" s="835"/>
      <c r="L16" s="834"/>
      <c r="M16" s="835"/>
      <c r="N16" s="1153"/>
      <c r="O16" s="835"/>
      <c r="P16" s="834"/>
      <c r="Q16" s="835"/>
      <c r="R16" s="834"/>
      <c r="S16" s="73"/>
      <c r="T16" s="894">
        <v>43922</v>
      </c>
      <c r="U16" s="1199" t="s">
        <v>1008</v>
      </c>
      <c r="V16" s="73">
        <v>1.72</v>
      </c>
      <c r="W16" s="1153"/>
      <c r="X16" s="1200"/>
      <c r="Y16" s="835"/>
      <c r="Z16" s="894"/>
      <c r="AA16" s="1199"/>
      <c r="AB16" s="73"/>
      <c r="AC16" s="1153"/>
      <c r="AD16" s="1200"/>
      <c r="AE16" s="835"/>
      <c r="AF16" s="1112">
        <f t="shared" ca="1" si="2"/>
        <v>0.29578124999999994</v>
      </c>
      <c r="AG16" s="1113"/>
      <c r="AH16" s="1110"/>
      <c r="AI16" s="238"/>
      <c r="AJ16" s="838"/>
      <c r="AK16" s="839"/>
      <c r="AL16" s="51" t="e">
        <f t="shared" si="0"/>
        <v>#DIV/0!</v>
      </c>
      <c r="AM16" s="51" t="e">
        <f t="shared" si="1"/>
        <v>#DIV/0!</v>
      </c>
    </row>
    <row r="17" spans="1:39" x14ac:dyDescent="0.25">
      <c r="A17" s="71"/>
      <c r="B17" s="72"/>
      <c r="C17" s="73"/>
      <c r="D17" s="147"/>
      <c r="E17" s="75"/>
      <c r="F17" s="73"/>
      <c r="G17" s="147"/>
      <c r="H17" s="75"/>
      <c r="I17" s="73"/>
      <c r="J17" s="234"/>
      <c r="K17" s="73"/>
      <c r="L17" s="71"/>
      <c r="M17" s="73"/>
      <c r="N17" s="894"/>
      <c r="O17" s="73"/>
      <c r="P17" s="71"/>
      <c r="Q17" s="73"/>
      <c r="R17" s="71"/>
      <c r="S17" s="73"/>
      <c r="T17" s="894">
        <v>44006</v>
      </c>
      <c r="U17" s="1199" t="s">
        <v>1223</v>
      </c>
      <c r="V17" s="73">
        <v>1.72</v>
      </c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f t="shared" ca="1" si="2"/>
        <v>0.29578124999999994</v>
      </c>
      <c r="AG17" s="1113"/>
      <c r="AH17" s="1110"/>
      <c r="AI17" s="238"/>
      <c r="AJ17" s="838"/>
      <c r="AK17" s="839"/>
      <c r="AL17" s="51" t="e">
        <f t="shared" si="0"/>
        <v>#DIV/0!</v>
      </c>
      <c r="AM17" s="51" t="e">
        <f t="shared" si="1"/>
        <v>#DIV/0!</v>
      </c>
    </row>
    <row r="18" spans="1:39" x14ac:dyDescent="0.25">
      <c r="A18" s="71"/>
      <c r="B18" s="72"/>
      <c r="C18" s="73"/>
      <c r="D18" s="147"/>
      <c r="E18" s="75"/>
      <c r="F18" s="73"/>
      <c r="G18" s="147"/>
      <c r="H18" s="75"/>
      <c r="I18" s="73"/>
      <c r="J18" s="431"/>
      <c r="K18" s="347"/>
      <c r="L18" s="1160"/>
      <c r="M18" s="347"/>
      <c r="N18" s="945"/>
      <c r="O18" s="347"/>
      <c r="P18" s="1160"/>
      <c r="Q18" s="347"/>
      <c r="R18" s="1160"/>
      <c r="S18" s="73"/>
      <c r="T18" s="894">
        <v>44091</v>
      </c>
      <c r="U18" s="1199" t="s">
        <v>1224</v>
      </c>
      <c r="V18" s="73">
        <v>1.72</v>
      </c>
      <c r="W18" s="945"/>
      <c r="X18" s="1201"/>
      <c r="Y18" s="347"/>
      <c r="Z18" s="894"/>
      <c r="AA18" s="1199"/>
      <c r="AB18" s="73"/>
      <c r="AC18" s="945"/>
      <c r="AD18" s="1201"/>
      <c r="AE18" s="347"/>
      <c r="AF18" s="1112">
        <f t="shared" ca="1" si="2"/>
        <v>0.29578124999999994</v>
      </c>
      <c r="AG18" s="1113"/>
      <c r="AH18" s="1110"/>
      <c r="AI18" s="238"/>
      <c r="AJ18" s="838"/>
      <c r="AK18" s="839"/>
      <c r="AL18" s="51" t="e">
        <f t="shared" si="0"/>
        <v>#DIV/0!</v>
      </c>
      <c r="AM18" s="51" t="e">
        <f t="shared" si="1"/>
        <v>#DIV/0!</v>
      </c>
    </row>
    <row r="19" spans="1:39" x14ac:dyDescent="0.25">
      <c r="A19" s="71"/>
      <c r="B19" s="72"/>
      <c r="C19" s="73"/>
      <c r="D19" s="147"/>
      <c r="E19" s="75"/>
      <c r="F19" s="73"/>
      <c r="G19" s="1162"/>
      <c r="H19" s="75"/>
      <c r="I19" s="73"/>
      <c r="J19" s="234"/>
      <c r="K19" s="73"/>
      <c r="L19" s="71"/>
      <c r="M19" s="73"/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f t="shared" ca="1" si="2"/>
        <v>0.29578124999999994</v>
      </c>
      <c r="AG19" s="1113"/>
      <c r="AH19" s="1110"/>
      <c r="AI19" s="238"/>
      <c r="AJ19" s="838"/>
      <c r="AK19" s="839"/>
      <c r="AL19" s="51" t="e">
        <f t="shared" si="0"/>
        <v>#DIV/0!</v>
      </c>
      <c r="AM19" s="51" t="e">
        <f t="shared" si="1"/>
        <v>#DIV/0!</v>
      </c>
    </row>
    <row r="20" spans="1:39" x14ac:dyDescent="0.25">
      <c r="A20" s="71"/>
      <c r="B20" s="72"/>
      <c r="C20" s="73"/>
      <c r="D20" s="147"/>
      <c r="E20" s="75"/>
      <c r="F20" s="73"/>
      <c r="G20" s="147"/>
      <c r="H20" s="75"/>
      <c r="I20" s="73"/>
      <c r="J20" s="234"/>
      <c r="K20" s="73"/>
      <c r="L20" s="71"/>
      <c r="M20" s="73"/>
      <c r="N20" s="894"/>
      <c r="O20" s="73"/>
      <c r="P20" s="71"/>
      <c r="Q20" s="73"/>
      <c r="R20" s="71"/>
      <c r="S20" s="73"/>
      <c r="T20" s="894">
        <v>44378</v>
      </c>
      <c r="U20" s="1199" t="s">
        <v>1402</v>
      </c>
      <c r="V20" s="73">
        <v>1.72</v>
      </c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f t="shared" ca="1" si="2"/>
        <v>0.29578124999999994</v>
      </c>
      <c r="AG20" s="1113"/>
      <c r="AH20" s="1110"/>
      <c r="AI20" s="238"/>
      <c r="AJ20" s="838"/>
      <c r="AK20" s="839"/>
      <c r="AL20" s="51" t="e">
        <f t="shared" si="0"/>
        <v>#DIV/0!</v>
      </c>
      <c r="AM20" s="51" t="e">
        <f t="shared" si="1"/>
        <v>#DIV/0!</v>
      </c>
    </row>
    <row r="21" spans="1:39" x14ac:dyDescent="0.25">
      <c r="A21" s="71"/>
      <c r="B21" s="72"/>
      <c r="C21" s="73"/>
      <c r="D21" s="147"/>
      <c r="E21" s="75"/>
      <c r="F21" s="73"/>
      <c r="G21" s="147"/>
      <c r="H21" s="75"/>
      <c r="I21" s="73"/>
      <c r="J21" s="234"/>
      <c r="K21" s="73"/>
      <c r="L21" s="71"/>
      <c r="M21" s="73"/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f t="shared" ca="1" si="2"/>
        <v>0.29578124999999994</v>
      </c>
      <c r="AG21" s="1113"/>
      <c r="AH21" s="1110"/>
      <c r="AI21" s="238"/>
      <c r="AJ21" s="838"/>
      <c r="AK21" s="839"/>
      <c r="AL21" s="51" t="e">
        <f t="shared" si="0"/>
        <v>#DIV/0!</v>
      </c>
      <c r="AM21" s="51" t="e">
        <f t="shared" si="1"/>
        <v>#DIV/0!</v>
      </c>
    </row>
    <row r="22" spans="1:39" x14ac:dyDescent="0.25">
      <c r="A22" s="71"/>
      <c r="B22" s="72"/>
      <c r="C22" s="73"/>
      <c r="D22" s="147"/>
      <c r="E22" s="75"/>
      <c r="F22" s="73"/>
      <c r="G22" s="147"/>
      <c r="H22" s="75"/>
      <c r="I22" s="73"/>
      <c r="J22" s="234"/>
      <c r="K22" s="73"/>
      <c r="L22" s="71"/>
      <c r="M22" s="73"/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f t="shared" ref="AF22:AF85" ca="1" si="3">$F$5</f>
        <v>0.29578124999999994</v>
      </c>
      <c r="AG22" s="1113"/>
      <c r="AH22" s="1110"/>
      <c r="AI22" s="238"/>
      <c r="AJ22" s="838"/>
      <c r="AK22" s="839"/>
      <c r="AL22" s="51" t="e">
        <f t="shared" si="0"/>
        <v>#DIV/0!</v>
      </c>
      <c r="AM22" s="51" t="e">
        <f t="shared" si="1"/>
        <v>#DIV/0!</v>
      </c>
    </row>
    <row r="23" spans="1:39" x14ac:dyDescent="0.25">
      <c r="A23" s="71"/>
      <c r="B23" s="72"/>
      <c r="C23" s="73"/>
      <c r="D23" s="147"/>
      <c r="E23" s="75"/>
      <c r="F23" s="73"/>
      <c r="G23" s="147"/>
      <c r="H23" s="75"/>
      <c r="I23" s="73"/>
      <c r="J23" s="431"/>
      <c r="K23" s="347"/>
      <c r="L23" s="1160"/>
      <c r="M23" s="347"/>
      <c r="N23" s="945"/>
      <c r="O23" s="347"/>
      <c r="P23" s="1160"/>
      <c r="Q23" s="347"/>
      <c r="R23" s="1160"/>
      <c r="S23" s="73"/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f t="shared" ca="1" si="3"/>
        <v>0.29578124999999994</v>
      </c>
      <c r="AG23" s="1113"/>
      <c r="AH23" s="1110"/>
      <c r="AI23" s="238"/>
      <c r="AJ23" s="838"/>
      <c r="AK23" s="839"/>
      <c r="AL23" s="51" t="e">
        <f t="shared" si="0"/>
        <v>#DIV/0!</v>
      </c>
      <c r="AM23" s="51" t="e">
        <f t="shared" si="1"/>
        <v>#DIV/0!</v>
      </c>
    </row>
    <row r="24" spans="1:39" x14ac:dyDescent="0.25">
      <c r="A24" s="71"/>
      <c r="B24" s="72"/>
      <c r="C24" s="73"/>
      <c r="D24" s="147"/>
      <c r="E24" s="75"/>
      <c r="F24" s="73"/>
      <c r="G24" s="147"/>
      <c r="H24" s="75"/>
      <c r="I24" s="73"/>
      <c r="J24" s="234"/>
      <c r="K24" s="73"/>
      <c r="L24" s="71"/>
      <c r="M24" s="73"/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f t="shared" ca="1" si="3"/>
        <v>0.29578124999999994</v>
      </c>
      <c r="AG24" s="1113"/>
      <c r="AH24" s="1110"/>
      <c r="AI24" s="238"/>
      <c r="AJ24" s="838"/>
      <c r="AK24" s="839"/>
      <c r="AL24" s="51" t="e">
        <f t="shared" si="0"/>
        <v>#DIV/0!</v>
      </c>
      <c r="AM24" s="51" t="e">
        <f t="shared" si="1"/>
        <v>#DIV/0!</v>
      </c>
    </row>
    <row r="25" spans="1:39" x14ac:dyDescent="0.25">
      <c r="A25" s="71"/>
      <c r="B25" s="72"/>
      <c r="C25" s="73"/>
      <c r="D25" s="528"/>
      <c r="E25" s="516"/>
      <c r="F25" s="380"/>
      <c r="G25" s="147"/>
      <c r="H25" s="75"/>
      <c r="I25" s="73"/>
      <c r="J25" s="234"/>
      <c r="K25" s="73"/>
      <c r="L25" s="71"/>
      <c r="M25" s="73"/>
      <c r="N25" s="1153"/>
      <c r="O25" s="835"/>
      <c r="P25" s="71"/>
      <c r="Q25" s="73"/>
      <c r="R25" s="71"/>
      <c r="S25" s="73"/>
      <c r="T25" s="894"/>
      <c r="U25" s="1199"/>
      <c r="V25" s="73"/>
      <c r="W25" s="894"/>
      <c r="X25" s="1199"/>
      <c r="Y25" s="73"/>
      <c r="Z25" s="894"/>
      <c r="AA25" s="1199"/>
      <c r="AB25" s="73"/>
      <c r="AC25" s="894"/>
      <c r="AD25" s="1199"/>
      <c r="AE25" s="73"/>
      <c r="AF25" s="1112">
        <f t="shared" ca="1" si="3"/>
        <v>0.29578124999999994</v>
      </c>
      <c r="AG25" s="1113"/>
      <c r="AH25" s="1110"/>
      <c r="AI25" s="238"/>
      <c r="AJ25" s="838"/>
      <c r="AK25" s="839"/>
      <c r="AL25" s="51" t="e">
        <f t="shared" si="0"/>
        <v>#DIV/0!</v>
      </c>
      <c r="AM25" s="51" t="e">
        <f t="shared" si="1"/>
        <v>#DIV/0!</v>
      </c>
    </row>
    <row r="26" spans="1:39" x14ac:dyDescent="0.25">
      <c r="A26" s="71"/>
      <c r="B26" s="72"/>
      <c r="C26" s="73"/>
      <c r="D26" s="147"/>
      <c r="E26" s="75"/>
      <c r="F26" s="73"/>
      <c r="G26" s="147"/>
      <c r="H26" s="75"/>
      <c r="I26" s="73"/>
      <c r="J26" s="234"/>
      <c r="K26" s="73"/>
      <c r="L26" s="71"/>
      <c r="M26" s="73"/>
      <c r="N26" s="894"/>
      <c r="O26" s="73"/>
      <c r="P26" s="71"/>
      <c r="Q26" s="73"/>
      <c r="R26" s="71"/>
      <c r="S26" s="73"/>
      <c r="T26" s="894"/>
      <c r="U26" s="1199"/>
      <c r="V26" s="73"/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f t="shared" ca="1" si="3"/>
        <v>0.29578124999999994</v>
      </c>
      <c r="AG26" s="1113"/>
      <c r="AH26" s="1110"/>
      <c r="AI26" s="238"/>
      <c r="AJ26" s="838"/>
      <c r="AK26" s="839"/>
      <c r="AL26" s="51" t="e">
        <f t="shared" si="0"/>
        <v>#DIV/0!</v>
      </c>
      <c r="AM26" s="51" t="e">
        <f t="shared" si="1"/>
        <v>#DIV/0!</v>
      </c>
    </row>
    <row r="27" spans="1:39" x14ac:dyDescent="0.25">
      <c r="A27" s="71"/>
      <c r="B27" s="72"/>
      <c r="C27" s="73"/>
      <c r="D27" s="147"/>
      <c r="E27" s="75"/>
      <c r="F27" s="73"/>
      <c r="G27" s="147"/>
      <c r="H27" s="75"/>
      <c r="I27" s="73"/>
      <c r="J27" s="234"/>
      <c r="K27" s="73"/>
      <c r="L27" s="71"/>
      <c r="M27" s="73"/>
      <c r="N27" s="894"/>
      <c r="O27" s="73"/>
      <c r="P27" s="71"/>
      <c r="Q27" s="73"/>
      <c r="R27" s="71"/>
      <c r="S27" s="73"/>
      <c r="T27" s="894"/>
      <c r="U27" s="1199"/>
      <c r="V27" s="73"/>
      <c r="W27" s="945"/>
      <c r="X27" s="1201"/>
      <c r="Y27" s="347"/>
      <c r="Z27" s="894"/>
      <c r="AA27" s="1199"/>
      <c r="AB27" s="73"/>
      <c r="AC27" s="894"/>
      <c r="AD27" s="1199"/>
      <c r="AE27" s="73"/>
      <c r="AF27" s="1112">
        <f t="shared" ca="1" si="3"/>
        <v>0.29578124999999994</v>
      </c>
      <c r="AG27" s="1113"/>
      <c r="AH27" s="1110"/>
      <c r="AI27" s="238"/>
      <c r="AJ27" s="838"/>
      <c r="AK27" s="839"/>
      <c r="AL27" s="51" t="e">
        <f t="shared" si="0"/>
        <v>#DIV/0!</v>
      </c>
      <c r="AM27" s="51" t="e">
        <f t="shared" si="1"/>
        <v>#DIV/0!</v>
      </c>
    </row>
    <row r="28" spans="1:39" x14ac:dyDescent="0.25">
      <c r="A28" s="71"/>
      <c r="B28" s="72"/>
      <c r="C28" s="73"/>
      <c r="D28" s="147"/>
      <c r="E28" s="75"/>
      <c r="F28" s="73"/>
      <c r="G28" s="147"/>
      <c r="H28" s="75"/>
      <c r="I28" s="73"/>
      <c r="J28" s="234"/>
      <c r="K28" s="73"/>
      <c r="L28" s="71"/>
      <c r="M28" s="73"/>
      <c r="N28" s="894"/>
      <c r="O28" s="73"/>
      <c r="P28" s="71"/>
      <c r="Q28" s="73"/>
      <c r="R28" s="71"/>
      <c r="S28" s="73"/>
      <c r="T28" s="894"/>
      <c r="U28" s="1199"/>
      <c r="V28" s="73"/>
      <c r="W28" s="894"/>
      <c r="X28" s="1199"/>
      <c r="Y28" s="73"/>
      <c r="Z28" s="894"/>
      <c r="AA28" s="1199"/>
      <c r="AB28" s="73"/>
      <c r="AC28" s="894"/>
      <c r="AD28" s="1199"/>
      <c r="AE28" s="73"/>
      <c r="AF28" s="1112">
        <f t="shared" ca="1" si="3"/>
        <v>0.29578124999999994</v>
      </c>
      <c r="AG28" s="1113"/>
      <c r="AH28" s="1110"/>
      <c r="AI28" s="238"/>
      <c r="AJ28" s="838"/>
      <c r="AK28" s="839"/>
      <c r="AL28" s="51" t="e">
        <f t="shared" si="0"/>
        <v>#DIV/0!</v>
      </c>
      <c r="AM28" s="51" t="e">
        <f t="shared" si="1"/>
        <v>#DIV/0!</v>
      </c>
    </row>
    <row r="29" spans="1:39" x14ac:dyDescent="0.25">
      <c r="A29" s="71"/>
      <c r="B29" s="72"/>
      <c r="C29" s="73"/>
      <c r="D29" s="147"/>
      <c r="E29" s="75"/>
      <c r="F29" s="73"/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f t="shared" ca="1" si="3"/>
        <v>0.29578124999999994</v>
      </c>
      <c r="AG29" s="1113"/>
      <c r="AH29" s="1110"/>
      <c r="AI29" s="238"/>
      <c r="AJ29" s="838"/>
      <c r="AK29" s="839"/>
      <c r="AL29" s="51" t="e">
        <f t="shared" si="0"/>
        <v>#DIV/0!</v>
      </c>
      <c r="AM29" s="51" t="e">
        <f t="shared" si="1"/>
        <v>#DIV/0!</v>
      </c>
    </row>
    <row r="30" spans="1:39" x14ac:dyDescent="0.25">
      <c r="A30" s="71"/>
      <c r="B30" s="72"/>
      <c r="C30" s="73"/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>
        <f t="shared" ca="1" si="3"/>
        <v>0.29578124999999994</v>
      </c>
      <c r="AG30" s="1113"/>
      <c r="AH30" s="1110"/>
      <c r="AI30" s="238"/>
      <c r="AJ30" s="838"/>
      <c r="AK30" s="839"/>
      <c r="AL30" s="51" t="e">
        <f t="shared" si="0"/>
        <v>#DIV/0!</v>
      </c>
      <c r="AM30" s="51" t="e">
        <f t="shared" si="1"/>
        <v>#DIV/0!</v>
      </c>
    </row>
    <row r="31" spans="1:39" x14ac:dyDescent="0.25">
      <c r="A31" s="71"/>
      <c r="B31" s="72"/>
      <c r="C31" s="73"/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f t="shared" ca="1" si="3"/>
        <v>0.29578124999999994</v>
      </c>
      <c r="AG31" s="1113"/>
      <c r="AH31" s="1110"/>
      <c r="AI31" s="238"/>
      <c r="AJ31" s="838"/>
      <c r="AK31" s="839"/>
      <c r="AL31" s="51" t="e">
        <f t="shared" si="0"/>
        <v>#DIV/0!</v>
      </c>
      <c r="AM31" s="51" t="e">
        <f t="shared" si="1"/>
        <v>#DIV/0!</v>
      </c>
    </row>
    <row r="32" spans="1:39" x14ac:dyDescent="0.25">
      <c r="A32" s="71"/>
      <c r="B32" s="72"/>
      <c r="C32" s="73"/>
      <c r="D32" s="528"/>
      <c r="E32" s="516"/>
      <c r="F32" s="380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f t="shared" ca="1" si="3"/>
        <v>0.29578124999999994</v>
      </c>
      <c r="AG32" s="1113"/>
      <c r="AH32" s="1110"/>
      <c r="AI32" s="238"/>
      <c r="AJ32" s="838"/>
      <c r="AK32" s="839"/>
      <c r="AL32" s="51" t="e">
        <f t="shared" si="0"/>
        <v>#DIV/0!</v>
      </c>
      <c r="AM32" s="51" t="e">
        <f t="shared" si="1"/>
        <v>#DIV/0!</v>
      </c>
    </row>
    <row r="33" spans="1:39" x14ac:dyDescent="0.25">
      <c r="A33" s="71"/>
      <c r="B33" s="72"/>
      <c r="C33" s="73"/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f t="shared" ca="1" si="3"/>
        <v>0.29578124999999994</v>
      </c>
      <c r="AG33" s="1113"/>
      <c r="AH33" s="1110"/>
      <c r="AI33" s="238"/>
      <c r="AJ33" s="838"/>
      <c r="AK33" s="839"/>
      <c r="AL33" s="51" t="e">
        <f t="shared" si="0"/>
        <v>#DIV/0!</v>
      </c>
      <c r="AM33" s="51" t="e">
        <f t="shared" si="1"/>
        <v>#DIV/0!</v>
      </c>
    </row>
    <row r="34" spans="1:39" x14ac:dyDescent="0.25">
      <c r="A34" s="71"/>
      <c r="B34" s="72"/>
      <c r="C34" s="73"/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f t="shared" ca="1" si="3"/>
        <v>0.29578124999999994</v>
      </c>
      <c r="AG34" s="1113"/>
      <c r="AH34" s="1110"/>
      <c r="AI34" s="238"/>
      <c r="AJ34" s="838"/>
      <c r="AK34" s="839"/>
      <c r="AL34" s="51" t="e">
        <f t="shared" si="0"/>
        <v>#DIV/0!</v>
      </c>
      <c r="AM34" s="51" t="e">
        <f t="shared" si="1"/>
        <v>#DIV/0!</v>
      </c>
    </row>
    <row r="35" spans="1:39" x14ac:dyDescent="0.25">
      <c r="A35" s="71"/>
      <c r="B35" s="72"/>
      <c r="C35" s="73"/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f t="shared" ca="1" si="3"/>
        <v>0.29578124999999994</v>
      </c>
      <c r="AG35" s="1113"/>
      <c r="AH35" s="1110"/>
      <c r="AI35" s="238"/>
      <c r="AJ35" s="838"/>
      <c r="AK35" s="839"/>
      <c r="AL35" s="51" t="e">
        <f t="shared" si="0"/>
        <v>#DIV/0!</v>
      </c>
      <c r="AM35" s="51" t="e">
        <f t="shared" si="1"/>
        <v>#DIV/0!</v>
      </c>
    </row>
    <row r="36" spans="1:39" x14ac:dyDescent="0.25">
      <c r="A36" s="71"/>
      <c r="B36" s="72"/>
      <c r="C36" s="73"/>
      <c r="D36" s="147"/>
      <c r="E36" s="75"/>
      <c r="F36" s="73"/>
      <c r="G36" s="147"/>
      <c r="H36" s="75"/>
      <c r="I36" s="73"/>
      <c r="J36" s="234"/>
      <c r="K36" s="73"/>
      <c r="L36" s="71"/>
      <c r="M36" s="73"/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f t="shared" ca="1" si="3"/>
        <v>0.29578124999999994</v>
      </c>
      <c r="AG36" s="1113"/>
      <c r="AH36" s="1110"/>
      <c r="AI36" s="238"/>
      <c r="AJ36" s="838"/>
      <c r="AK36" s="839"/>
      <c r="AL36" s="51" t="e">
        <f t="shared" si="0"/>
        <v>#DIV/0!</v>
      </c>
      <c r="AM36" s="51" t="e">
        <f t="shared" si="1"/>
        <v>#DIV/0!</v>
      </c>
    </row>
    <row r="37" spans="1:39" x14ac:dyDescent="0.25">
      <c r="A37" s="71"/>
      <c r="B37" s="72"/>
      <c r="C37" s="73"/>
      <c r="D37" s="147"/>
      <c r="E37" s="75"/>
      <c r="F37" s="73"/>
      <c r="G37" s="147"/>
      <c r="H37" s="75"/>
      <c r="I37" s="73"/>
      <c r="J37" s="234"/>
      <c r="K37" s="73"/>
      <c r="L37" s="71"/>
      <c r="M37" s="73"/>
      <c r="N37" s="894"/>
      <c r="O37" s="73"/>
      <c r="P37" s="71"/>
      <c r="Q37" s="73"/>
      <c r="R37" s="71"/>
      <c r="S37" s="73"/>
      <c r="T37" s="894"/>
      <c r="U37" s="1199"/>
      <c r="V37" s="73"/>
      <c r="W37" s="894"/>
      <c r="X37" s="1199"/>
      <c r="Y37" s="73"/>
      <c r="Z37" s="894"/>
      <c r="AA37" s="1199"/>
      <c r="AB37" s="73"/>
      <c r="AC37" s="894"/>
      <c r="AD37" s="1199"/>
      <c r="AE37" s="73"/>
      <c r="AF37" s="1112">
        <f t="shared" ca="1" si="3"/>
        <v>0.29578124999999994</v>
      </c>
      <c r="AG37" s="1113"/>
      <c r="AH37" s="1110"/>
      <c r="AI37" s="238"/>
      <c r="AJ37" s="838"/>
      <c r="AK37" s="839"/>
      <c r="AL37" s="51" t="e">
        <f t="shared" si="0"/>
        <v>#DIV/0!</v>
      </c>
      <c r="AM37" s="51" t="e">
        <f t="shared" si="1"/>
        <v>#DIV/0!</v>
      </c>
    </row>
    <row r="38" spans="1:39" x14ac:dyDescent="0.25">
      <c r="A38" s="71"/>
      <c r="B38" s="72"/>
      <c r="C38" s="73"/>
      <c r="D38" s="147"/>
      <c r="E38" s="75"/>
      <c r="F38" s="73"/>
      <c r="G38" s="147"/>
      <c r="H38" s="75"/>
      <c r="I38" s="73"/>
      <c r="J38" s="234"/>
      <c r="K38" s="73"/>
      <c r="L38" s="71"/>
      <c r="M38" s="73"/>
      <c r="N38" s="894"/>
      <c r="O38" s="73"/>
      <c r="P38" s="71"/>
      <c r="Q38" s="73"/>
      <c r="R38" s="71"/>
      <c r="S38" s="73"/>
      <c r="T38" s="894"/>
      <c r="U38" s="1199"/>
      <c r="V38" s="73"/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f t="shared" ca="1" si="3"/>
        <v>0.29578124999999994</v>
      </c>
      <c r="AG38" s="1113"/>
      <c r="AH38" s="1110"/>
      <c r="AI38" s="238"/>
      <c r="AJ38" s="838"/>
      <c r="AK38" s="839"/>
      <c r="AL38" s="51" t="e">
        <f t="shared" si="0"/>
        <v>#DIV/0!</v>
      </c>
      <c r="AM38" s="51" t="e">
        <f t="shared" si="1"/>
        <v>#DIV/0!</v>
      </c>
    </row>
    <row r="39" spans="1:39" x14ac:dyDescent="0.25">
      <c r="A39" s="71"/>
      <c r="B39" s="72"/>
      <c r="C39" s="73"/>
      <c r="D39" s="147"/>
      <c r="E39" s="75"/>
      <c r="F39" s="73"/>
      <c r="G39" s="147"/>
      <c r="H39" s="75"/>
      <c r="I39" s="73"/>
      <c r="J39" s="234"/>
      <c r="K39" s="73"/>
      <c r="L39" s="71"/>
      <c r="M39" s="73"/>
      <c r="N39" s="894"/>
      <c r="O39" s="73"/>
      <c r="P39" s="71"/>
      <c r="Q39" s="73"/>
      <c r="R39" s="71"/>
      <c r="S39" s="73"/>
      <c r="T39" s="894"/>
      <c r="U39" s="1199"/>
      <c r="V39" s="73"/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f t="shared" ca="1" si="3"/>
        <v>0.29578124999999994</v>
      </c>
      <c r="AG39" s="1113"/>
      <c r="AH39" s="1110"/>
      <c r="AI39" s="238"/>
      <c r="AJ39" s="838"/>
      <c r="AK39" s="839"/>
      <c r="AL39" s="51" t="e">
        <f t="shared" si="0"/>
        <v>#DIV/0!</v>
      </c>
      <c r="AM39" s="51" t="e">
        <f t="shared" si="1"/>
        <v>#DIV/0!</v>
      </c>
    </row>
    <row r="40" spans="1:39" x14ac:dyDescent="0.25">
      <c r="A40" s="71"/>
      <c r="B40" s="72"/>
      <c r="C40" s="73"/>
      <c r="D40" s="147"/>
      <c r="E40" s="75"/>
      <c r="F40" s="73"/>
      <c r="G40" s="147"/>
      <c r="H40" s="75"/>
      <c r="I40" s="73"/>
      <c r="J40" s="234"/>
      <c r="K40" s="73"/>
      <c r="L40" s="71"/>
      <c r="M40" s="73"/>
      <c r="N40" s="894"/>
      <c r="O40" s="73"/>
      <c r="P40" s="71"/>
      <c r="Q40" s="73"/>
      <c r="R40" s="71"/>
      <c r="S40" s="73"/>
      <c r="T40" s="894"/>
      <c r="U40" s="1199"/>
      <c r="V40" s="73"/>
      <c r="W40" s="894"/>
      <c r="X40" s="1199"/>
      <c r="Y40" s="73"/>
      <c r="Z40" s="894"/>
      <c r="AA40" s="1199"/>
      <c r="AB40" s="73"/>
      <c r="AC40" s="894"/>
      <c r="AD40" s="1199"/>
      <c r="AE40" s="73"/>
      <c r="AF40" s="1112">
        <f t="shared" ca="1" si="3"/>
        <v>0.29578124999999994</v>
      </c>
      <c r="AG40" s="1113"/>
      <c r="AH40" s="1110"/>
      <c r="AI40" s="238"/>
      <c r="AJ40" s="838"/>
      <c r="AK40" s="839"/>
      <c r="AL40" s="51" t="e">
        <f t="shared" si="0"/>
        <v>#DIV/0!</v>
      </c>
      <c r="AM40" s="51" t="e">
        <f t="shared" si="1"/>
        <v>#DIV/0!</v>
      </c>
    </row>
    <row r="41" spans="1:39" x14ac:dyDescent="0.25">
      <c r="A41" s="71"/>
      <c r="B41" s="72"/>
      <c r="C41" s="73"/>
      <c r="D41" s="147"/>
      <c r="E41" s="75"/>
      <c r="F41" s="73"/>
      <c r="G41" s="147"/>
      <c r="H41" s="75"/>
      <c r="I41" s="73"/>
      <c r="J41" s="234"/>
      <c r="K41" s="73"/>
      <c r="L41" s="71"/>
      <c r="M41" s="73"/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f t="shared" ca="1" si="3"/>
        <v>0.29578124999999994</v>
      </c>
      <c r="AG41" s="1113"/>
      <c r="AH41" s="1110"/>
      <c r="AI41" s="238"/>
      <c r="AJ41" s="838"/>
      <c r="AK41" s="839"/>
      <c r="AL41" s="51" t="e">
        <f t="shared" si="0"/>
        <v>#DIV/0!</v>
      </c>
      <c r="AM41" s="51" t="e">
        <f t="shared" si="1"/>
        <v>#DIV/0!</v>
      </c>
    </row>
    <row r="42" spans="1:39" x14ac:dyDescent="0.25">
      <c r="A42" s="71"/>
      <c r="B42" s="72"/>
      <c r="C42" s="73"/>
      <c r="D42" s="147"/>
      <c r="E42" s="75"/>
      <c r="F42" s="73"/>
      <c r="G42" s="147"/>
      <c r="H42" s="75"/>
      <c r="I42" s="73"/>
      <c r="J42" s="234"/>
      <c r="K42" s="73"/>
      <c r="L42" s="71"/>
      <c r="M42" s="73"/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f t="shared" ca="1" si="3"/>
        <v>0.29578124999999994</v>
      </c>
      <c r="AG42" s="1113"/>
      <c r="AH42" s="1110"/>
      <c r="AI42" s="238"/>
      <c r="AJ42" s="838"/>
      <c r="AK42" s="839"/>
      <c r="AL42" s="51" t="e">
        <f t="shared" si="0"/>
        <v>#DIV/0!</v>
      </c>
      <c r="AM42" s="51" t="e">
        <f t="shared" si="1"/>
        <v>#DIV/0!</v>
      </c>
    </row>
    <row r="43" spans="1:39" x14ac:dyDescent="0.25">
      <c r="A43" s="71"/>
      <c r="B43" s="72"/>
      <c r="C43" s="73"/>
      <c r="D43" s="147"/>
      <c r="E43" s="75"/>
      <c r="F43" s="73"/>
      <c r="G43" s="147"/>
      <c r="H43" s="75"/>
      <c r="I43" s="73"/>
      <c r="J43" s="234"/>
      <c r="K43" s="73"/>
      <c r="L43" s="71"/>
      <c r="M43" s="73"/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f t="shared" ca="1" si="3"/>
        <v>0.29578124999999994</v>
      </c>
      <c r="AG43" s="1113"/>
      <c r="AH43" s="1110"/>
      <c r="AI43" s="238"/>
      <c r="AJ43" s="838"/>
      <c r="AK43" s="839"/>
      <c r="AL43" s="51" t="e">
        <f t="shared" si="0"/>
        <v>#DIV/0!</v>
      </c>
      <c r="AM43" s="51" t="e">
        <f t="shared" si="1"/>
        <v>#DIV/0!</v>
      </c>
    </row>
    <row r="44" spans="1:39" x14ac:dyDescent="0.25">
      <c r="A44" s="71"/>
      <c r="B44" s="72"/>
      <c r="C44" s="73"/>
      <c r="D44" s="147"/>
      <c r="E44" s="75"/>
      <c r="F44" s="73"/>
      <c r="G44" s="345"/>
      <c r="H44" s="346"/>
      <c r="I44" s="347"/>
      <c r="J44" s="234"/>
      <c r="K44" s="73"/>
      <c r="L44" s="71"/>
      <c r="M44" s="73"/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f t="shared" ca="1" si="3"/>
        <v>0.29578124999999994</v>
      </c>
      <c r="AG44" s="1113"/>
      <c r="AH44" s="1110"/>
      <c r="AI44" s="238"/>
      <c r="AJ44" s="838"/>
      <c r="AK44" s="839"/>
      <c r="AL44" s="51" t="e">
        <f t="shared" si="0"/>
        <v>#DIV/0!</v>
      </c>
      <c r="AM44" s="51" t="e">
        <f t="shared" si="1"/>
        <v>#DIV/0!</v>
      </c>
    </row>
    <row r="45" spans="1:39" x14ac:dyDescent="0.25">
      <c r="A45" s="71"/>
      <c r="B45" s="72"/>
      <c r="C45" s="73"/>
      <c r="D45" s="147"/>
      <c r="E45" s="75"/>
      <c r="F45" s="73"/>
      <c r="G45" s="147"/>
      <c r="H45" s="75"/>
      <c r="I45" s="73"/>
      <c r="J45" s="234"/>
      <c r="K45" s="73"/>
      <c r="L45" s="71"/>
      <c r="M45" s="73"/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f t="shared" ca="1" si="3"/>
        <v>0.29578124999999994</v>
      </c>
      <c r="AG45" s="1113"/>
      <c r="AH45" s="1110"/>
      <c r="AI45" s="238"/>
      <c r="AJ45" s="838"/>
      <c r="AK45" s="839"/>
      <c r="AL45" s="51" t="e">
        <f t="shared" si="0"/>
        <v>#DIV/0!</v>
      </c>
      <c r="AM45" s="51" t="e">
        <f t="shared" si="1"/>
        <v>#DIV/0!</v>
      </c>
    </row>
    <row r="46" spans="1:39" x14ac:dyDescent="0.25">
      <c r="A46" s="71"/>
      <c r="B46" s="72"/>
      <c r="C46" s="73"/>
      <c r="D46" s="147"/>
      <c r="E46" s="75"/>
      <c r="F46" s="73"/>
      <c r="G46" s="147"/>
      <c r="H46" s="75"/>
      <c r="I46" s="73"/>
      <c r="J46" s="234"/>
      <c r="K46" s="73"/>
      <c r="L46" s="71"/>
      <c r="M46" s="73"/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f t="shared" ca="1" si="3"/>
        <v>0.29578124999999994</v>
      </c>
      <c r="AG46" s="1113"/>
      <c r="AH46" s="1110"/>
      <c r="AI46" s="238"/>
      <c r="AJ46" s="838"/>
      <c r="AK46" s="839"/>
      <c r="AL46" s="51" t="e">
        <f t="shared" si="0"/>
        <v>#DIV/0!</v>
      </c>
      <c r="AM46" s="51" t="e">
        <f t="shared" si="1"/>
        <v>#DIV/0!</v>
      </c>
    </row>
    <row r="47" spans="1:39" x14ac:dyDescent="0.25">
      <c r="A47" s="71"/>
      <c r="B47" s="72"/>
      <c r="C47" s="73"/>
      <c r="D47" s="147"/>
      <c r="E47" s="75"/>
      <c r="F47" s="73"/>
      <c r="G47" s="147"/>
      <c r="H47" s="75"/>
      <c r="I47" s="73"/>
      <c r="J47" s="234"/>
      <c r="K47" s="73"/>
      <c r="L47" s="71"/>
      <c r="M47" s="73"/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f t="shared" ca="1" si="3"/>
        <v>0.29578124999999994</v>
      </c>
      <c r="AG47" s="1113"/>
      <c r="AH47" s="1110"/>
      <c r="AI47" s="238"/>
      <c r="AJ47" s="838"/>
      <c r="AK47" s="839"/>
      <c r="AL47" s="51" t="e">
        <f t="shared" si="0"/>
        <v>#DIV/0!</v>
      </c>
      <c r="AM47" s="51" t="e">
        <f t="shared" si="1"/>
        <v>#DIV/0!</v>
      </c>
    </row>
    <row r="48" spans="1:39" x14ac:dyDescent="0.25">
      <c r="A48" s="71"/>
      <c r="B48" s="72"/>
      <c r="C48" s="73"/>
      <c r="D48" s="147"/>
      <c r="E48" s="75"/>
      <c r="F48" s="73"/>
      <c r="G48" s="147"/>
      <c r="H48" s="75"/>
      <c r="I48" s="73"/>
      <c r="J48" s="234"/>
      <c r="K48" s="73"/>
      <c r="L48" s="71"/>
      <c r="M48" s="73"/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f t="shared" ca="1" si="3"/>
        <v>0.29578124999999994</v>
      </c>
      <c r="AG48" s="1113"/>
      <c r="AH48" s="1110"/>
      <c r="AI48" s="238"/>
      <c r="AJ48" s="838"/>
      <c r="AK48" s="839"/>
      <c r="AL48" s="51" t="e">
        <f t="shared" si="0"/>
        <v>#DIV/0!</v>
      </c>
      <c r="AM48" s="51" t="e">
        <f t="shared" si="1"/>
        <v>#DIV/0!</v>
      </c>
    </row>
    <row r="49" spans="1:39" x14ac:dyDescent="0.25">
      <c r="A49" s="71"/>
      <c r="B49" s="72"/>
      <c r="C49" s="73"/>
      <c r="D49" s="147"/>
      <c r="E49" s="75"/>
      <c r="F49" s="73"/>
      <c r="G49" s="147"/>
      <c r="H49" s="75"/>
      <c r="I49" s="73"/>
      <c r="J49" s="234"/>
      <c r="K49" s="73"/>
      <c r="L49" s="71"/>
      <c r="M49" s="73"/>
      <c r="N49" s="894"/>
      <c r="O49" s="73"/>
      <c r="P49" s="71"/>
      <c r="Q49" s="73"/>
      <c r="R49" s="71"/>
      <c r="S49" s="73"/>
      <c r="T49" s="894">
        <v>43808</v>
      </c>
      <c r="U49" s="1199" t="s">
        <v>961</v>
      </c>
      <c r="V49" s="73">
        <v>1.72</v>
      </c>
      <c r="W49" s="894"/>
      <c r="X49" s="1199"/>
      <c r="Y49" s="73"/>
      <c r="Z49" s="894"/>
      <c r="AA49" s="1199"/>
      <c r="AB49" s="73"/>
      <c r="AC49" s="894"/>
      <c r="AD49" s="1199"/>
      <c r="AE49" s="73"/>
      <c r="AF49" s="1112">
        <f t="shared" ca="1" si="3"/>
        <v>0.29578124999999994</v>
      </c>
      <c r="AG49" s="1113"/>
      <c r="AH49" s="1110"/>
      <c r="AI49" s="238"/>
      <c r="AJ49" s="838"/>
      <c r="AK49" s="839"/>
      <c r="AL49" s="51" t="e">
        <f t="shared" si="0"/>
        <v>#DIV/0!</v>
      </c>
      <c r="AM49" s="51" t="e">
        <f t="shared" si="1"/>
        <v>#DIV/0!</v>
      </c>
    </row>
    <row r="50" spans="1:39" x14ac:dyDescent="0.25">
      <c r="A50" s="71"/>
      <c r="B50" s="72"/>
      <c r="C50" s="73"/>
      <c r="D50" s="147"/>
      <c r="E50" s="75"/>
      <c r="F50" s="73"/>
      <c r="G50" s="147"/>
      <c r="H50" s="75"/>
      <c r="I50" s="73"/>
      <c r="J50" s="234"/>
      <c r="K50" s="73"/>
      <c r="L50" s="71"/>
      <c r="M50" s="73"/>
      <c r="N50" s="894"/>
      <c r="O50" s="73"/>
      <c r="P50" s="71"/>
      <c r="Q50" s="73"/>
      <c r="R50" s="71"/>
      <c r="S50" s="73"/>
      <c r="T50" s="894">
        <v>43922</v>
      </c>
      <c r="U50" s="1199" t="s">
        <v>1008</v>
      </c>
      <c r="V50" s="73">
        <v>1.72</v>
      </c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f t="shared" ca="1" si="3"/>
        <v>0.29578124999999994</v>
      </c>
      <c r="AG50" s="1113"/>
      <c r="AH50" s="1110"/>
      <c r="AI50" s="238"/>
      <c r="AJ50" s="838"/>
      <c r="AK50" s="839"/>
      <c r="AL50" s="51" t="e">
        <f t="shared" si="0"/>
        <v>#DIV/0!</v>
      </c>
      <c r="AM50" s="51" t="e">
        <f t="shared" si="1"/>
        <v>#DIV/0!</v>
      </c>
    </row>
    <row r="51" spans="1:39" x14ac:dyDescent="0.25">
      <c r="A51" s="71"/>
      <c r="B51" s="72"/>
      <c r="C51" s="73"/>
      <c r="D51" s="147"/>
      <c r="E51" s="75"/>
      <c r="F51" s="73"/>
      <c r="G51" s="147"/>
      <c r="H51" s="75"/>
      <c r="I51" s="73"/>
      <c r="J51" s="234"/>
      <c r="K51" s="73"/>
      <c r="L51" s="71"/>
      <c r="M51" s="73"/>
      <c r="N51" s="894"/>
      <c r="O51" s="73"/>
      <c r="P51" s="71"/>
      <c r="Q51" s="73"/>
      <c r="R51" s="71"/>
      <c r="S51" s="73"/>
      <c r="T51" s="894"/>
      <c r="U51" s="1199"/>
      <c r="V51" s="73"/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f t="shared" ca="1" si="3"/>
        <v>0.29578124999999994</v>
      </c>
      <c r="AG51" s="1113"/>
      <c r="AH51" s="1110"/>
      <c r="AI51" s="238"/>
      <c r="AJ51" s="838"/>
      <c r="AK51" s="839"/>
      <c r="AL51" s="51" t="e">
        <f t="shared" si="0"/>
        <v>#DIV/0!</v>
      </c>
      <c r="AM51" s="51" t="e">
        <f t="shared" si="1"/>
        <v>#DIV/0!</v>
      </c>
    </row>
    <row r="52" spans="1:39" x14ac:dyDescent="0.25">
      <c r="A52" s="71"/>
      <c r="B52" s="72"/>
      <c r="C52" s="73"/>
      <c r="D52" s="147"/>
      <c r="E52" s="75"/>
      <c r="F52" s="73"/>
      <c r="G52" s="147"/>
      <c r="H52" s="75"/>
      <c r="I52" s="73"/>
      <c r="J52" s="234"/>
      <c r="K52" s="73"/>
      <c r="L52" s="71"/>
      <c r="M52" s="73"/>
      <c r="N52" s="894"/>
      <c r="O52" s="73"/>
      <c r="P52" s="71"/>
      <c r="Q52" s="73"/>
      <c r="R52" s="71"/>
      <c r="S52" s="73"/>
      <c r="T52" s="894"/>
      <c r="U52" s="1199"/>
      <c r="V52" s="73"/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f t="shared" ca="1" si="3"/>
        <v>0.29578124999999994</v>
      </c>
      <c r="AG52" s="1113"/>
      <c r="AH52" s="1110"/>
      <c r="AI52" s="238"/>
      <c r="AJ52" s="838"/>
      <c r="AK52" s="839"/>
      <c r="AL52" s="51" t="e">
        <f t="shared" si="0"/>
        <v>#DIV/0!</v>
      </c>
      <c r="AM52" s="51" t="e">
        <f t="shared" si="1"/>
        <v>#DIV/0!</v>
      </c>
    </row>
    <row r="53" spans="1:39" x14ac:dyDescent="0.25">
      <c r="A53" s="71"/>
      <c r="B53" s="72"/>
      <c r="C53" s="73"/>
      <c r="D53" s="147"/>
      <c r="E53" s="75"/>
      <c r="F53" s="73"/>
      <c r="G53" s="147"/>
      <c r="H53" s="75"/>
      <c r="I53" s="73"/>
      <c r="J53" s="234"/>
      <c r="K53" s="73"/>
      <c r="L53" s="71"/>
      <c r="M53" s="73"/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f t="shared" ca="1" si="3"/>
        <v>0.29578124999999994</v>
      </c>
      <c r="AG53" s="1113"/>
      <c r="AH53" s="1110"/>
      <c r="AI53" s="238"/>
      <c r="AJ53" s="838"/>
      <c r="AK53" s="839"/>
      <c r="AL53" s="51" t="e">
        <f t="shared" si="0"/>
        <v>#DIV/0!</v>
      </c>
      <c r="AM53" s="51" t="e">
        <f t="shared" si="1"/>
        <v>#DIV/0!</v>
      </c>
    </row>
    <row r="54" spans="1:39" x14ac:dyDescent="0.25">
      <c r="A54" s="71"/>
      <c r="B54" s="72"/>
      <c r="C54" s="73"/>
      <c r="D54" s="147"/>
      <c r="E54" s="75"/>
      <c r="F54" s="73"/>
      <c r="G54" s="147"/>
      <c r="H54" s="75"/>
      <c r="I54" s="73"/>
      <c r="J54" s="234"/>
      <c r="K54" s="73"/>
      <c r="L54" s="71"/>
      <c r="M54" s="73"/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f t="shared" ca="1" si="3"/>
        <v>0.29578124999999994</v>
      </c>
      <c r="AG54" s="1113"/>
      <c r="AH54" s="1110"/>
      <c r="AI54" s="238"/>
      <c r="AJ54" s="838"/>
      <c r="AK54" s="839"/>
      <c r="AL54" s="51" t="e">
        <f t="shared" si="0"/>
        <v>#DIV/0!</v>
      </c>
      <c r="AM54" s="51" t="e">
        <f t="shared" si="1"/>
        <v>#DIV/0!</v>
      </c>
    </row>
    <row r="55" spans="1:39" x14ac:dyDescent="0.25">
      <c r="A55" s="71"/>
      <c r="B55" s="72"/>
      <c r="C55" s="73"/>
      <c r="D55" s="147"/>
      <c r="E55" s="75"/>
      <c r="F55" s="73"/>
      <c r="G55" s="147"/>
      <c r="H55" s="75"/>
      <c r="I55" s="73"/>
      <c r="J55" s="234"/>
      <c r="K55" s="73"/>
      <c r="L55" s="71"/>
      <c r="M55" s="73"/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f t="shared" ca="1" si="3"/>
        <v>0.29578124999999994</v>
      </c>
      <c r="AG55" s="1113"/>
      <c r="AH55" s="1110"/>
      <c r="AI55" s="238"/>
      <c r="AJ55" s="838"/>
      <c r="AK55" s="839"/>
      <c r="AL55" s="51" t="e">
        <f t="shared" si="0"/>
        <v>#DIV/0!</v>
      </c>
      <c r="AM55" s="51" t="e">
        <f t="shared" si="1"/>
        <v>#DIV/0!</v>
      </c>
    </row>
    <row r="56" spans="1:39" x14ac:dyDescent="0.25">
      <c r="A56" s="71"/>
      <c r="B56" s="72"/>
      <c r="C56" s="73"/>
      <c r="D56" s="147"/>
      <c r="E56" s="75"/>
      <c r="F56" s="73"/>
      <c r="G56" s="147"/>
      <c r="H56" s="75"/>
      <c r="I56" s="73"/>
      <c r="J56" s="234"/>
      <c r="K56" s="73"/>
      <c r="L56" s="71"/>
      <c r="M56" s="73"/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f t="shared" ca="1" si="3"/>
        <v>0.29578124999999994</v>
      </c>
      <c r="AG56" s="1113"/>
      <c r="AH56" s="1110"/>
      <c r="AI56" s="238"/>
      <c r="AJ56" s="838"/>
      <c r="AK56" s="839"/>
      <c r="AL56" s="51" t="e">
        <f t="shared" si="0"/>
        <v>#DIV/0!</v>
      </c>
      <c r="AM56" s="51" t="e">
        <f t="shared" si="1"/>
        <v>#DIV/0!</v>
      </c>
    </row>
    <row r="57" spans="1:39" x14ac:dyDescent="0.25">
      <c r="A57" s="71"/>
      <c r="B57" s="72"/>
      <c r="C57" s="73"/>
      <c r="D57" s="147"/>
      <c r="E57" s="75"/>
      <c r="F57" s="73"/>
      <c r="G57" s="147"/>
      <c r="H57" s="75"/>
      <c r="I57" s="73"/>
      <c r="J57" s="234"/>
      <c r="K57" s="73"/>
      <c r="L57" s="71"/>
      <c r="M57" s="73"/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f t="shared" ca="1" si="3"/>
        <v>0.29578124999999994</v>
      </c>
      <c r="AG57" s="1113"/>
      <c r="AH57" s="1110"/>
      <c r="AI57" s="238"/>
      <c r="AJ57" s="838"/>
      <c r="AK57" s="839"/>
      <c r="AL57" s="51" t="e">
        <f t="shared" si="0"/>
        <v>#DIV/0!</v>
      </c>
      <c r="AM57" s="51" t="e">
        <f t="shared" si="1"/>
        <v>#DIV/0!</v>
      </c>
    </row>
    <row r="58" spans="1:39" x14ac:dyDescent="0.25">
      <c r="A58" s="71"/>
      <c r="B58" s="72"/>
      <c r="C58" s="73"/>
      <c r="D58" s="147"/>
      <c r="E58" s="75"/>
      <c r="F58" s="73"/>
      <c r="G58" s="147"/>
      <c r="H58" s="75"/>
      <c r="I58" s="73"/>
      <c r="J58" s="234"/>
      <c r="K58" s="73"/>
      <c r="L58" s="71"/>
      <c r="M58" s="73"/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f t="shared" ca="1" si="3"/>
        <v>0.29578124999999994</v>
      </c>
      <c r="AG58" s="1113"/>
      <c r="AH58" s="1110"/>
      <c r="AI58" s="238"/>
      <c r="AJ58" s="838"/>
      <c r="AK58" s="839"/>
      <c r="AL58" s="51" t="e">
        <f t="shared" si="0"/>
        <v>#DIV/0!</v>
      </c>
      <c r="AM58" s="51" t="e">
        <f t="shared" si="1"/>
        <v>#DIV/0!</v>
      </c>
    </row>
    <row r="59" spans="1:39" x14ac:dyDescent="0.25">
      <c r="A59" s="71"/>
      <c r="B59" s="72"/>
      <c r="C59" s="73"/>
      <c r="D59" s="147"/>
      <c r="E59" s="75"/>
      <c r="F59" s="73"/>
      <c r="G59" s="147"/>
      <c r="H59" s="75"/>
      <c r="I59" s="73"/>
      <c r="J59" s="234"/>
      <c r="K59" s="73"/>
      <c r="L59" s="71"/>
      <c r="M59" s="73"/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f t="shared" ca="1" si="3"/>
        <v>0.29578124999999994</v>
      </c>
      <c r="AG59" s="1113"/>
      <c r="AH59" s="1110"/>
      <c r="AI59" s="238"/>
      <c r="AJ59" s="838"/>
      <c r="AK59" s="839"/>
      <c r="AL59" s="51" t="e">
        <f t="shared" si="0"/>
        <v>#DIV/0!</v>
      </c>
      <c r="AM59" s="51" t="e">
        <f t="shared" si="1"/>
        <v>#DIV/0!</v>
      </c>
    </row>
    <row r="60" spans="1:39" x14ac:dyDescent="0.25">
      <c r="A60" s="71"/>
      <c r="B60" s="72"/>
      <c r="C60" s="73"/>
      <c r="D60" s="147"/>
      <c r="E60" s="75"/>
      <c r="F60" s="73"/>
      <c r="G60" s="147"/>
      <c r="H60" s="75"/>
      <c r="I60" s="73"/>
      <c r="J60" s="234"/>
      <c r="K60" s="73"/>
      <c r="L60" s="71"/>
      <c r="M60" s="73"/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f t="shared" ca="1" si="3"/>
        <v>0.29578124999999994</v>
      </c>
      <c r="AG60" s="1113"/>
      <c r="AH60" s="1110"/>
      <c r="AI60" s="238"/>
      <c r="AJ60" s="838"/>
      <c r="AK60" s="839"/>
      <c r="AL60" s="51" t="e">
        <f t="shared" si="0"/>
        <v>#DIV/0!</v>
      </c>
      <c r="AM60" s="51" t="e">
        <f t="shared" si="1"/>
        <v>#DIV/0!</v>
      </c>
    </row>
    <row r="61" spans="1:39" x14ac:dyDescent="0.25">
      <c r="A61" s="71"/>
      <c r="B61" s="72"/>
      <c r="C61" s="73"/>
      <c r="D61" s="147"/>
      <c r="E61" s="75"/>
      <c r="F61" s="73"/>
      <c r="G61" s="147"/>
      <c r="H61" s="75"/>
      <c r="I61" s="73"/>
      <c r="J61" s="234"/>
      <c r="K61" s="73"/>
      <c r="L61" s="71"/>
      <c r="M61" s="73"/>
      <c r="N61" s="894"/>
      <c r="O61" s="73"/>
      <c r="P61" s="71"/>
      <c r="Q61" s="73"/>
      <c r="R61" s="71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>
        <f t="shared" ca="1" si="3"/>
        <v>0.29578124999999994</v>
      </c>
      <c r="AG61" s="1113"/>
      <c r="AH61" s="1110"/>
      <c r="AI61" s="238"/>
      <c r="AJ61" s="838"/>
      <c r="AK61" s="839"/>
      <c r="AL61" s="51" t="e">
        <f t="shared" si="0"/>
        <v>#DIV/0!</v>
      </c>
      <c r="AM61" s="51" t="e">
        <f t="shared" si="1"/>
        <v>#DIV/0!</v>
      </c>
    </row>
    <row r="62" spans="1:39" x14ac:dyDescent="0.25">
      <c r="A62" s="71"/>
      <c r="B62" s="72"/>
      <c r="C62" s="73"/>
      <c r="D62" s="147"/>
      <c r="E62" s="75"/>
      <c r="F62" s="73"/>
      <c r="G62" s="147"/>
      <c r="H62" s="75"/>
      <c r="I62" s="73"/>
      <c r="J62" s="234"/>
      <c r="K62" s="73"/>
      <c r="L62" s="71"/>
      <c r="M62" s="73"/>
      <c r="N62" s="894"/>
      <c r="O62" s="73"/>
      <c r="P62" s="71"/>
      <c r="Q62" s="73"/>
      <c r="R62" s="71"/>
      <c r="S62" s="73"/>
      <c r="T62" s="894"/>
      <c r="U62" s="1199"/>
      <c r="V62" s="73"/>
      <c r="W62" s="894"/>
      <c r="X62" s="1199"/>
      <c r="Y62" s="73"/>
      <c r="Z62" s="894"/>
      <c r="AA62" s="1199"/>
      <c r="AB62" s="73"/>
      <c r="AC62" s="894"/>
      <c r="AD62" s="1199"/>
      <c r="AE62" s="73"/>
      <c r="AF62" s="1112">
        <f t="shared" ca="1" si="3"/>
        <v>0.29578124999999994</v>
      </c>
      <c r="AG62" s="1113"/>
      <c r="AH62" s="1110"/>
      <c r="AI62" s="238"/>
      <c r="AJ62" s="838"/>
      <c r="AK62" s="839"/>
      <c r="AL62" s="51" t="e">
        <f t="shared" si="0"/>
        <v>#DIV/0!</v>
      </c>
      <c r="AM62" s="51" t="e">
        <f t="shared" si="1"/>
        <v>#DIV/0!</v>
      </c>
    </row>
    <row r="63" spans="1:39" x14ac:dyDescent="0.25">
      <c r="A63" s="71"/>
      <c r="B63" s="72"/>
      <c r="C63" s="73"/>
      <c r="D63" s="147"/>
      <c r="E63" s="75"/>
      <c r="F63" s="73"/>
      <c r="G63" s="147"/>
      <c r="H63" s="75"/>
      <c r="I63" s="73"/>
      <c r="J63" s="234"/>
      <c r="K63" s="73"/>
      <c r="L63" s="71"/>
      <c r="M63" s="73"/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f t="shared" ca="1" si="3"/>
        <v>0.29578124999999994</v>
      </c>
      <c r="AG63" s="1113"/>
      <c r="AH63" s="1110"/>
      <c r="AI63" s="238"/>
      <c r="AJ63" s="838"/>
      <c r="AK63" s="839"/>
      <c r="AL63" s="51" t="e">
        <f t="shared" si="0"/>
        <v>#DIV/0!</v>
      </c>
      <c r="AM63" s="51" t="e">
        <f t="shared" si="1"/>
        <v>#DIV/0!</v>
      </c>
    </row>
    <row r="64" spans="1:39" x14ac:dyDescent="0.25">
      <c r="A64" s="71"/>
      <c r="B64" s="72"/>
      <c r="C64" s="73"/>
      <c r="D64" s="147"/>
      <c r="E64" s="75"/>
      <c r="F64" s="73"/>
      <c r="G64" s="147"/>
      <c r="H64" s="75"/>
      <c r="I64" s="73"/>
      <c r="J64" s="234"/>
      <c r="K64" s="73"/>
      <c r="L64" s="71"/>
      <c r="M64" s="73"/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f t="shared" ca="1" si="3"/>
        <v>0.29578124999999994</v>
      </c>
      <c r="AG64" s="1113"/>
      <c r="AH64" s="1110"/>
      <c r="AI64" s="238"/>
      <c r="AJ64" s="838"/>
      <c r="AK64" s="839"/>
      <c r="AL64" s="51" t="e">
        <f t="shared" si="0"/>
        <v>#DIV/0!</v>
      </c>
      <c r="AM64" s="51" t="e">
        <f t="shared" si="1"/>
        <v>#DIV/0!</v>
      </c>
    </row>
    <row r="65" spans="1:39" x14ac:dyDescent="0.25">
      <c r="A65" s="71"/>
      <c r="B65" s="72"/>
      <c r="C65" s="73"/>
      <c r="D65" s="147"/>
      <c r="E65" s="75"/>
      <c r="F65" s="73"/>
      <c r="G65" s="147"/>
      <c r="H65" s="75"/>
      <c r="I65" s="73"/>
      <c r="J65" s="234"/>
      <c r="K65" s="73"/>
      <c r="L65" s="71"/>
      <c r="M65" s="73"/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f t="shared" ca="1" si="3"/>
        <v>0.29578124999999994</v>
      </c>
      <c r="AG65" s="1113"/>
      <c r="AH65" s="1110"/>
      <c r="AI65" s="238"/>
      <c r="AJ65" s="838"/>
      <c r="AK65" s="839"/>
      <c r="AL65" s="51" t="e">
        <f t="shared" si="0"/>
        <v>#DIV/0!</v>
      </c>
      <c r="AM65" s="51" t="e">
        <f t="shared" si="1"/>
        <v>#DIV/0!</v>
      </c>
    </row>
    <row r="66" spans="1:39" x14ac:dyDescent="0.25">
      <c r="A66" s="71"/>
      <c r="B66" s="72"/>
      <c r="C66" s="73"/>
      <c r="D66" s="147"/>
      <c r="E66" s="75"/>
      <c r="F66" s="73"/>
      <c r="G66" s="147"/>
      <c r="H66" s="75"/>
      <c r="I66" s="73"/>
      <c r="J66" s="234"/>
      <c r="K66" s="73"/>
      <c r="L66" s="71"/>
      <c r="M66" s="73"/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f t="shared" ca="1" si="3"/>
        <v>0.29578124999999994</v>
      </c>
      <c r="AG66" s="1113"/>
      <c r="AH66" s="1110"/>
      <c r="AI66" s="238"/>
      <c r="AJ66" s="838"/>
      <c r="AK66" s="839"/>
      <c r="AL66" s="51" t="e">
        <f t="shared" si="0"/>
        <v>#DIV/0!</v>
      </c>
      <c r="AM66" s="51" t="e">
        <f t="shared" si="1"/>
        <v>#DIV/0!</v>
      </c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71"/>
      <c r="M67" s="73"/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ca="1" si="3"/>
        <v>0.29578124999999994</v>
      </c>
      <c r="AG67" s="1113"/>
      <c r="AH67" s="1110"/>
      <c r="AI67" s="238"/>
      <c r="AJ67" s="838"/>
      <c r="AK67" s="839"/>
      <c r="AL67" s="51" t="e">
        <f t="shared" si="0"/>
        <v>#DIV/0!</v>
      </c>
      <c r="AM67" s="51" t="e">
        <f t="shared" si="1"/>
        <v>#DIV/0!</v>
      </c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71"/>
      <c r="M68" s="73"/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3"/>
        <v>0.29578124999999994</v>
      </c>
      <c r="AG68" s="1113"/>
      <c r="AH68" s="1110"/>
      <c r="AI68" s="238"/>
      <c r="AJ68" s="838"/>
      <c r="AK68" s="839"/>
      <c r="AL68" s="51" t="e">
        <f t="shared" si="0"/>
        <v>#DIV/0!</v>
      </c>
      <c r="AM68" s="51" t="e">
        <f t="shared" si="1"/>
        <v>#DIV/0!</v>
      </c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71"/>
      <c r="M69" s="73"/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3"/>
        <v>0.29578124999999994</v>
      </c>
      <c r="AG69" s="1113"/>
      <c r="AH69" s="1110"/>
      <c r="AI69" s="238"/>
      <c r="AJ69" s="838"/>
      <c r="AK69" s="839"/>
      <c r="AL69" s="51" t="e">
        <f t="shared" si="0"/>
        <v>#DIV/0!</v>
      </c>
      <c r="AM69" s="51" t="e">
        <f t="shared" si="1"/>
        <v>#DIV/0!</v>
      </c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71"/>
      <c r="M70" s="73"/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3"/>
        <v>0.29578124999999994</v>
      </c>
      <c r="AG70" s="1113"/>
      <c r="AH70" s="1110"/>
      <c r="AI70" s="238"/>
      <c r="AJ70" s="838"/>
      <c r="AK70" s="839"/>
      <c r="AL70" s="51" t="e">
        <f t="shared" si="0"/>
        <v>#DIV/0!</v>
      </c>
      <c r="AM70" s="51" t="e">
        <f t="shared" si="1"/>
        <v>#DIV/0!</v>
      </c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71"/>
      <c r="M71" s="73"/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3"/>
        <v>0.29578124999999994</v>
      </c>
      <c r="AG71" s="1113"/>
      <c r="AH71" s="1110"/>
      <c r="AI71" s="238"/>
      <c r="AJ71" s="838"/>
      <c r="AK71" s="839"/>
      <c r="AL71" s="51" t="e">
        <f t="shared" si="0"/>
        <v>#DIV/0!</v>
      </c>
      <c r="AM71" s="51" t="e">
        <f t="shared" si="1"/>
        <v>#DIV/0!</v>
      </c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71"/>
      <c r="M72" s="73"/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3"/>
        <v>0.29578124999999994</v>
      </c>
      <c r="AG72" s="1113"/>
      <c r="AH72" s="1110"/>
      <c r="AI72" s="238"/>
      <c r="AJ72" s="838"/>
      <c r="AK72" s="839"/>
      <c r="AL72" s="51" t="e">
        <f t="shared" si="0"/>
        <v>#DIV/0!</v>
      </c>
      <c r="AM72" s="51" t="e">
        <f t="shared" si="1"/>
        <v>#DIV/0!</v>
      </c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71"/>
      <c r="M73" s="73"/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3"/>
        <v>0.29578124999999994</v>
      </c>
      <c r="AG73" s="1113"/>
      <c r="AH73" s="1110"/>
      <c r="AI73" s="238"/>
      <c r="AJ73" s="838"/>
      <c r="AK73" s="839"/>
      <c r="AL73" s="51" t="e">
        <f t="shared" ref="AL73:AL96" si="4">C73/B73</f>
        <v>#DIV/0!</v>
      </c>
      <c r="AM73" s="51" t="e">
        <f t="shared" ref="AM73:AM96" si="5">AL73-$AL$8</f>
        <v>#DIV/0!</v>
      </c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71"/>
      <c r="M74" s="73"/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3"/>
        <v>0.29578124999999994</v>
      </c>
      <c r="AG74" s="1113"/>
      <c r="AH74" s="1110"/>
      <c r="AI74" s="238"/>
      <c r="AJ74" s="838"/>
      <c r="AK74" s="839"/>
      <c r="AL74" s="51" t="e">
        <f t="shared" si="4"/>
        <v>#DIV/0!</v>
      </c>
      <c r="AM74" s="51" t="e">
        <f t="shared" si="5"/>
        <v>#DIV/0!</v>
      </c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71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3"/>
        <v>0.29578124999999994</v>
      </c>
      <c r="AG75" s="1113"/>
      <c r="AH75" s="1110"/>
      <c r="AI75" s="238"/>
      <c r="AJ75" s="838"/>
      <c r="AK75" s="839"/>
      <c r="AL75" s="51" t="e">
        <f t="shared" si="4"/>
        <v>#DIV/0!</v>
      </c>
      <c r="AM75" s="51" t="e">
        <f t="shared" si="5"/>
        <v>#DIV/0!</v>
      </c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71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3"/>
        <v>0.29578124999999994</v>
      </c>
      <c r="AG76" s="1113"/>
      <c r="AH76" s="1110"/>
      <c r="AI76" s="238"/>
      <c r="AJ76" s="838"/>
      <c r="AK76" s="839"/>
      <c r="AL76" s="51" t="e">
        <f t="shared" si="4"/>
        <v>#DIV/0!</v>
      </c>
      <c r="AM76" s="51" t="e">
        <f t="shared" si="5"/>
        <v>#DIV/0!</v>
      </c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71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3"/>
        <v>0.29578124999999994</v>
      </c>
      <c r="AG77" s="1113"/>
      <c r="AH77" s="1110"/>
      <c r="AI77" s="238"/>
      <c r="AJ77" s="838"/>
      <c r="AK77" s="839"/>
      <c r="AL77" s="51" t="e">
        <f t="shared" si="4"/>
        <v>#DIV/0!</v>
      </c>
      <c r="AM77" s="51" t="e">
        <f t="shared" si="5"/>
        <v>#DIV/0!</v>
      </c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71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3"/>
        <v>0.29578124999999994</v>
      </c>
      <c r="AG78" s="1113"/>
      <c r="AH78" s="1110"/>
      <c r="AI78" s="238"/>
      <c r="AJ78" s="838"/>
      <c r="AK78" s="839"/>
      <c r="AL78" s="51" t="e">
        <f t="shared" si="4"/>
        <v>#DIV/0!</v>
      </c>
      <c r="AM78" s="51" t="e">
        <f t="shared" si="5"/>
        <v>#DIV/0!</v>
      </c>
    </row>
    <row r="79" spans="1:39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71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3"/>
        <v>0.29578124999999994</v>
      </c>
      <c r="AG79" s="1113"/>
      <c r="AH79" s="1110"/>
      <c r="AI79" s="238"/>
      <c r="AJ79" s="838"/>
      <c r="AK79" s="839"/>
      <c r="AL79" s="51" t="e">
        <f t="shared" si="4"/>
        <v>#DIV/0!</v>
      </c>
      <c r="AM79" s="51" t="e">
        <f t="shared" si="5"/>
        <v>#DIV/0!</v>
      </c>
    </row>
    <row r="80" spans="1:39" x14ac:dyDescent="0.25">
      <c r="A80" s="71"/>
      <c r="B80" s="72"/>
      <c r="C80" s="73"/>
      <c r="D80" s="147"/>
      <c r="E80" s="75"/>
      <c r="F80" s="73"/>
      <c r="G80" s="1161"/>
      <c r="H80" s="831"/>
      <c r="I80" s="835"/>
      <c r="J80" s="234"/>
      <c r="K80" s="73"/>
      <c r="L80" s="71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3"/>
        <v>0.29578124999999994</v>
      </c>
      <c r="AG80" s="1113"/>
      <c r="AH80" s="1110"/>
      <c r="AI80" s="238"/>
      <c r="AJ80" s="838"/>
      <c r="AK80" s="839"/>
      <c r="AL80" s="51" t="e">
        <f t="shared" si="4"/>
        <v>#DIV/0!</v>
      </c>
      <c r="AM80" s="51" t="e">
        <f t="shared" si="5"/>
        <v>#DIV/0!</v>
      </c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71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3"/>
        <v>0.29578124999999994</v>
      </c>
      <c r="AG81" s="1113"/>
      <c r="AH81" s="1110"/>
      <c r="AI81" s="238"/>
      <c r="AJ81" s="838"/>
      <c r="AK81" s="839"/>
      <c r="AL81" s="51" t="e">
        <f t="shared" si="4"/>
        <v>#DIV/0!</v>
      </c>
      <c r="AM81" s="51" t="e">
        <f t="shared" si="5"/>
        <v>#DIV/0!</v>
      </c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71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3"/>
        <v>0.29578124999999994</v>
      </c>
      <c r="AG82" s="1113"/>
      <c r="AH82" s="1110"/>
      <c r="AI82" s="238"/>
      <c r="AJ82" s="838"/>
      <c r="AK82" s="839"/>
      <c r="AL82" s="51" t="e">
        <f t="shared" si="4"/>
        <v>#DIV/0!</v>
      </c>
      <c r="AM82" s="51" t="e">
        <f t="shared" si="5"/>
        <v>#DIV/0!</v>
      </c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71"/>
      <c r="M83" s="73"/>
      <c r="N83" s="894"/>
      <c r="O83" s="73"/>
      <c r="P83" s="71"/>
      <c r="Q83" s="73"/>
      <c r="R83" s="71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3"/>
        <v>0.29578124999999994</v>
      </c>
      <c r="AG83" s="1113"/>
      <c r="AH83" s="1110"/>
      <c r="AI83" s="238"/>
      <c r="AJ83" s="838"/>
      <c r="AK83" s="839"/>
      <c r="AL83" s="51" t="e">
        <f t="shared" si="4"/>
        <v>#DIV/0!</v>
      </c>
      <c r="AM83" s="51" t="e">
        <f t="shared" si="5"/>
        <v>#DIV/0!</v>
      </c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71"/>
      <c r="M84" s="73"/>
      <c r="N84" s="894"/>
      <c r="O84" s="73"/>
      <c r="P84" s="71"/>
      <c r="Q84" s="73"/>
      <c r="R84" s="71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3"/>
        <v>0.29578124999999994</v>
      </c>
      <c r="AG84" s="1113"/>
      <c r="AH84" s="1110"/>
      <c r="AI84" s="238"/>
      <c r="AJ84" s="838"/>
      <c r="AK84" s="839"/>
      <c r="AL84" s="51" t="e">
        <f t="shared" si="4"/>
        <v>#DIV/0!</v>
      </c>
      <c r="AM84" s="51" t="e">
        <f t="shared" si="5"/>
        <v>#DIV/0!</v>
      </c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71"/>
      <c r="M85" s="73"/>
      <c r="N85" s="894"/>
      <c r="O85" s="73"/>
      <c r="P85" s="71"/>
      <c r="Q85" s="73"/>
      <c r="R85" s="71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3"/>
        <v>0.29578124999999994</v>
      </c>
      <c r="AG85" s="1113"/>
      <c r="AH85" s="1110"/>
      <c r="AI85" s="238"/>
      <c r="AJ85" s="838"/>
      <c r="AK85" s="839"/>
      <c r="AL85" s="51" t="e">
        <f t="shared" si="4"/>
        <v>#DIV/0!</v>
      </c>
      <c r="AM85" s="51" t="e">
        <f t="shared" si="5"/>
        <v>#DIV/0!</v>
      </c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71"/>
      <c r="M86" s="73"/>
      <c r="N86" s="894"/>
      <c r="O86" s="73"/>
      <c r="P86" s="71"/>
      <c r="Q86" s="73"/>
      <c r="R86" s="71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ref="AF86:AF96" ca="1" si="6">$F$5</f>
        <v>0.29578124999999994</v>
      </c>
      <c r="AG86" s="1113"/>
      <c r="AH86" s="1110"/>
      <c r="AI86" s="238"/>
      <c r="AJ86" s="838"/>
      <c r="AK86" s="839"/>
      <c r="AL86" s="51" t="e">
        <f t="shared" si="4"/>
        <v>#DIV/0!</v>
      </c>
      <c r="AM86" s="51" t="e">
        <f t="shared" si="5"/>
        <v>#DIV/0!</v>
      </c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71"/>
      <c r="M87" s="73"/>
      <c r="N87" s="894"/>
      <c r="O87" s="73"/>
      <c r="P87" s="71"/>
      <c r="Q87" s="73"/>
      <c r="R87" s="71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6"/>
        <v>0.29578124999999994</v>
      </c>
      <c r="AG87" s="1113"/>
      <c r="AH87" s="1110"/>
      <c r="AI87" s="238"/>
      <c r="AJ87" s="838"/>
      <c r="AK87" s="839"/>
      <c r="AL87" s="51" t="e">
        <f t="shared" si="4"/>
        <v>#DIV/0!</v>
      </c>
      <c r="AM87" s="51" t="e">
        <f t="shared" si="5"/>
        <v>#DIV/0!</v>
      </c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71"/>
      <c r="M88" s="73"/>
      <c r="N88" s="894"/>
      <c r="O88" s="73"/>
      <c r="P88" s="71"/>
      <c r="Q88" s="73"/>
      <c r="R88" s="71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6"/>
        <v>0.29578124999999994</v>
      </c>
      <c r="AG88" s="1113"/>
      <c r="AH88" s="1110"/>
      <c r="AI88" s="238"/>
      <c r="AJ88" s="838"/>
      <c r="AK88" s="839"/>
      <c r="AL88" s="51" t="e">
        <f t="shared" si="4"/>
        <v>#DIV/0!</v>
      </c>
      <c r="AM88" s="51" t="e">
        <f t="shared" si="5"/>
        <v>#DIV/0!</v>
      </c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71"/>
      <c r="M89" s="73"/>
      <c r="N89" s="894"/>
      <c r="O89" s="73"/>
      <c r="P89" s="71"/>
      <c r="Q89" s="73"/>
      <c r="R89" s="71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6"/>
        <v>0.29578124999999994</v>
      </c>
      <c r="AG89" s="1113"/>
      <c r="AH89" s="1110"/>
      <c r="AI89" s="238"/>
      <c r="AJ89" s="838"/>
      <c r="AK89" s="839"/>
      <c r="AL89" s="51" t="e">
        <f t="shared" si="4"/>
        <v>#DIV/0!</v>
      </c>
      <c r="AM89" s="51" t="e">
        <f t="shared" si="5"/>
        <v>#DIV/0!</v>
      </c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71"/>
      <c r="M90" s="73"/>
      <c r="N90" s="894"/>
      <c r="O90" s="73"/>
      <c r="P90" s="71"/>
      <c r="Q90" s="73"/>
      <c r="R90" s="71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6"/>
        <v>0.29578124999999994</v>
      </c>
      <c r="AG90" s="1113"/>
      <c r="AH90" s="1110"/>
      <c r="AI90" s="238"/>
      <c r="AJ90" s="838"/>
      <c r="AK90" s="839"/>
      <c r="AL90" s="51" t="e">
        <f t="shared" si="4"/>
        <v>#DIV/0!</v>
      </c>
      <c r="AM90" s="51" t="e">
        <f t="shared" si="5"/>
        <v>#DIV/0!</v>
      </c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71"/>
      <c r="M91" s="73"/>
      <c r="N91" s="894"/>
      <c r="O91" s="73"/>
      <c r="P91" s="71"/>
      <c r="Q91" s="73"/>
      <c r="R91" s="71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6"/>
        <v>0.29578124999999994</v>
      </c>
      <c r="AG91" s="1113"/>
      <c r="AH91" s="1110"/>
      <c r="AI91" s="238"/>
      <c r="AJ91" s="838"/>
      <c r="AK91" s="839"/>
      <c r="AL91" s="51" t="e">
        <f t="shared" si="4"/>
        <v>#DIV/0!</v>
      </c>
      <c r="AM91" s="51" t="e">
        <f t="shared" si="5"/>
        <v>#DIV/0!</v>
      </c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71"/>
      <c r="M92" s="73"/>
      <c r="N92" s="894"/>
      <c r="O92" s="73"/>
      <c r="P92" s="71"/>
      <c r="Q92" s="73"/>
      <c r="R92" s="71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6"/>
        <v>0.29578124999999994</v>
      </c>
      <c r="AG92" s="1113"/>
      <c r="AH92" s="1110"/>
      <c r="AI92" s="238"/>
      <c r="AJ92" s="838"/>
      <c r="AK92" s="839"/>
      <c r="AL92" s="51" t="e">
        <f t="shared" si="4"/>
        <v>#DIV/0!</v>
      </c>
      <c r="AM92" s="51" t="e">
        <f t="shared" si="5"/>
        <v>#DIV/0!</v>
      </c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71"/>
      <c r="M93" s="73"/>
      <c r="N93" s="894"/>
      <c r="O93" s="73"/>
      <c r="P93" s="71"/>
      <c r="Q93" s="73"/>
      <c r="R93" s="71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6"/>
        <v>0.29578124999999994</v>
      </c>
      <c r="AG93" s="1113"/>
      <c r="AH93" s="1110"/>
      <c r="AI93" s="238"/>
      <c r="AJ93" s="838"/>
      <c r="AK93" s="839"/>
      <c r="AL93" s="51" t="e">
        <f t="shared" si="4"/>
        <v>#DIV/0!</v>
      </c>
      <c r="AM93" s="51" t="e">
        <f t="shared" si="5"/>
        <v>#DIV/0!</v>
      </c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71"/>
      <c r="M94" s="73"/>
      <c r="N94" s="894"/>
      <c r="O94" s="73"/>
      <c r="P94" s="71"/>
      <c r="Q94" s="73"/>
      <c r="R94" s="71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6"/>
        <v>0.29578124999999994</v>
      </c>
      <c r="AG94" s="1113"/>
      <c r="AH94" s="1110"/>
      <c r="AI94" s="238"/>
      <c r="AJ94" s="838"/>
      <c r="AK94" s="839"/>
      <c r="AL94" s="51" t="e">
        <f t="shared" si="4"/>
        <v>#DIV/0!</v>
      </c>
      <c r="AM94" s="51" t="e">
        <f t="shared" si="5"/>
        <v>#DIV/0!</v>
      </c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71"/>
      <c r="M95" s="73"/>
      <c r="N95" s="894"/>
      <c r="O95" s="73"/>
      <c r="P95" s="71"/>
      <c r="Q95" s="73"/>
      <c r="R95" s="71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6"/>
        <v>0.29578124999999994</v>
      </c>
      <c r="AG95" s="1113"/>
      <c r="AH95" s="1110"/>
      <c r="AI95" s="238"/>
      <c r="AJ95" s="838"/>
      <c r="AK95" s="839"/>
      <c r="AL95" s="51" t="e">
        <f t="shared" si="4"/>
        <v>#DIV/0!</v>
      </c>
      <c r="AM95" s="51" t="e">
        <f t="shared" si="5"/>
        <v>#DIV/0!</v>
      </c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71"/>
      <c r="M96" s="73"/>
      <c r="N96" s="894"/>
      <c r="O96" s="73"/>
      <c r="P96" s="71"/>
      <c r="Q96" s="73"/>
      <c r="R96" s="71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6"/>
        <v>0.29578124999999994</v>
      </c>
      <c r="AG96" s="1113"/>
      <c r="AH96" s="1110"/>
      <c r="AI96" s="238"/>
      <c r="AJ96" s="838"/>
      <c r="AK96" s="839"/>
      <c r="AL96" s="51" t="e">
        <f t="shared" si="4"/>
        <v>#DIV/0!</v>
      </c>
      <c r="AM96" s="51" t="e">
        <f t="shared" si="5"/>
        <v>#DIV/0!</v>
      </c>
    </row>
    <row r="97" spans="1:38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77"/>
      <c r="M97" s="79"/>
      <c r="N97" s="1154"/>
      <c r="O97" s="79"/>
      <c r="P97" s="77"/>
      <c r="Q97" s="79"/>
      <c r="R97" s="77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840"/>
      <c r="AK97" s="841"/>
      <c r="AL97" s="51"/>
    </row>
    <row r="98" spans="1:38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0.34702242348156698</v>
      </c>
      <c r="AG98" s="1109" t="e">
        <f>AVERAGE(AG9:AG97)</f>
        <v>#DIV/0!</v>
      </c>
      <c r="AH98" s="1228">
        <f ca="1">D99-C99</f>
        <v>776</v>
      </c>
      <c r="AI98" s="1229"/>
      <c r="AJ98" s="273"/>
      <c r="AK98" s="273"/>
      <c r="AL98" s="1213"/>
    </row>
    <row r="99" spans="1:38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0.33560248923398145</v>
      </c>
      <c r="G99" s="1208">
        <f ca="1">J4+C101+F101+I101+K101+M101+O101+Q101+S101+V101+Y101+AB101+AE101</f>
        <v>0.99999999999999989</v>
      </c>
      <c r="H99" s="1210" t="s">
        <v>962</v>
      </c>
      <c r="I99" s="1207">
        <f ca="1">F99-F5</f>
        <v>3.9821239233981509E-2</v>
      </c>
      <c r="J99" s="1303">
        <f ca="1">(F99/F5)-1</f>
        <v>0.134630708450862</v>
      </c>
      <c r="K99" s="2253">
        <f ca="1">((D99-C99)/(365.25/12)*F3)+C102+F102+I102+K102+M102+O102+Q102+S102+AE106</f>
        <v>260.42753164556962</v>
      </c>
      <c r="L99" s="2253"/>
      <c r="M99" s="1472" t="s">
        <v>1135</v>
      </c>
      <c r="N99" s="1470"/>
      <c r="O99" s="1471"/>
      <c r="P99" s="1188"/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0</v>
      </c>
      <c r="AH99" s="1226" t="e">
        <f>AVERAGE(AH9:AH97)</f>
        <v>#DIV/0!</v>
      </c>
      <c r="AI99" s="150"/>
      <c r="AJ99" s="150"/>
      <c r="AK99" s="150"/>
    </row>
    <row r="100" spans="1:38" s="561" customFormat="1" x14ac:dyDescent="0.25">
      <c r="A100" s="1178" t="s">
        <v>1022</v>
      </c>
      <c r="B100" s="1179"/>
      <c r="C100" s="1180">
        <v>0</v>
      </c>
      <c r="D100" s="2252" t="s">
        <v>1023</v>
      </c>
      <c r="E100" s="2246"/>
      <c r="F100" s="1180">
        <f ca="1">F102/$AH$98</f>
        <v>0</v>
      </c>
      <c r="G100" s="2252" t="s">
        <v>1024</v>
      </c>
      <c r="H100" s="2246"/>
      <c r="I100" s="1180">
        <f ca="1">I102/$AH$98</f>
        <v>0</v>
      </c>
      <c r="J100" s="1181" t="s">
        <v>1025</v>
      </c>
      <c r="K100" s="1180">
        <f ca="1">K102/$AH$98</f>
        <v>0</v>
      </c>
      <c r="L100" s="1181" t="s">
        <v>1026</v>
      </c>
      <c r="M100" s="1180">
        <f ca="1">M102/$AH$98</f>
        <v>0</v>
      </c>
      <c r="N100" s="1181" t="s">
        <v>1027</v>
      </c>
      <c r="O100" s="1180">
        <f ca="1">O102/$AH$98</f>
        <v>6.4432989690721643E-2</v>
      </c>
      <c r="P100" s="1181" t="s">
        <v>1028</v>
      </c>
      <c r="Q100" s="1180">
        <f ca="1">Q102/$AH$98</f>
        <v>0</v>
      </c>
      <c r="R100" s="1181" t="s">
        <v>1029</v>
      </c>
      <c r="S100" s="1241">
        <f ca="1">S102/$AH$98</f>
        <v>0</v>
      </c>
      <c r="T100" s="2252" t="s">
        <v>1030</v>
      </c>
      <c r="U100" s="2246"/>
      <c r="V100" s="1180">
        <f ca="1">V102/$AH$98</f>
        <v>1.1082474226804123E-2</v>
      </c>
      <c r="W100" s="2252" t="s">
        <v>1031</v>
      </c>
      <c r="X100" s="2246"/>
      <c r="Y100" s="1180">
        <f ca="1">Y102/$AH$98</f>
        <v>0</v>
      </c>
      <c r="Z100" s="2252" t="s">
        <v>1032</v>
      </c>
      <c r="AA100" s="2246"/>
      <c r="AB100" s="1180">
        <f ca="1">AB102/$AH$98</f>
        <v>0</v>
      </c>
      <c r="AC100" s="2252" t="s">
        <v>1033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K100" s="150"/>
    </row>
    <row r="101" spans="1:38" s="561" customFormat="1" x14ac:dyDescent="0.25">
      <c r="A101" s="1192" t="s">
        <v>896</v>
      </c>
      <c r="B101" s="1193">
        <v>0</v>
      </c>
      <c r="C101" s="1183">
        <v>0</v>
      </c>
      <c r="D101" s="1184"/>
      <c r="E101" s="1185"/>
      <c r="F101" s="1183">
        <f ca="1">F100/$F$99</f>
        <v>0</v>
      </c>
      <c r="G101" s="1184"/>
      <c r="H101" s="1185"/>
      <c r="I101" s="1183">
        <f ca="1">I100/$F$99</f>
        <v>0</v>
      </c>
      <c r="J101" s="1243">
        <f ca="1">COUNTIFS(J9:J97,"&gt;="&amp;$C$99,J9:J97,"&lt;=" &amp;$D$99)</f>
        <v>0</v>
      </c>
      <c r="K101" s="1183">
        <f ca="1">K100/$F$99</f>
        <v>0</v>
      </c>
      <c r="L101" s="1184"/>
      <c r="M101" s="1183">
        <f ca="1">M100/$F$99</f>
        <v>0</v>
      </c>
      <c r="N101" s="1184"/>
      <c r="O101" s="1183">
        <f ca="1">O100/$F$99</f>
        <v>0.19199198980255203</v>
      </c>
      <c r="P101" s="1184"/>
      <c r="Q101" s="1183">
        <f ca="1">Q100/$F$99</f>
        <v>0</v>
      </c>
      <c r="R101" s="1184"/>
      <c r="S101" s="1183">
        <f ca="1">S100/$F$99</f>
        <v>0</v>
      </c>
      <c r="T101" s="1184"/>
      <c r="U101" s="1185"/>
      <c r="V101" s="1183">
        <f ca="1">V100/$F$99</f>
        <v>3.3022622246038948E-2</v>
      </c>
      <c r="W101" s="1184"/>
      <c r="X101" s="1185"/>
      <c r="Y101" s="1183">
        <f ca="1">Y100/$F$99</f>
        <v>0</v>
      </c>
      <c r="Z101" s="1184"/>
      <c r="AA101" s="1185"/>
      <c r="AB101" s="1183">
        <f ca="1">AB100/$F$99</f>
        <v>0</v>
      </c>
      <c r="AC101" s="1184"/>
      <c r="AD101" s="1185"/>
      <c r="AE101" s="1183">
        <f ca="1">AE100/$F$99</f>
        <v>0</v>
      </c>
      <c r="AF101" s="1217"/>
      <c r="AG101" s="1"/>
      <c r="AH101" s="5"/>
    </row>
    <row r="102" spans="1:38" x14ac:dyDescent="0.25">
      <c r="A102" s="1191" t="s">
        <v>878</v>
      </c>
      <c r="B102" s="1196">
        <f ca="1">SUMIFS($B$9:$B$97,$A$9:$A$97,"&gt;="&amp;$C99,$A$9:$A$97,"&lt;="&amp;$D99)</f>
        <v>0</v>
      </c>
      <c r="C102" s="1197">
        <f ca="1">SUMIFS($C$9:$C$97,$A$9:$A$97,"&gt;="&amp;$C99,$A$9:$A$97,"&lt;="&amp;$D99)</f>
        <v>0</v>
      </c>
      <c r="D102" s="2251" t="s">
        <v>880</v>
      </c>
      <c r="E102" s="2250"/>
      <c r="F102" s="1197">
        <f ca="1">SUMIFS($F$9:$F$97,$D$9:$D$97,"&gt;="&amp;$C99,$D$9:$D$97,"&lt;="&amp;$D99)</f>
        <v>0</v>
      </c>
      <c r="G102" s="2251" t="s">
        <v>882</v>
      </c>
      <c r="H102" s="2250"/>
      <c r="I102" s="1197">
        <f ca="1">SUMIFS($I$9:$I$97,$G$9:$G$97,"&gt;="&amp;$C99,$G$9:$G$97,"&lt;="&amp;$D99)</f>
        <v>0</v>
      </c>
      <c r="J102" s="1157" t="s">
        <v>899</v>
      </c>
      <c r="K102" s="1158">
        <f ca="1">SUMIFS(K9:K97,J9:J97,"&gt;="&amp;$C99,J9:J97,"&lt;="&amp;$D99)</f>
        <v>0</v>
      </c>
      <c r="L102" s="1157" t="s">
        <v>884</v>
      </c>
      <c r="M102" s="1158">
        <f ca="1">SUMIFS(M9:M97,L9:L97,"&gt;="&amp;$C99,L9:L97,"&lt;="&amp;$D99)</f>
        <v>0</v>
      </c>
      <c r="N102" s="1157" t="s">
        <v>909</v>
      </c>
      <c r="O102" s="1158">
        <f ca="1">SUMIFS(O9:O97,N9:N97,"&gt;="&amp;$C99,N9:N97,"&lt;="&amp;$D99)</f>
        <v>50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0</v>
      </c>
      <c r="T102" s="2251" t="s">
        <v>887</v>
      </c>
      <c r="U102" s="2250"/>
      <c r="V102" s="1158">
        <f ca="1">SUMIFS(V9:V97,T9:T97,"&gt;="&amp;$C99,T9:T97,"&lt;="&amp;$D99)</f>
        <v>8.6</v>
      </c>
      <c r="W102" s="2251" t="s">
        <v>913</v>
      </c>
      <c r="X102" s="2250"/>
      <c r="Y102" s="1158">
        <f ca="1">SUMIFS(Y9:Y97,W9:W97,"&gt;="&amp;$C99,W9:W97,"&lt;="&amp;$D99)</f>
        <v>0</v>
      </c>
      <c r="Z102" s="2251" t="s">
        <v>890</v>
      </c>
      <c r="AA102" s="2250"/>
      <c r="AB102" s="1158">
        <f ca="1">SUMIFS(AB9:AB97,Z9:Z97,"&gt;="&amp;$C99,Z9:Z97,"&lt;="&amp;$D99)</f>
        <v>0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K102" s="1"/>
    </row>
    <row r="103" spans="1:38" x14ac:dyDescent="0.25">
      <c r="A103" s="1194" t="s">
        <v>897</v>
      </c>
      <c r="B103" s="1195"/>
      <c r="C103" s="1203">
        <f>C100-C6</f>
        <v>0</v>
      </c>
      <c r="D103" s="1205" t="s">
        <v>897</v>
      </c>
      <c r="E103" s="1195"/>
      <c r="F103" s="1206">
        <f ca="1">F100-F6</f>
        <v>0</v>
      </c>
      <c r="G103" s="1204" t="s">
        <v>897</v>
      </c>
      <c r="H103" s="1195"/>
      <c r="I103" s="1203">
        <f ca="1">I100-I6</f>
        <v>-2.0767405063291139E-2</v>
      </c>
      <c r="J103" s="1205" t="s">
        <v>897</v>
      </c>
      <c r="K103" s="1206">
        <f ca="1">K100-K6</f>
        <v>-9.8892405063291146E-4</v>
      </c>
      <c r="L103" s="1204" t="s">
        <v>897</v>
      </c>
      <c r="M103" s="1203">
        <f ca="1">M100-M6</f>
        <v>0</v>
      </c>
      <c r="N103" s="1205" t="s">
        <v>897</v>
      </c>
      <c r="O103" s="1206">
        <f ca="1">O100-O6</f>
        <v>5.4543749184392532E-2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0</v>
      </c>
      <c r="T103" s="1205" t="s">
        <v>897</v>
      </c>
      <c r="U103" s="1195"/>
      <c r="V103" s="1206">
        <f ca="1">V100-V6</f>
        <v>7.0338191635129837E-3</v>
      </c>
      <c r="W103" s="1205" t="s">
        <v>897</v>
      </c>
      <c r="X103" s="1195"/>
      <c r="Y103" s="1206">
        <f ca="1">Y100-Y6</f>
        <v>0</v>
      </c>
      <c r="Z103" s="1205" t="s">
        <v>897</v>
      </c>
      <c r="AA103" s="1195"/>
      <c r="AB103" s="1206">
        <f ca="1">AB100-AB6</f>
        <v>0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  <c r="AK103" s="1"/>
    </row>
    <row r="104" spans="1:38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1035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1.1082474226804123E-2</v>
      </c>
      <c r="AI104" s="1"/>
      <c r="AJ104" s="1"/>
      <c r="AK104" s="1"/>
    </row>
    <row r="105" spans="1:38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3.3022622246038948E-2</v>
      </c>
      <c r="AI105" s="1"/>
      <c r="AJ105" s="1"/>
      <c r="AK105" s="1"/>
    </row>
    <row r="106" spans="1:38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8.6</v>
      </c>
      <c r="AF106" s="618"/>
      <c r="AH106" s="829"/>
    </row>
    <row r="107" spans="1:38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K107" s="802"/>
    </row>
    <row r="108" spans="1:38" s="7" customFormat="1" x14ac:dyDescent="0.25">
      <c r="A108" s="799">
        <v>43496</v>
      </c>
      <c r="B108" s="750" t="s">
        <v>376</v>
      </c>
      <c r="C108" s="750"/>
      <c r="D108" s="750" t="s">
        <v>539</v>
      </c>
      <c r="E108" s="776"/>
      <c r="F108" s="764">
        <v>33.97</v>
      </c>
      <c r="G108" s="750" t="s">
        <v>502</v>
      </c>
      <c r="H108" s="800"/>
      <c r="I108" s="800"/>
      <c r="J108" s="764"/>
      <c r="K108" s="800"/>
      <c r="L108" s="801"/>
      <c r="M108" s="802"/>
      <c r="N108" s="776"/>
      <c r="O108" s="909"/>
      <c r="P108" s="909"/>
    </row>
    <row r="109" spans="1:38" s="52" customFormat="1" x14ac:dyDescent="0.25">
      <c r="A109" s="799"/>
      <c r="B109" s="6"/>
      <c r="C109" s="6"/>
      <c r="D109" s="750"/>
      <c r="E109" s="5"/>
      <c r="F109" s="764"/>
      <c r="G109" s="6"/>
      <c r="J109" s="229"/>
      <c r="L109" s="433"/>
      <c r="M109" s="479"/>
      <c r="N109" s="479"/>
    </row>
    <row r="110" spans="1:38" s="52" customFormat="1" x14ac:dyDescent="0.25">
      <c r="A110" s="799"/>
      <c r="B110" s="6"/>
      <c r="C110" s="6"/>
      <c r="D110" s="750"/>
      <c r="E110" s="5"/>
      <c r="F110" s="764"/>
      <c r="G110" s="6"/>
      <c r="J110" s="229"/>
      <c r="L110" s="433"/>
      <c r="M110" s="479"/>
      <c r="N110" s="479"/>
    </row>
    <row r="111" spans="1:38" s="7" customFormat="1" x14ac:dyDescent="0.25">
      <c r="A111" s="799"/>
      <c r="B111" s="750"/>
      <c r="C111" s="750"/>
      <c r="D111" s="750"/>
      <c r="E111" s="776"/>
      <c r="F111" s="764"/>
      <c r="G111" s="750"/>
      <c r="J111" s="918"/>
      <c r="L111" s="776"/>
      <c r="M111" s="909"/>
      <c r="N111" s="909"/>
    </row>
    <row r="112" spans="1:38" s="7" customFormat="1" x14ac:dyDescent="0.25">
      <c r="A112" s="799"/>
      <c r="B112" s="750"/>
      <c r="C112" s="750"/>
      <c r="D112" s="750"/>
      <c r="E112" s="776"/>
      <c r="F112" s="764"/>
      <c r="G112" s="750"/>
      <c r="J112" s="918"/>
      <c r="L112" s="776"/>
      <c r="M112" s="909"/>
      <c r="N112" s="909"/>
    </row>
    <row r="113" spans="1:37" s="7" customFormat="1" x14ac:dyDescent="0.25">
      <c r="A113" s="799"/>
      <c r="B113" s="750"/>
      <c r="C113" s="750"/>
      <c r="D113" s="750"/>
      <c r="E113" s="776"/>
      <c r="F113" s="764"/>
      <c r="G113" s="750"/>
      <c r="J113" s="918"/>
      <c r="L113" s="776"/>
      <c r="M113" s="909"/>
      <c r="N113" s="909"/>
    </row>
    <row r="114" spans="1:37" s="7" customFormat="1" x14ac:dyDescent="0.25">
      <c r="A114" s="799"/>
      <c r="B114" s="750"/>
      <c r="C114" s="750"/>
      <c r="D114" s="750"/>
      <c r="E114" s="776"/>
      <c r="F114" s="764"/>
      <c r="G114" s="750"/>
      <c r="J114" s="918"/>
      <c r="L114" s="776"/>
      <c r="M114" s="909"/>
      <c r="N114" s="909"/>
    </row>
    <row r="115" spans="1:37" s="52" customFormat="1" x14ac:dyDescent="0.25">
      <c r="A115" s="799"/>
      <c r="B115" s="6"/>
      <c r="C115" s="6"/>
      <c r="D115" s="750"/>
      <c r="E115" s="5"/>
      <c r="F115" s="764"/>
      <c r="G115" s="6"/>
      <c r="J115" s="229"/>
      <c r="L115" s="433"/>
      <c r="M115" s="479"/>
      <c r="N115" s="479"/>
    </row>
    <row r="116" spans="1:37" s="52" customFormat="1" x14ac:dyDescent="0.25">
      <c r="A116" s="799"/>
      <c r="B116" s="6"/>
      <c r="C116" s="6"/>
      <c r="D116" s="750"/>
      <c r="E116" s="5"/>
      <c r="F116" s="764"/>
      <c r="G116" s="6"/>
      <c r="J116" s="229"/>
      <c r="L116" s="433"/>
      <c r="M116" s="479"/>
      <c r="N116" s="479"/>
    </row>
    <row r="117" spans="1:37" s="52" customFormat="1" x14ac:dyDescent="0.25">
      <c r="A117" s="799"/>
      <c r="B117" s="6"/>
      <c r="C117" s="6"/>
      <c r="D117" s="750"/>
      <c r="E117" s="5"/>
      <c r="F117" s="764"/>
      <c r="G117" s="6"/>
      <c r="J117" s="229"/>
      <c r="L117" s="433"/>
      <c r="M117" s="479"/>
      <c r="N117" s="479"/>
    </row>
    <row r="118" spans="1:37" s="52" customFormat="1" x14ac:dyDescent="0.25">
      <c r="A118" s="799"/>
      <c r="B118" s="6"/>
      <c r="C118" s="6"/>
      <c r="D118" s="750"/>
      <c r="E118" s="5"/>
      <c r="F118" s="764"/>
      <c r="G118" s="6"/>
      <c r="J118" s="229"/>
      <c r="L118" s="433"/>
      <c r="M118" s="479"/>
      <c r="N118" s="479"/>
    </row>
    <row r="119" spans="1:37" x14ac:dyDescent="0.25">
      <c r="E119" s="57"/>
      <c r="F119" s="121"/>
      <c r="I119" s="6"/>
      <c r="J119" s="1217"/>
      <c r="K119" s="1"/>
      <c r="L119" s="5"/>
      <c r="M119" s="61"/>
      <c r="N119" s="6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H119" s="1"/>
      <c r="AI119" s="1"/>
      <c r="AJ119" s="1"/>
      <c r="AK119" s="1"/>
    </row>
    <row r="120" spans="1:37" x14ac:dyDescent="0.25">
      <c r="E120" s="57"/>
      <c r="I120" s="6"/>
      <c r="J120" s="1217"/>
      <c r="K120" s="1"/>
      <c r="L120" s="5"/>
      <c r="M120" s="61"/>
      <c r="N120" s="6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H120" s="1"/>
      <c r="AI120" s="1"/>
      <c r="AJ120" s="1"/>
      <c r="AK120" s="1"/>
    </row>
    <row r="121" spans="1:37" x14ac:dyDescent="0.25">
      <c r="E121" s="57"/>
      <c r="I121" s="6"/>
      <c r="J121" s="1217"/>
      <c r="K121" s="1"/>
      <c r="L121" s="5"/>
      <c r="M121" s="61"/>
      <c r="N121" s="6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H121" s="1"/>
      <c r="AI121" s="1"/>
      <c r="AJ121" s="1"/>
      <c r="AK121" s="1"/>
    </row>
    <row r="122" spans="1:37" x14ac:dyDescent="0.25">
      <c r="E122" s="57"/>
      <c r="I122" s="6"/>
      <c r="J122" s="1217"/>
      <c r="K122" s="1"/>
      <c r="L122" s="5"/>
      <c r="M122" s="61"/>
      <c r="N122" s="6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H122" s="1"/>
      <c r="AI122" s="1"/>
      <c r="AJ122" s="1"/>
      <c r="AK122" s="1"/>
    </row>
  </sheetData>
  <sortState ref="G9:I23">
    <sortCondition ref="G9:G23"/>
  </sortState>
  <mergeCells count="44">
    <mergeCell ref="AJ1:AK7"/>
    <mergeCell ref="D2:F2"/>
    <mergeCell ref="I2:J2"/>
    <mergeCell ref="B3:C3"/>
    <mergeCell ref="G3:H3"/>
    <mergeCell ref="B1:J1"/>
    <mergeCell ref="AF1:AF8"/>
    <mergeCell ref="AG1:AG8"/>
    <mergeCell ref="AH1:AH8"/>
    <mergeCell ref="AI1:AI8"/>
    <mergeCell ref="AC6:AD6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AC100:AD100"/>
    <mergeCell ref="D8:E8"/>
    <mergeCell ref="G8:H8"/>
    <mergeCell ref="T8:U8"/>
    <mergeCell ref="W8:X8"/>
    <mergeCell ref="Z8:AA8"/>
    <mergeCell ref="AC8:AD8"/>
    <mergeCell ref="D100:E100"/>
    <mergeCell ref="G100:H100"/>
    <mergeCell ref="T100:U100"/>
    <mergeCell ref="W100:X100"/>
    <mergeCell ref="Z100:AA100"/>
    <mergeCell ref="K99:L99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</mergeCells>
  <conditionalFormatting sqref="AM9:AM44 AM97:AM98">
    <cfRule type="cellIs" dxfId="156" priority="3" operator="greaterThan">
      <formula>0</formula>
    </cfRule>
    <cfRule type="cellIs" dxfId="155" priority="4" operator="lessThan">
      <formula>0</formula>
    </cfRule>
  </conditionalFormatting>
  <conditionalFormatting sqref="AF9:AF96">
    <cfRule type="cellIs" dxfId="154" priority="5" operator="lessThan">
      <formula>$AF$98</formula>
    </cfRule>
    <cfRule type="cellIs" dxfId="153" priority="6" operator="greaterThan">
      <formula>$AF$98</formula>
    </cfRule>
  </conditionalFormatting>
  <conditionalFormatting sqref="AG9:AG96">
    <cfRule type="cellIs" dxfId="152" priority="7" operator="equal">
      <formula>$AG$99</formula>
    </cfRule>
    <cfRule type="cellIs" dxfId="151" priority="8" operator="lessThan">
      <formula>$AG$98</formula>
    </cfRule>
    <cfRule type="cellIs" dxfId="150" priority="9" operator="greaterThan">
      <formula>$AG$98</formula>
    </cfRule>
  </conditionalFormatting>
  <conditionalFormatting sqref="AM45:AM96">
    <cfRule type="cellIs" dxfId="149" priority="1" operator="greaterThan">
      <formula>0</formula>
    </cfRule>
    <cfRule type="cellIs" dxfId="148" priority="2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rgb="FF92D050"/>
    <pageSetUpPr fitToPage="1"/>
  </sheetPr>
  <dimension ref="A1:AM130"/>
  <sheetViews>
    <sheetView workbookViewId="0">
      <pane xSplit="1" ySplit="8" topLeftCell="B107" activePane="bottomRight" state="frozen"/>
      <selection activeCell="L74" sqref="L74:M74"/>
      <selection pane="topRight" activeCell="L74" sqref="L74:M74"/>
      <selection pane="bottomLeft" activeCell="L74" sqref="L74:M74"/>
      <selection pane="bottomRight" activeCell="L74" sqref="L74:M74"/>
    </sheetView>
  </sheetViews>
  <sheetFormatPr defaultRowHeight="15.75" x14ac:dyDescent="0.25"/>
  <cols>
    <col min="1" max="1" width="18" style="52" customWidth="1"/>
    <col min="2" max="2" width="9.37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customWidth="1"/>
    <col min="7" max="7" width="11" style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1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16.125" style="478" customWidth="1"/>
    <col min="28" max="28" width="10.375" style="51" customWidth="1"/>
    <col min="29" max="29" width="9.125" style="478" customWidth="1"/>
    <col min="30" max="30" width="16.125" style="478" customWidth="1"/>
    <col min="31" max="31" width="10.375" style="51" customWidth="1"/>
    <col min="32" max="32" width="8.625" style="1214" customWidth="1"/>
    <col min="33" max="33" width="8.625" style="1" customWidth="1"/>
    <col min="34" max="34" width="12.25" style="5" customWidth="1"/>
    <col min="35" max="35" width="9" style="61" customWidth="1"/>
    <col min="36" max="36" width="10.75" style="61" customWidth="1"/>
    <col min="37" max="38" width="9" style="1" customWidth="1"/>
    <col min="39" max="16384" width="9" style="1"/>
  </cols>
  <sheetData>
    <row r="1" spans="1:39" s="1165" customFormat="1" ht="18.75" customHeight="1" thickTop="1" thickBot="1" x14ac:dyDescent="0.3">
      <c r="A1" s="1166" t="s">
        <v>215</v>
      </c>
      <c r="B1" s="1569" t="s">
        <v>218</v>
      </c>
      <c r="C1" s="1569"/>
      <c r="D1" s="1569"/>
      <c r="E1" s="1569"/>
      <c r="F1" s="1569"/>
      <c r="G1" s="1569"/>
      <c r="H1" s="2243" t="s">
        <v>1163</v>
      </c>
      <c r="I1" s="2244"/>
      <c r="J1" s="1572">
        <v>43603</v>
      </c>
      <c r="K1" s="1573">
        <f>J1-B4</f>
        <v>41453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90" t="s">
        <v>171</v>
      </c>
      <c r="AM1" s="2279" t="s">
        <v>1479</v>
      </c>
    </row>
    <row r="2" spans="1:39" s="561" customFormat="1" ht="16.5" thickTop="1" x14ac:dyDescent="0.25">
      <c r="A2" s="1167" t="s">
        <v>927</v>
      </c>
      <c r="B2" s="1251">
        <v>43160</v>
      </c>
      <c r="C2" s="1251">
        <v>43160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81"/>
      <c r="AM2" s="2291"/>
    </row>
    <row r="3" spans="1:39" s="561" customFormat="1" x14ac:dyDescent="0.25">
      <c r="A3" s="1167" t="s">
        <v>870</v>
      </c>
      <c r="B3" s="2264">
        <f>27540+S8</f>
        <v>82876.000000000029</v>
      </c>
      <c r="C3" s="2264"/>
      <c r="D3" s="1215" t="s">
        <v>874</v>
      </c>
      <c r="E3" s="1169"/>
      <c r="F3" s="1175">
        <f ca="1">B3/G2/12</f>
        <v>498.91974881329133</v>
      </c>
      <c r="G3" s="2267" t="s">
        <v>875</v>
      </c>
      <c r="H3" s="2267"/>
      <c r="I3" s="1352">
        <f ca="1">F3/(I4/((TODAY()-C2)/365.25*12))</f>
        <v>0.53170134609834951</v>
      </c>
      <c r="J3" s="1171">
        <f ca="1">I3/$F$5</f>
        <v>0.39336488511711443</v>
      </c>
      <c r="K3" s="1375">
        <f ca="1">(B3/G2/365.25)/(I4/(TODAY()-C2))</f>
        <v>0.53170134609834951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0.20484655562778809</v>
      </c>
      <c r="AF3" s="2270"/>
      <c r="AG3" s="2273"/>
      <c r="AH3" s="2276"/>
      <c r="AI3" s="2280"/>
      <c r="AJ3" s="2281"/>
      <c r="AM3" s="2291"/>
    </row>
    <row r="4" spans="1:39" s="561" customFormat="1" ht="19.5" thickBot="1" x14ac:dyDescent="0.3">
      <c r="A4" s="1167" t="s">
        <v>869</v>
      </c>
      <c r="B4" s="2283">
        <v>2150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46759</v>
      </c>
      <c r="G4" s="1172" t="s">
        <v>876</v>
      </c>
      <c r="H4" s="1173"/>
      <c r="I4" s="1224">
        <f>F4-B4</f>
        <v>44609</v>
      </c>
      <c r="J4" s="1227">
        <f ca="1">I3/F99</f>
        <v>0.26603258694829901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0.15155019337915415</v>
      </c>
      <c r="AF4" s="2270"/>
      <c r="AG4" s="2273"/>
      <c r="AH4" s="2276"/>
      <c r="AI4" s="2280"/>
      <c r="AJ4" s="2281"/>
      <c r="AM4" s="2291"/>
    </row>
    <row r="5" spans="1:39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1.3516746568266991</v>
      </c>
      <c r="G5" s="1211">
        <f ca="1">J3+C7+F7+I7+K7+M7+O7+Q7+S7+V7+Y7+AB7+AE7</f>
        <v>1</v>
      </c>
      <c r="H5" s="1380">
        <f>B3+C8+F8+I8+K8+M8+O8+Q8+S8+AE5</f>
        <v>173881.53200000006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9137.9999999999982</v>
      </c>
      <c r="AF5" s="2270"/>
      <c r="AG5" s="2273"/>
      <c r="AH5" s="2276"/>
      <c r="AI5" s="2280"/>
      <c r="AJ5" s="2281"/>
      <c r="AM5" s="2291"/>
    </row>
    <row r="6" spans="1:39" s="561" customFormat="1" x14ac:dyDescent="0.25">
      <c r="A6" s="1178" t="s">
        <v>877</v>
      </c>
      <c r="B6" s="1179"/>
      <c r="C6" s="1180">
        <f>C8/$K$1</f>
        <v>0.28791426434757439</v>
      </c>
      <c r="D6" s="2252" t="s">
        <v>879</v>
      </c>
      <c r="E6" s="2246"/>
      <c r="F6" s="1180">
        <f>F8/$I$4</f>
        <v>0.22138850904525989</v>
      </c>
      <c r="G6" s="2252" t="s">
        <v>881</v>
      </c>
      <c r="H6" s="2246"/>
      <c r="I6" s="1180">
        <f>I8/$I$4</f>
        <v>6.2306036898383751E-2</v>
      </c>
      <c r="J6" s="1181" t="s">
        <v>898</v>
      </c>
      <c r="K6" s="1180">
        <f>K8/$I$4</f>
        <v>6.4458293169539788E-3</v>
      </c>
      <c r="L6" s="1181" t="s">
        <v>883</v>
      </c>
      <c r="M6" s="1180">
        <f>M8/$I$4</f>
        <v>1.4667892129390911E-2</v>
      </c>
      <c r="N6" s="1181" t="s">
        <v>908</v>
      </c>
      <c r="O6" s="1180">
        <f>O8/$I$4</f>
        <v>1.9176175211280233E-2</v>
      </c>
      <c r="P6" s="1181" t="s">
        <v>910</v>
      </c>
      <c r="Q6" s="1180">
        <f>Q8/$I$4</f>
        <v>3.2280481517182606E-3</v>
      </c>
      <c r="R6" s="1181" t="s">
        <v>906</v>
      </c>
      <c r="S6" s="1222">
        <v>0</v>
      </c>
      <c r="T6" s="2252" t="s">
        <v>886</v>
      </c>
      <c r="U6" s="2246"/>
      <c r="V6" s="1180">
        <f>V8/$I$4</f>
        <v>5.1648770427492177E-2</v>
      </c>
      <c r="W6" s="2252" t="s">
        <v>912</v>
      </c>
      <c r="X6" s="2246"/>
      <c r="Y6" s="1180">
        <f>Y8/$I$4</f>
        <v>5.9718890806787869E-2</v>
      </c>
      <c r="Z6" s="2255" t="s">
        <v>889</v>
      </c>
      <c r="AA6" s="2256"/>
      <c r="AB6" s="1180">
        <f>AB8/$I$4</f>
        <v>9.3478894393508039E-2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81"/>
      <c r="AM6" s="2291"/>
    </row>
    <row r="7" spans="1:39" s="561" customFormat="1" x14ac:dyDescent="0.25">
      <c r="A7" s="1192" t="s">
        <v>896</v>
      </c>
      <c r="B7" s="1193">
        <f>B8/K1*100</f>
        <v>20.894241671290384</v>
      </c>
      <c r="C7" s="1183">
        <f ca="1">C6/$F$5</f>
        <v>0.21300559486963028</v>
      </c>
      <c r="D7" s="1184"/>
      <c r="E7" s="1185"/>
      <c r="F7" s="1183">
        <f ca="1">F6/$F$5</f>
        <v>0.16378831098676475</v>
      </c>
      <c r="G7" s="1184"/>
      <c r="H7" s="1185"/>
      <c r="I7" s="1183">
        <f ca="1">I6/$F$5</f>
        <v>4.6095439152982608E-2</v>
      </c>
      <c r="J7" s="1243">
        <f>COUNT(J9:J97)</f>
        <v>22</v>
      </c>
      <c r="K7" s="1183">
        <f ca="1">K6/$F$5</f>
        <v>4.7687727844855287E-3</v>
      </c>
      <c r="L7" s="1184"/>
      <c r="M7" s="1183">
        <f ca="1">M6/$F$5</f>
        <v>1.0851643962776105E-2</v>
      </c>
      <c r="N7" s="1184"/>
      <c r="O7" s="1183">
        <f ca="1">O6/$F$5</f>
        <v>1.4186975478477769E-2</v>
      </c>
      <c r="P7" s="1184"/>
      <c r="Q7" s="1183">
        <f ca="1">Q6/$F$5</f>
        <v>2.3881842686143779E-3</v>
      </c>
      <c r="R7" s="1223">
        <v>1543.75</v>
      </c>
      <c r="S7" s="1183">
        <f ca="1">S6/$F$5</f>
        <v>0</v>
      </c>
      <c r="T7" s="1184"/>
      <c r="U7" s="1185"/>
      <c r="V7" s="1183">
        <f ca="1">V6/$F$5</f>
        <v>3.8210948297830054E-2</v>
      </c>
      <c r="W7" s="1184"/>
      <c r="X7" s="1185"/>
      <c r="Y7" s="1183">
        <f ca="1">Y6/$F$5</f>
        <v>4.418140896936603E-2</v>
      </c>
      <c r="Z7" s="1184"/>
      <c r="AA7" s="1185"/>
      <c r="AB7" s="1183">
        <f ca="1">AB6/$F$5</f>
        <v>6.9157836111958082E-2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80"/>
      <c r="AM7" s="2291"/>
    </row>
    <row r="8" spans="1:39" x14ac:dyDescent="0.25">
      <c r="A8" s="1191" t="s">
        <v>878</v>
      </c>
      <c r="B8" s="1220">
        <f>SUM(B9:B97)</f>
        <v>8661.2900000000027</v>
      </c>
      <c r="C8" s="1156">
        <f>SUM(C9:C97)</f>
        <v>11934.910000000002</v>
      </c>
      <c r="D8" s="2251" t="s">
        <v>880</v>
      </c>
      <c r="E8" s="2250"/>
      <c r="F8" s="1158">
        <f>SUM(F9:F97)</f>
        <v>9875.9199999999983</v>
      </c>
      <c r="G8" s="2251" t="s">
        <v>882</v>
      </c>
      <c r="H8" s="2250"/>
      <c r="I8" s="1158">
        <f>SUM(I9:I97)</f>
        <v>2779.4100000000008</v>
      </c>
      <c r="J8" s="1157" t="s">
        <v>899</v>
      </c>
      <c r="K8" s="1158">
        <f>SUM(K9:K97)</f>
        <v>287.54200000000003</v>
      </c>
      <c r="L8" s="1157" t="s">
        <v>884</v>
      </c>
      <c r="M8" s="1158">
        <f>SUM(M9:M97)</f>
        <v>654.31999999999914</v>
      </c>
      <c r="N8" s="1157" t="s">
        <v>909</v>
      </c>
      <c r="O8" s="1158">
        <f>SUM(O9:O97)</f>
        <v>855.43</v>
      </c>
      <c r="P8" s="1157" t="s">
        <v>911</v>
      </c>
      <c r="Q8" s="1158">
        <f>SUM(Q9:Q97)</f>
        <v>143.99999999999989</v>
      </c>
      <c r="R8" s="1157" t="s">
        <v>907</v>
      </c>
      <c r="S8" s="1158">
        <f>SUM(S9:S97)</f>
        <v>55336.000000000036</v>
      </c>
      <c r="T8" s="2251" t="s">
        <v>887</v>
      </c>
      <c r="U8" s="2250"/>
      <c r="V8" s="1158">
        <f>SUM(V9:V97)</f>
        <v>2303.9999999999986</v>
      </c>
      <c r="W8" s="2251" t="s">
        <v>913</v>
      </c>
      <c r="X8" s="2250"/>
      <c r="Y8" s="1158">
        <f>SUM(Y9:Y97)</f>
        <v>2664</v>
      </c>
      <c r="Z8" s="2251" t="s">
        <v>890</v>
      </c>
      <c r="AA8" s="2250"/>
      <c r="AB8" s="1158">
        <f>SUM(AB9:AB97)</f>
        <v>4170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343">
        <f>SUM(AJ9:AJ97)</f>
        <v>0</v>
      </c>
      <c r="AK8" s="54">
        <f>SUM(C9:C97)/SUM(B9:B97)</f>
        <v>1.3779598651009259</v>
      </c>
      <c r="AM8" s="2282"/>
    </row>
    <row r="9" spans="1:39" x14ac:dyDescent="0.25">
      <c r="A9" s="64">
        <v>43159</v>
      </c>
      <c r="B9" s="65">
        <v>0</v>
      </c>
      <c r="C9" s="66">
        <v>0</v>
      </c>
      <c r="D9" s="67">
        <v>43185</v>
      </c>
      <c r="E9" s="68" t="s">
        <v>312</v>
      </c>
      <c r="F9" s="66">
        <v>163.30000000000001</v>
      </c>
      <c r="G9" s="67">
        <v>43160</v>
      </c>
      <c r="H9" s="68" t="s">
        <v>219</v>
      </c>
      <c r="I9" s="66">
        <v>66</v>
      </c>
      <c r="J9" s="69">
        <v>43175</v>
      </c>
      <c r="K9" s="66">
        <v>13.5</v>
      </c>
      <c r="L9" s="1643"/>
      <c r="M9" s="66"/>
      <c r="N9" s="1152">
        <v>43160</v>
      </c>
      <c r="O9" s="66">
        <v>100</v>
      </c>
      <c r="P9" s="64"/>
      <c r="Q9" s="66"/>
      <c r="R9" s="1643"/>
      <c r="S9" s="66"/>
      <c r="T9" s="1152"/>
      <c r="U9" s="1198"/>
      <c r="V9" s="66"/>
      <c r="W9" s="1152">
        <v>43186</v>
      </c>
      <c r="X9" s="1198" t="s">
        <v>307</v>
      </c>
      <c r="Y9" s="66">
        <v>666</v>
      </c>
      <c r="Z9" s="1152"/>
      <c r="AA9" s="1198"/>
      <c r="AB9" s="66"/>
      <c r="AC9" s="1152"/>
      <c r="AD9" s="1198"/>
      <c r="AE9" s="66"/>
      <c r="AF9" s="1118">
        <v>47.35</v>
      </c>
      <c r="AG9" s="1119">
        <v>0</v>
      </c>
      <c r="AH9" s="1117"/>
      <c r="AI9" s="237"/>
      <c r="AJ9" s="237"/>
      <c r="AK9" s="51" t="e">
        <f t="shared" ref="AK9:AK44" si="0">C9/B9</f>
        <v>#DIV/0!</v>
      </c>
      <c r="AL9" s="51" t="e">
        <f t="shared" ref="AL9:AL44" si="1">AK9-$AK$8</f>
        <v>#DIV/0!</v>
      </c>
      <c r="AM9" s="1959"/>
    </row>
    <row r="10" spans="1:39" x14ac:dyDescent="0.25">
      <c r="A10" s="71">
        <v>43190</v>
      </c>
      <c r="B10" s="72">
        <v>12</v>
      </c>
      <c r="C10" s="73">
        <v>15.72</v>
      </c>
      <c r="D10" s="345">
        <v>43208</v>
      </c>
      <c r="E10" s="346" t="s">
        <v>348</v>
      </c>
      <c r="F10" s="347">
        <v>111</v>
      </c>
      <c r="G10" s="147">
        <v>43161</v>
      </c>
      <c r="H10" s="75" t="s">
        <v>255</v>
      </c>
      <c r="I10" s="73">
        <v>105</v>
      </c>
      <c r="J10" s="234">
        <v>43201</v>
      </c>
      <c r="K10" s="73">
        <v>13.5</v>
      </c>
      <c r="L10" s="1609"/>
      <c r="M10" s="73"/>
      <c r="N10" s="894">
        <v>43215</v>
      </c>
      <c r="O10" s="73">
        <v>50</v>
      </c>
      <c r="P10" s="71"/>
      <c r="Q10" s="73"/>
      <c r="R10" s="1609">
        <v>43186</v>
      </c>
      <c r="S10" s="73">
        <f>$R$7-V10-AB10</f>
        <v>1383.4</v>
      </c>
      <c r="T10" s="894">
        <f>R10</f>
        <v>43186</v>
      </c>
      <c r="U10" s="1199" t="s">
        <v>916</v>
      </c>
      <c r="V10" s="73">
        <v>56.1</v>
      </c>
      <c r="W10" s="894"/>
      <c r="X10" s="1199"/>
      <c r="Y10" s="73"/>
      <c r="Z10" s="894">
        <f>R10</f>
        <v>43186</v>
      </c>
      <c r="AA10" s="1199" t="s">
        <v>916</v>
      </c>
      <c r="AB10" s="73">
        <v>104.25</v>
      </c>
      <c r="AC10" s="894"/>
      <c r="AD10" s="1199"/>
      <c r="AE10" s="73"/>
      <c r="AF10" s="1112">
        <v>47.35</v>
      </c>
      <c r="AG10" s="1113">
        <v>20</v>
      </c>
      <c r="AH10" s="1110">
        <v>60</v>
      </c>
      <c r="AI10" s="238">
        <v>109.9</v>
      </c>
      <c r="AJ10" s="238"/>
      <c r="AK10" s="51">
        <f t="shared" si="0"/>
        <v>1.31</v>
      </c>
      <c r="AL10" s="51">
        <f t="shared" si="1"/>
        <v>-6.7959865100925887E-2</v>
      </c>
      <c r="AM10" s="1957">
        <f>B4+AH10</f>
        <v>2210</v>
      </c>
    </row>
    <row r="11" spans="1:39" x14ac:dyDescent="0.25">
      <c r="A11" s="71">
        <v>43220</v>
      </c>
      <c r="B11" s="72">
        <v>270.2</v>
      </c>
      <c r="C11" s="73">
        <v>364.8</v>
      </c>
      <c r="D11" s="345">
        <v>43416</v>
      </c>
      <c r="E11" s="346" t="s">
        <v>483</v>
      </c>
      <c r="F11" s="347">
        <v>811.55</v>
      </c>
      <c r="G11" s="147">
        <v>43188</v>
      </c>
      <c r="H11" s="75" t="s">
        <v>302</v>
      </c>
      <c r="I11" s="73">
        <v>1260</v>
      </c>
      <c r="J11" s="234">
        <v>43197</v>
      </c>
      <c r="K11" s="73">
        <v>7</v>
      </c>
      <c r="L11" s="1609"/>
      <c r="M11" s="73"/>
      <c r="N11" s="894">
        <v>43237</v>
      </c>
      <c r="O11" s="73">
        <v>99.78</v>
      </c>
      <c r="P11" s="71"/>
      <c r="Q11" s="73"/>
      <c r="R11" s="1609">
        <v>43217</v>
      </c>
      <c r="S11" s="73">
        <f t="shared" ref="S11:S49" si="2">$R$7-V11-AB11</f>
        <v>1383.4</v>
      </c>
      <c r="T11" s="894">
        <f t="shared" ref="T11:T49" si="3">R11</f>
        <v>43217</v>
      </c>
      <c r="U11" s="1199" t="s">
        <v>916</v>
      </c>
      <c r="V11" s="73">
        <v>56.1</v>
      </c>
      <c r="W11" s="894"/>
      <c r="X11" s="1199"/>
      <c r="Y11" s="73"/>
      <c r="Z11" s="894">
        <f t="shared" ref="Z11:Z49" si="4">R11</f>
        <v>43217</v>
      </c>
      <c r="AA11" s="1199" t="s">
        <v>916</v>
      </c>
      <c r="AB11" s="73">
        <v>104.25</v>
      </c>
      <c r="AC11" s="894"/>
      <c r="AD11" s="1199"/>
      <c r="AE11" s="73"/>
      <c r="AF11" s="1112">
        <v>2.48</v>
      </c>
      <c r="AG11" s="1113">
        <v>20</v>
      </c>
      <c r="AH11" s="1110">
        <v>1351</v>
      </c>
      <c r="AI11" s="238">
        <v>136.34</v>
      </c>
      <c r="AJ11" s="238"/>
      <c r="AK11" s="51">
        <f t="shared" si="0"/>
        <v>1.3501110288675056</v>
      </c>
      <c r="AL11" s="51">
        <f t="shared" si="1"/>
        <v>-2.7848836233420382E-2</v>
      </c>
      <c r="AM11" s="1957">
        <f>AM10+AH11</f>
        <v>3561</v>
      </c>
    </row>
    <row r="12" spans="1:39" x14ac:dyDescent="0.25">
      <c r="A12" s="71">
        <v>43251</v>
      </c>
      <c r="B12" s="72">
        <v>659.6</v>
      </c>
      <c r="C12" s="73">
        <v>908.76</v>
      </c>
      <c r="D12" s="147"/>
      <c r="E12" s="75"/>
      <c r="F12" s="73"/>
      <c r="G12" s="1162">
        <v>43236</v>
      </c>
      <c r="H12" s="75" t="s">
        <v>362</v>
      </c>
      <c r="I12" s="73">
        <v>0.79</v>
      </c>
      <c r="J12" s="234">
        <v>43219</v>
      </c>
      <c r="K12" s="73">
        <v>13.5</v>
      </c>
      <c r="L12" s="1609"/>
      <c r="M12" s="73"/>
      <c r="N12" s="894">
        <v>43238</v>
      </c>
      <c r="O12" s="73">
        <v>-88.07</v>
      </c>
      <c r="P12" s="71"/>
      <c r="Q12" s="73"/>
      <c r="R12" s="1609">
        <v>43247</v>
      </c>
      <c r="S12" s="73">
        <f t="shared" si="2"/>
        <v>1383.4</v>
      </c>
      <c r="T12" s="894">
        <f t="shared" si="3"/>
        <v>43247</v>
      </c>
      <c r="U12" s="1199" t="s">
        <v>916</v>
      </c>
      <c r="V12" s="73">
        <v>56.1</v>
      </c>
      <c r="W12" s="894"/>
      <c r="X12" s="1199"/>
      <c r="Y12" s="73"/>
      <c r="Z12" s="894">
        <f t="shared" si="4"/>
        <v>43247</v>
      </c>
      <c r="AA12" s="1199" t="s">
        <v>916</v>
      </c>
      <c r="AB12" s="73">
        <v>104.25</v>
      </c>
      <c r="AC12" s="894"/>
      <c r="AD12" s="1199"/>
      <c r="AE12" s="73"/>
      <c r="AF12" s="1112">
        <v>0.99</v>
      </c>
      <c r="AG12" s="1113">
        <v>20</v>
      </c>
      <c r="AH12" s="1110">
        <v>3298</v>
      </c>
      <c r="AI12" s="238">
        <v>119.27</v>
      </c>
      <c r="AJ12" s="238"/>
      <c r="AK12" s="51">
        <f t="shared" si="0"/>
        <v>1.3777440873256519</v>
      </c>
      <c r="AL12" s="51">
        <f t="shared" si="1"/>
        <v>-2.1577777527403974E-4</v>
      </c>
      <c r="AM12" s="1957">
        <f t="shared" ref="AM12:AM55" si="5">AM11+AH12</f>
        <v>6859</v>
      </c>
    </row>
    <row r="13" spans="1:39" x14ac:dyDescent="0.25">
      <c r="A13" s="71">
        <v>43281</v>
      </c>
      <c r="B13" s="72">
        <v>417.4</v>
      </c>
      <c r="C13" s="73">
        <v>589.30999999999995</v>
      </c>
      <c r="D13" s="147"/>
      <c r="E13" s="75"/>
      <c r="F13" s="73"/>
      <c r="G13" s="1162">
        <v>43236</v>
      </c>
      <c r="H13" s="75" t="s">
        <v>369</v>
      </c>
      <c r="I13" s="73">
        <v>0.79</v>
      </c>
      <c r="J13" s="234">
        <v>43215</v>
      </c>
      <c r="K13" s="73">
        <v>13.5</v>
      </c>
      <c r="L13" s="1609"/>
      <c r="M13" s="73"/>
      <c r="N13" s="894">
        <v>43270</v>
      </c>
      <c r="O13" s="73">
        <v>50</v>
      </c>
      <c r="P13" s="71"/>
      <c r="Q13" s="73"/>
      <c r="R13" s="1609">
        <v>43278</v>
      </c>
      <c r="S13" s="73">
        <f t="shared" si="2"/>
        <v>1383.4</v>
      </c>
      <c r="T13" s="894">
        <f t="shared" si="3"/>
        <v>43278</v>
      </c>
      <c r="U13" s="1199" t="s">
        <v>916</v>
      </c>
      <c r="V13" s="73">
        <v>56.1</v>
      </c>
      <c r="W13" s="894"/>
      <c r="X13" s="1199"/>
      <c r="Y13" s="73"/>
      <c r="Z13" s="894">
        <f t="shared" si="4"/>
        <v>43278</v>
      </c>
      <c r="AA13" s="1199" t="s">
        <v>916</v>
      </c>
      <c r="AB13" s="73">
        <v>104.25</v>
      </c>
      <c r="AC13" s="894"/>
      <c r="AD13" s="1199"/>
      <c r="AE13" s="73"/>
      <c r="AF13" s="1112">
        <v>0.83</v>
      </c>
      <c r="AG13" s="1113">
        <v>20</v>
      </c>
      <c r="AH13" s="1110">
        <v>2087</v>
      </c>
      <c r="AI13" s="238">
        <v>124.4</v>
      </c>
      <c r="AJ13" s="238"/>
      <c r="AK13" s="51">
        <f t="shared" si="0"/>
        <v>1.4118591279348347</v>
      </c>
      <c r="AL13" s="51">
        <f t="shared" si="1"/>
        <v>3.3899262833908761E-2</v>
      </c>
      <c r="AM13" s="1957">
        <f t="shared" si="5"/>
        <v>8946</v>
      </c>
    </row>
    <row r="14" spans="1:39" x14ac:dyDescent="0.25">
      <c r="A14" s="71">
        <v>43312</v>
      </c>
      <c r="B14" s="72">
        <v>158.80000000000001</v>
      </c>
      <c r="C14" s="73">
        <v>222.77</v>
      </c>
      <c r="D14" s="147"/>
      <c r="E14" s="75"/>
      <c r="F14" s="73"/>
      <c r="G14" s="345">
        <v>43250</v>
      </c>
      <c r="H14" s="346" t="s">
        <v>364</v>
      </c>
      <c r="I14" s="347">
        <v>7.74</v>
      </c>
      <c r="J14" s="234">
        <v>43221</v>
      </c>
      <c r="K14" s="73">
        <v>19.010000000000002</v>
      </c>
      <c r="L14" s="1609"/>
      <c r="M14" s="73"/>
      <c r="N14" s="894">
        <v>43267</v>
      </c>
      <c r="O14" s="73">
        <v>41.44</v>
      </c>
      <c r="P14" s="71"/>
      <c r="Q14" s="73"/>
      <c r="R14" s="1609">
        <v>43308</v>
      </c>
      <c r="S14" s="73">
        <f t="shared" si="2"/>
        <v>1383.4</v>
      </c>
      <c r="T14" s="894">
        <f t="shared" si="3"/>
        <v>43308</v>
      </c>
      <c r="U14" s="1199" t="s">
        <v>916</v>
      </c>
      <c r="V14" s="73">
        <v>56.1</v>
      </c>
      <c r="W14" s="894"/>
      <c r="X14" s="1199"/>
      <c r="Y14" s="73"/>
      <c r="Z14" s="894">
        <f t="shared" si="4"/>
        <v>43308</v>
      </c>
      <c r="AA14" s="1199" t="s">
        <v>916</v>
      </c>
      <c r="AB14" s="73">
        <v>104.25</v>
      </c>
      <c r="AC14" s="894"/>
      <c r="AD14" s="1199"/>
      <c r="AE14" s="73"/>
      <c r="AF14" s="1112">
        <v>0.82</v>
      </c>
      <c r="AG14" s="1113">
        <v>20</v>
      </c>
      <c r="AH14" s="1110">
        <v>794</v>
      </c>
      <c r="AI14" s="238">
        <v>139.03</v>
      </c>
      <c r="AJ14" s="238"/>
      <c r="AK14" s="51">
        <f t="shared" si="0"/>
        <v>1.4028337531486146</v>
      </c>
      <c r="AL14" s="51">
        <f t="shared" si="1"/>
        <v>2.4873888047688641E-2</v>
      </c>
      <c r="AM14" s="1957">
        <f t="shared" si="5"/>
        <v>9740</v>
      </c>
    </row>
    <row r="15" spans="1:39" x14ac:dyDescent="0.25">
      <c r="A15" s="71">
        <v>43343</v>
      </c>
      <c r="B15" s="72">
        <v>140.80000000000001</v>
      </c>
      <c r="C15" s="73">
        <v>197.88</v>
      </c>
      <c r="D15" s="147"/>
      <c r="E15" s="75"/>
      <c r="F15" s="73"/>
      <c r="G15" s="147">
        <v>43280</v>
      </c>
      <c r="H15" s="75" t="s">
        <v>372</v>
      </c>
      <c r="I15" s="73">
        <v>42.44</v>
      </c>
      <c r="J15" s="234">
        <v>43252</v>
      </c>
      <c r="K15" s="73">
        <v>9.5</v>
      </c>
      <c r="L15" s="1609"/>
      <c r="M15" s="73"/>
      <c r="N15" s="894">
        <v>43280</v>
      </c>
      <c r="O15" s="73">
        <v>50</v>
      </c>
      <c r="P15" s="71"/>
      <c r="Q15" s="73"/>
      <c r="R15" s="1609">
        <v>43339</v>
      </c>
      <c r="S15" s="73">
        <f t="shared" si="2"/>
        <v>1383.4</v>
      </c>
      <c r="T15" s="894">
        <f t="shared" si="3"/>
        <v>43339</v>
      </c>
      <c r="U15" s="1199" t="s">
        <v>916</v>
      </c>
      <c r="V15" s="73">
        <v>56.1</v>
      </c>
      <c r="W15" s="894"/>
      <c r="X15" s="1199"/>
      <c r="Y15" s="73"/>
      <c r="Z15" s="894">
        <f t="shared" si="4"/>
        <v>43339</v>
      </c>
      <c r="AA15" s="1199" t="s">
        <v>916</v>
      </c>
      <c r="AB15" s="73">
        <v>104.25</v>
      </c>
      <c r="AC15" s="894"/>
      <c r="AD15" s="1199"/>
      <c r="AE15" s="73"/>
      <c r="AF15" s="1112">
        <v>0.81</v>
      </c>
      <c r="AG15" s="1113">
        <v>20</v>
      </c>
      <c r="AH15" s="1110">
        <v>704</v>
      </c>
      <c r="AI15" s="238">
        <v>136.68</v>
      </c>
      <c r="AJ15" s="238"/>
      <c r="AK15" s="51">
        <f t="shared" si="0"/>
        <v>1.4053977272727272</v>
      </c>
      <c r="AL15" s="51">
        <f t="shared" si="1"/>
        <v>2.7437862171801219E-2</v>
      </c>
      <c r="AM15" s="1957">
        <f t="shared" si="5"/>
        <v>10444</v>
      </c>
    </row>
    <row r="16" spans="1:39" x14ac:dyDescent="0.25">
      <c r="A16" s="71">
        <v>43373</v>
      </c>
      <c r="B16" s="72">
        <v>669.4</v>
      </c>
      <c r="C16" s="73">
        <v>959.41</v>
      </c>
      <c r="D16" s="147"/>
      <c r="E16" s="75"/>
      <c r="F16" s="73"/>
      <c r="G16" s="147">
        <v>43363</v>
      </c>
      <c r="H16" s="75" t="s">
        <v>424</v>
      </c>
      <c r="I16" s="73">
        <v>0</v>
      </c>
      <c r="J16" s="836">
        <v>43312</v>
      </c>
      <c r="K16" s="835">
        <v>9.5</v>
      </c>
      <c r="L16" s="1644"/>
      <c r="M16" s="835"/>
      <c r="N16" s="1153">
        <v>43312</v>
      </c>
      <c r="O16" s="835">
        <v>50</v>
      </c>
      <c r="P16" s="834"/>
      <c r="Q16" s="835"/>
      <c r="R16" s="1644">
        <v>43372</v>
      </c>
      <c r="S16" s="73">
        <f t="shared" si="2"/>
        <v>1383.4</v>
      </c>
      <c r="T16" s="894">
        <f t="shared" si="3"/>
        <v>43372</v>
      </c>
      <c r="U16" s="1199" t="s">
        <v>916</v>
      </c>
      <c r="V16" s="73">
        <v>56.1</v>
      </c>
      <c r="W16" s="1153"/>
      <c r="X16" s="1200"/>
      <c r="Y16" s="835"/>
      <c r="Z16" s="894">
        <f t="shared" si="4"/>
        <v>43372</v>
      </c>
      <c r="AA16" s="1199" t="s">
        <v>916</v>
      </c>
      <c r="AB16" s="73">
        <v>104.25</v>
      </c>
      <c r="AC16" s="1153"/>
      <c r="AD16" s="1200"/>
      <c r="AE16" s="835"/>
      <c r="AF16" s="1112">
        <v>0.69</v>
      </c>
      <c r="AG16" s="1113">
        <v>20</v>
      </c>
      <c r="AH16" s="1110">
        <v>3347</v>
      </c>
      <c r="AI16" s="238">
        <v>153.84</v>
      </c>
      <c r="AJ16" s="238"/>
      <c r="AK16" s="51">
        <f t="shared" si="0"/>
        <v>1.4332387212429041</v>
      </c>
      <c r="AL16" s="51">
        <f t="shared" si="1"/>
        <v>5.5278856141978139E-2</v>
      </c>
      <c r="AM16" s="1957">
        <f t="shared" si="5"/>
        <v>13791</v>
      </c>
    </row>
    <row r="17" spans="1:39" x14ac:dyDescent="0.25">
      <c r="A17" s="71">
        <v>43404</v>
      </c>
      <c r="B17" s="72">
        <v>526.44000000000005</v>
      </c>
      <c r="C17" s="73">
        <v>769.99</v>
      </c>
      <c r="D17" s="147"/>
      <c r="E17" s="75"/>
      <c r="F17" s="73"/>
      <c r="G17" s="147">
        <v>43382</v>
      </c>
      <c r="H17" s="75" t="s">
        <v>427</v>
      </c>
      <c r="I17" s="73">
        <v>5.99</v>
      </c>
      <c r="J17" s="234">
        <v>43343</v>
      </c>
      <c r="K17" s="73">
        <v>2.5</v>
      </c>
      <c r="L17" s="1609"/>
      <c r="M17" s="73"/>
      <c r="N17" s="894">
        <v>43343</v>
      </c>
      <c r="O17" s="73">
        <v>50</v>
      </c>
      <c r="P17" s="71"/>
      <c r="Q17" s="73"/>
      <c r="R17" s="1609">
        <v>43400</v>
      </c>
      <c r="S17" s="73">
        <f t="shared" si="2"/>
        <v>1383.4</v>
      </c>
      <c r="T17" s="894">
        <f t="shared" si="3"/>
        <v>43400</v>
      </c>
      <c r="U17" s="1199" t="s">
        <v>916</v>
      </c>
      <c r="V17" s="73">
        <v>56.1</v>
      </c>
      <c r="W17" s="894"/>
      <c r="X17" s="1199"/>
      <c r="Y17" s="73"/>
      <c r="Z17" s="894">
        <f t="shared" si="4"/>
        <v>43400</v>
      </c>
      <c r="AA17" s="1199" t="s">
        <v>916</v>
      </c>
      <c r="AB17" s="73">
        <v>104.25</v>
      </c>
      <c r="AC17" s="894"/>
      <c r="AD17" s="1199"/>
      <c r="AE17" s="73"/>
      <c r="AF17" s="1112">
        <v>0.65</v>
      </c>
      <c r="AG17" s="1113">
        <v>20.059999999999999</v>
      </c>
      <c r="AH17" s="1110">
        <v>2592</v>
      </c>
      <c r="AI17" s="238">
        <v>142.69</v>
      </c>
      <c r="AJ17" s="238"/>
      <c r="AK17" s="51">
        <f t="shared" si="0"/>
        <v>1.4626358179469643</v>
      </c>
      <c r="AL17" s="51">
        <f t="shared" si="1"/>
        <v>8.4675952846038349E-2</v>
      </c>
      <c r="AM17" s="1957">
        <f t="shared" si="5"/>
        <v>16383</v>
      </c>
    </row>
    <row r="18" spans="1:39" x14ac:dyDescent="0.25">
      <c r="A18" s="71">
        <v>43434</v>
      </c>
      <c r="B18" s="72">
        <v>283.73</v>
      </c>
      <c r="C18" s="73">
        <v>408.68</v>
      </c>
      <c r="D18" s="147"/>
      <c r="E18" s="75"/>
      <c r="F18" s="73"/>
      <c r="G18" s="147">
        <v>43389</v>
      </c>
      <c r="H18" s="75" t="s">
        <v>451</v>
      </c>
      <c r="I18" s="73">
        <v>1.02</v>
      </c>
      <c r="J18" s="431">
        <v>43373</v>
      </c>
      <c r="K18" s="347">
        <v>21.5</v>
      </c>
      <c r="L18" s="1642"/>
      <c r="M18" s="347"/>
      <c r="N18" s="945">
        <v>43365</v>
      </c>
      <c r="O18" s="347">
        <v>50</v>
      </c>
      <c r="P18" s="1160">
        <v>43434</v>
      </c>
      <c r="Q18" s="347">
        <v>3.6</v>
      </c>
      <c r="R18" s="1642">
        <v>43431</v>
      </c>
      <c r="S18" s="73">
        <f t="shared" si="2"/>
        <v>1383.4</v>
      </c>
      <c r="T18" s="894">
        <f t="shared" si="3"/>
        <v>43431</v>
      </c>
      <c r="U18" s="1199" t="s">
        <v>916</v>
      </c>
      <c r="V18" s="73">
        <v>56.1</v>
      </c>
      <c r="W18" s="945"/>
      <c r="X18" s="1201"/>
      <c r="Y18" s="347"/>
      <c r="Z18" s="894">
        <f t="shared" si="4"/>
        <v>43431</v>
      </c>
      <c r="AA18" s="1199" t="s">
        <v>916</v>
      </c>
      <c r="AB18" s="73">
        <v>104.25</v>
      </c>
      <c r="AC18" s="945"/>
      <c r="AD18" s="1201"/>
      <c r="AE18" s="347"/>
      <c r="AF18" s="1112">
        <v>0.64</v>
      </c>
      <c r="AG18" s="1113">
        <v>20.079999999999998</v>
      </c>
      <c r="AH18" s="1110">
        <v>1397</v>
      </c>
      <c r="AI18" s="238">
        <v>148.61000000000001</v>
      </c>
      <c r="AJ18" s="238"/>
      <c r="AK18" s="51">
        <f t="shared" si="0"/>
        <v>1.4403834631515877</v>
      </c>
      <c r="AL18" s="51">
        <f t="shared" si="1"/>
        <v>6.2423598050661777E-2</v>
      </c>
      <c r="AM18" s="1957">
        <f t="shared" si="5"/>
        <v>17780</v>
      </c>
    </row>
    <row r="19" spans="1:39" x14ac:dyDescent="0.25">
      <c r="A19" s="71">
        <v>43465</v>
      </c>
      <c r="B19" s="72">
        <v>145.83000000000001</v>
      </c>
      <c r="C19" s="73">
        <v>204.1</v>
      </c>
      <c r="D19" s="147"/>
      <c r="E19" s="75"/>
      <c r="F19" s="73"/>
      <c r="G19" s="147">
        <v>43390</v>
      </c>
      <c r="H19" s="75" t="s">
        <v>477</v>
      </c>
      <c r="I19" s="73">
        <v>62</v>
      </c>
      <c r="J19" s="234">
        <v>43404</v>
      </c>
      <c r="K19" s="73">
        <v>19.010000000000002</v>
      </c>
      <c r="L19" s="1609">
        <v>43480</v>
      </c>
      <c r="M19" s="73">
        <v>335.12</v>
      </c>
      <c r="N19" s="894">
        <v>43397</v>
      </c>
      <c r="O19" s="73">
        <v>50</v>
      </c>
      <c r="P19" s="71">
        <v>43829</v>
      </c>
      <c r="Q19" s="73">
        <v>3.6</v>
      </c>
      <c r="R19" s="1609">
        <v>43461</v>
      </c>
      <c r="S19" s="73">
        <f t="shared" si="2"/>
        <v>1383.4</v>
      </c>
      <c r="T19" s="894">
        <f t="shared" si="3"/>
        <v>43461</v>
      </c>
      <c r="U19" s="1199" t="s">
        <v>916</v>
      </c>
      <c r="V19" s="73">
        <v>56.1</v>
      </c>
      <c r="W19" s="894"/>
      <c r="X19" s="1199"/>
      <c r="Y19" s="73"/>
      <c r="Z19" s="894">
        <f t="shared" si="4"/>
        <v>43461</v>
      </c>
      <c r="AA19" s="1199" t="s">
        <v>916</v>
      </c>
      <c r="AB19" s="73">
        <v>104.25</v>
      </c>
      <c r="AC19" s="894"/>
      <c r="AD19" s="1199"/>
      <c r="AE19" s="73"/>
      <c r="AF19" s="1112">
        <v>0.73</v>
      </c>
      <c r="AG19" s="1113">
        <v>20.09</v>
      </c>
      <c r="AH19" s="1110">
        <v>718</v>
      </c>
      <c r="AI19" s="238">
        <v>180.2</v>
      </c>
      <c r="AJ19" s="238"/>
      <c r="AK19" s="51">
        <f t="shared" si="0"/>
        <v>1.3995748474250838</v>
      </c>
      <c r="AL19" s="51">
        <f t="shared" si="1"/>
        <v>2.1614982324157817E-2</v>
      </c>
      <c r="AM19" s="1957">
        <f t="shared" si="5"/>
        <v>18498</v>
      </c>
    </row>
    <row r="20" spans="1:39" x14ac:dyDescent="0.25">
      <c r="A20" s="71">
        <v>43496</v>
      </c>
      <c r="B20" s="72">
        <v>286.91000000000003</v>
      </c>
      <c r="C20" s="73">
        <v>387.45</v>
      </c>
      <c r="D20" s="147">
        <v>43493</v>
      </c>
      <c r="E20" s="75" t="s">
        <v>511</v>
      </c>
      <c r="F20" s="73">
        <v>603.51</v>
      </c>
      <c r="G20" s="147">
        <v>43399</v>
      </c>
      <c r="H20" s="75" t="s">
        <v>452</v>
      </c>
      <c r="I20" s="73">
        <v>1</v>
      </c>
      <c r="J20" s="234">
        <v>43434</v>
      </c>
      <c r="K20" s="73">
        <v>9.5</v>
      </c>
      <c r="L20" s="1609">
        <v>43480</v>
      </c>
      <c r="M20" s="73">
        <v>8.4</v>
      </c>
      <c r="N20" s="894">
        <v>43551</v>
      </c>
      <c r="O20" s="73">
        <v>50</v>
      </c>
      <c r="P20" s="71">
        <v>43496</v>
      </c>
      <c r="Q20" s="73">
        <v>3.6</v>
      </c>
      <c r="R20" s="1609">
        <v>43492</v>
      </c>
      <c r="S20" s="73">
        <f t="shared" si="2"/>
        <v>1383.4</v>
      </c>
      <c r="T20" s="894">
        <f t="shared" si="3"/>
        <v>43492</v>
      </c>
      <c r="U20" s="1199" t="s">
        <v>916</v>
      </c>
      <c r="V20" s="73">
        <v>56.1</v>
      </c>
      <c r="W20" s="894">
        <v>43551</v>
      </c>
      <c r="X20" s="1199" t="s">
        <v>914</v>
      </c>
      <c r="Y20" s="73">
        <v>666</v>
      </c>
      <c r="Z20" s="894">
        <f t="shared" si="4"/>
        <v>43492</v>
      </c>
      <c r="AA20" s="1199" t="s">
        <v>916</v>
      </c>
      <c r="AB20" s="73">
        <v>104.25</v>
      </c>
      <c r="AC20" s="894"/>
      <c r="AD20" s="1199"/>
      <c r="AE20" s="73"/>
      <c r="AF20" s="1112">
        <v>0.74</v>
      </c>
      <c r="AG20" s="1113">
        <v>20.41</v>
      </c>
      <c r="AH20" s="1110">
        <v>1149</v>
      </c>
      <c r="AI20" s="238">
        <v>160</v>
      </c>
      <c r="AJ20" s="238"/>
      <c r="AK20" s="51">
        <f t="shared" si="0"/>
        <v>1.3504234777456343</v>
      </c>
      <c r="AL20" s="51">
        <f t="shared" si="1"/>
        <v>-2.7536387355291625E-2</v>
      </c>
      <c r="AM20" s="1957">
        <f t="shared" si="5"/>
        <v>19647</v>
      </c>
    </row>
    <row r="21" spans="1:39" x14ac:dyDescent="0.25">
      <c r="A21" s="71">
        <v>43524</v>
      </c>
      <c r="B21" s="72">
        <v>71.05</v>
      </c>
      <c r="C21" s="73">
        <v>96.17</v>
      </c>
      <c r="D21" s="147">
        <v>43567</v>
      </c>
      <c r="E21" s="75" t="s">
        <v>647</v>
      </c>
      <c r="F21" s="73">
        <v>41.95</v>
      </c>
      <c r="G21" s="147">
        <v>43434</v>
      </c>
      <c r="H21" s="75" t="s">
        <v>510</v>
      </c>
      <c r="I21" s="73">
        <v>13.4</v>
      </c>
      <c r="J21" s="234">
        <v>43465</v>
      </c>
      <c r="K21" s="73">
        <v>19.010000000000002</v>
      </c>
      <c r="L21" s="1609">
        <v>43511</v>
      </c>
      <c r="M21" s="73">
        <v>8.4</v>
      </c>
      <c r="N21" s="894">
        <v>43585</v>
      </c>
      <c r="O21" s="73">
        <v>50</v>
      </c>
      <c r="P21" s="71">
        <v>43524</v>
      </c>
      <c r="Q21" s="73">
        <v>3.6</v>
      </c>
      <c r="R21" s="1609">
        <v>43523</v>
      </c>
      <c r="S21" s="73">
        <f t="shared" si="2"/>
        <v>1383.4</v>
      </c>
      <c r="T21" s="894">
        <f t="shared" si="3"/>
        <v>43523</v>
      </c>
      <c r="U21" s="1199" t="s">
        <v>916</v>
      </c>
      <c r="V21" s="73">
        <v>56.1</v>
      </c>
      <c r="W21" s="894"/>
      <c r="X21" s="1199"/>
      <c r="Y21" s="73"/>
      <c r="Z21" s="894">
        <f t="shared" si="4"/>
        <v>43523</v>
      </c>
      <c r="AA21" s="1199" t="s">
        <v>916</v>
      </c>
      <c r="AB21" s="73">
        <v>104.25</v>
      </c>
      <c r="AC21" s="894"/>
      <c r="AD21" s="1199"/>
      <c r="AE21" s="73"/>
      <c r="AF21" s="1112">
        <v>0.81</v>
      </c>
      <c r="AG21" s="1113">
        <v>20.440000000000001</v>
      </c>
      <c r="AH21" s="1110">
        <v>321</v>
      </c>
      <c r="AI21" s="238">
        <v>160</v>
      </c>
      <c r="AJ21" s="238"/>
      <c r="AK21" s="51">
        <f t="shared" si="0"/>
        <v>1.3535538353272345</v>
      </c>
      <c r="AL21" s="51">
        <f t="shared" si="1"/>
        <v>-2.440602977369144E-2</v>
      </c>
      <c r="AM21" s="1957">
        <f t="shared" si="5"/>
        <v>19968</v>
      </c>
    </row>
    <row r="22" spans="1:39" x14ac:dyDescent="0.25">
      <c r="A22" s="71">
        <v>43555</v>
      </c>
      <c r="B22" s="72">
        <v>63.54</v>
      </c>
      <c r="C22" s="73">
        <v>86.71</v>
      </c>
      <c r="D22" s="147">
        <v>43749</v>
      </c>
      <c r="E22" s="75" t="s">
        <v>747</v>
      </c>
      <c r="F22" s="73">
        <v>41.95</v>
      </c>
      <c r="G22" s="147">
        <v>43508</v>
      </c>
      <c r="H22" s="75" t="s">
        <v>551</v>
      </c>
      <c r="I22" s="73">
        <v>69.3</v>
      </c>
      <c r="J22" s="234">
        <v>43555</v>
      </c>
      <c r="K22" s="73">
        <v>9.5</v>
      </c>
      <c r="L22" s="1609">
        <v>43528</v>
      </c>
      <c r="M22" s="73">
        <v>8.4</v>
      </c>
      <c r="N22" s="894">
        <v>43615</v>
      </c>
      <c r="O22" s="73">
        <v>2.2799999999999998</v>
      </c>
      <c r="P22" s="71">
        <v>43552</v>
      </c>
      <c r="Q22" s="73">
        <v>3.6</v>
      </c>
      <c r="R22" s="1609">
        <v>43551</v>
      </c>
      <c r="S22" s="73">
        <f t="shared" si="2"/>
        <v>1383.4</v>
      </c>
      <c r="T22" s="894">
        <f t="shared" si="3"/>
        <v>43551</v>
      </c>
      <c r="U22" s="1199" t="s">
        <v>916</v>
      </c>
      <c r="V22" s="73">
        <v>56.1</v>
      </c>
      <c r="W22" s="894"/>
      <c r="X22" s="1199"/>
      <c r="Y22" s="73"/>
      <c r="Z22" s="894">
        <f t="shared" si="4"/>
        <v>43551</v>
      </c>
      <c r="AA22" s="1199" t="s">
        <v>916</v>
      </c>
      <c r="AB22" s="73">
        <v>104.25</v>
      </c>
      <c r="AC22" s="894"/>
      <c r="AD22" s="1199"/>
      <c r="AE22" s="73"/>
      <c r="AF22" s="1112">
        <v>0.84</v>
      </c>
      <c r="AG22" s="1113">
        <v>20.47</v>
      </c>
      <c r="AH22" s="1110">
        <v>285</v>
      </c>
      <c r="AI22" s="238">
        <v>159</v>
      </c>
      <c r="AJ22" s="238"/>
      <c r="AK22" s="51">
        <f t="shared" si="0"/>
        <v>1.3646521875983633</v>
      </c>
      <c r="AL22" s="51">
        <f t="shared" si="1"/>
        <v>-1.3307677502562676E-2</v>
      </c>
      <c r="AM22" s="1957">
        <f t="shared" si="5"/>
        <v>20253</v>
      </c>
    </row>
    <row r="23" spans="1:39" x14ac:dyDescent="0.25">
      <c r="A23" s="71">
        <v>43585</v>
      </c>
      <c r="B23" s="72">
        <v>167.83</v>
      </c>
      <c r="C23" s="73">
        <v>231.61</v>
      </c>
      <c r="D23" s="147">
        <v>43728</v>
      </c>
      <c r="E23" s="75" t="s">
        <v>775</v>
      </c>
      <c r="F23" s="73">
        <v>106.62</v>
      </c>
      <c r="G23" s="147">
        <v>43524</v>
      </c>
      <c r="H23" s="75" t="s">
        <v>510</v>
      </c>
      <c r="I23" s="73">
        <v>4.4000000000000004</v>
      </c>
      <c r="J23" s="431">
        <v>43585</v>
      </c>
      <c r="K23" s="347">
        <v>9.5</v>
      </c>
      <c r="L23" s="1642">
        <v>43563</v>
      </c>
      <c r="M23" s="347">
        <v>8.4</v>
      </c>
      <c r="N23" s="945">
        <v>43675</v>
      </c>
      <c r="O23" s="347">
        <v>50</v>
      </c>
      <c r="P23" s="1160">
        <v>43560</v>
      </c>
      <c r="Q23" s="347">
        <v>3.6</v>
      </c>
      <c r="R23" s="1642">
        <v>43582</v>
      </c>
      <c r="S23" s="73">
        <f t="shared" si="2"/>
        <v>1383.4</v>
      </c>
      <c r="T23" s="894">
        <f t="shared" si="3"/>
        <v>43582</v>
      </c>
      <c r="U23" s="1199" t="s">
        <v>916</v>
      </c>
      <c r="V23" s="73">
        <v>56.1</v>
      </c>
      <c r="W23" s="945"/>
      <c r="X23" s="1201"/>
      <c r="Y23" s="347"/>
      <c r="Z23" s="894">
        <f t="shared" si="4"/>
        <v>43582</v>
      </c>
      <c r="AA23" s="1199" t="s">
        <v>916</v>
      </c>
      <c r="AB23" s="73">
        <v>104.25</v>
      </c>
      <c r="AC23" s="945"/>
      <c r="AD23" s="1201"/>
      <c r="AE23" s="347"/>
      <c r="AF23" s="1112">
        <v>0.85</v>
      </c>
      <c r="AG23" s="1113">
        <v>20.46</v>
      </c>
      <c r="AH23" s="1110">
        <v>829</v>
      </c>
      <c r="AI23" s="238">
        <v>154</v>
      </c>
      <c r="AJ23" s="238"/>
      <c r="AK23" s="51">
        <f t="shared" si="0"/>
        <v>1.3800274086873623</v>
      </c>
      <c r="AL23" s="51">
        <f t="shared" si="1"/>
        <v>2.0675435864363489E-3</v>
      </c>
      <c r="AM23" s="1957">
        <f t="shared" si="5"/>
        <v>21082</v>
      </c>
    </row>
    <row r="24" spans="1:39" x14ac:dyDescent="0.25">
      <c r="A24" s="71">
        <v>43616</v>
      </c>
      <c r="B24" s="72">
        <v>510.66</v>
      </c>
      <c r="C24" s="73">
        <v>723.44</v>
      </c>
      <c r="D24" s="147">
        <v>43759</v>
      </c>
      <c r="E24" s="75" t="s">
        <v>793</v>
      </c>
      <c r="F24" s="73">
        <v>80.39</v>
      </c>
      <c r="G24" s="147">
        <v>43537</v>
      </c>
      <c r="H24" s="75" t="s">
        <v>567</v>
      </c>
      <c r="I24" s="73">
        <v>52.8</v>
      </c>
      <c r="J24" s="234">
        <v>43769</v>
      </c>
      <c r="K24" s="73">
        <v>14</v>
      </c>
      <c r="L24" s="1609">
        <v>43593</v>
      </c>
      <c r="M24" s="73">
        <v>8.4</v>
      </c>
      <c r="N24" s="894">
        <v>43738</v>
      </c>
      <c r="O24" s="73">
        <v>50</v>
      </c>
      <c r="P24" s="71">
        <v>43591</v>
      </c>
      <c r="Q24" s="73">
        <v>3.6</v>
      </c>
      <c r="R24" s="1609">
        <v>43612</v>
      </c>
      <c r="S24" s="73">
        <f t="shared" si="2"/>
        <v>1383.4</v>
      </c>
      <c r="T24" s="894">
        <f t="shared" si="3"/>
        <v>43612</v>
      </c>
      <c r="U24" s="1199" t="s">
        <v>916</v>
      </c>
      <c r="V24" s="73">
        <v>56.1</v>
      </c>
      <c r="W24" s="894"/>
      <c r="X24" s="1199"/>
      <c r="Y24" s="73"/>
      <c r="Z24" s="894">
        <f t="shared" si="4"/>
        <v>43612</v>
      </c>
      <c r="AA24" s="1199" t="s">
        <v>916</v>
      </c>
      <c r="AB24" s="73">
        <v>104.25</v>
      </c>
      <c r="AC24" s="894"/>
      <c r="AD24" s="1199"/>
      <c r="AE24" s="73"/>
      <c r="AF24" s="1112">
        <v>0.81</v>
      </c>
      <c r="AG24" s="1113">
        <v>20.399999999999999</v>
      </c>
      <c r="AH24" s="1110">
        <v>2558</v>
      </c>
      <c r="AI24" s="238">
        <v>160</v>
      </c>
      <c r="AJ24" s="238"/>
      <c r="AK24" s="51">
        <f t="shared" si="0"/>
        <v>1.4166764579172053</v>
      </c>
      <c r="AL24" s="51">
        <f t="shared" si="1"/>
        <v>3.8716592816279372E-2</v>
      </c>
      <c r="AM24" s="1957">
        <f t="shared" si="5"/>
        <v>23640</v>
      </c>
    </row>
    <row r="25" spans="1:39" x14ac:dyDescent="0.25">
      <c r="A25" s="71">
        <v>43646</v>
      </c>
      <c r="B25" s="72">
        <v>479.51</v>
      </c>
      <c r="C25" s="73">
        <v>658.84</v>
      </c>
      <c r="D25" s="528"/>
      <c r="E25" s="516"/>
      <c r="F25" s="380"/>
      <c r="G25" s="147">
        <v>43549</v>
      </c>
      <c r="H25" s="75" t="s">
        <v>569</v>
      </c>
      <c r="I25" s="73">
        <v>4.5600000000000005</v>
      </c>
      <c r="J25" s="234">
        <v>43799</v>
      </c>
      <c r="K25" s="73">
        <v>14</v>
      </c>
      <c r="L25" s="1609">
        <v>43623</v>
      </c>
      <c r="M25" s="73">
        <v>8.4</v>
      </c>
      <c r="N25" s="894">
        <v>43801</v>
      </c>
      <c r="O25" s="73">
        <v>50</v>
      </c>
      <c r="P25" s="71">
        <v>43620</v>
      </c>
      <c r="Q25" s="73">
        <v>3.6</v>
      </c>
      <c r="R25" s="1609">
        <v>43643</v>
      </c>
      <c r="S25" s="73">
        <f t="shared" si="2"/>
        <v>1383.4</v>
      </c>
      <c r="T25" s="894">
        <f t="shared" si="3"/>
        <v>43643</v>
      </c>
      <c r="U25" s="1199" t="s">
        <v>916</v>
      </c>
      <c r="V25" s="73">
        <v>56.1</v>
      </c>
      <c r="W25" s="894"/>
      <c r="X25" s="1199"/>
      <c r="Y25" s="73"/>
      <c r="Z25" s="894">
        <f t="shared" si="4"/>
        <v>43643</v>
      </c>
      <c r="AA25" s="1199" t="s">
        <v>916</v>
      </c>
      <c r="AB25" s="73">
        <v>104.25</v>
      </c>
      <c r="AC25" s="894"/>
      <c r="AD25" s="1199"/>
      <c r="AE25" s="73"/>
      <c r="AF25" s="1112">
        <v>0.8</v>
      </c>
      <c r="AG25" s="1113">
        <v>20.48</v>
      </c>
      <c r="AH25" s="1110">
        <v>2260</v>
      </c>
      <c r="AI25" s="238">
        <v>159</v>
      </c>
      <c r="AJ25" s="238"/>
      <c r="AK25" s="51">
        <f t="shared" si="0"/>
        <v>1.3739859439844841</v>
      </c>
      <c r="AL25" s="51">
        <f t="shared" si="1"/>
        <v>-3.973921116441792E-3</v>
      </c>
      <c r="AM25" s="1957">
        <f t="shared" si="5"/>
        <v>25900</v>
      </c>
    </row>
    <row r="26" spans="1:39" x14ac:dyDescent="0.25">
      <c r="A26" s="71">
        <v>43677</v>
      </c>
      <c r="B26" s="72">
        <v>343.22</v>
      </c>
      <c r="C26" s="73">
        <v>469.42</v>
      </c>
      <c r="D26" s="147"/>
      <c r="E26" s="75"/>
      <c r="F26" s="73"/>
      <c r="G26" s="147">
        <v>43549</v>
      </c>
      <c r="H26" s="75" t="s">
        <v>364</v>
      </c>
      <c r="I26" s="73">
        <v>5.16</v>
      </c>
      <c r="J26" s="234">
        <v>43841</v>
      </c>
      <c r="K26" s="1674">
        <v>14</v>
      </c>
      <c r="L26" s="1609">
        <v>43653</v>
      </c>
      <c r="M26" s="73">
        <v>8.4</v>
      </c>
      <c r="N26" s="894"/>
      <c r="O26" s="73"/>
      <c r="P26" s="71">
        <v>43650</v>
      </c>
      <c r="Q26" s="73">
        <v>3.6</v>
      </c>
      <c r="R26" s="1609">
        <v>43673</v>
      </c>
      <c r="S26" s="73">
        <f t="shared" si="2"/>
        <v>1383.4</v>
      </c>
      <c r="T26" s="894">
        <f t="shared" si="3"/>
        <v>43673</v>
      </c>
      <c r="U26" s="1199" t="s">
        <v>916</v>
      </c>
      <c r="V26" s="73">
        <v>56.1</v>
      </c>
      <c r="W26" s="894"/>
      <c r="X26" s="1199"/>
      <c r="Y26" s="73"/>
      <c r="Z26" s="894">
        <f t="shared" si="4"/>
        <v>43673</v>
      </c>
      <c r="AA26" s="1199" t="s">
        <v>916</v>
      </c>
      <c r="AB26" s="73">
        <v>104.25</v>
      </c>
      <c r="AC26" s="894"/>
      <c r="AD26" s="1199"/>
      <c r="AE26" s="73"/>
      <c r="AF26" s="1112">
        <v>0.77</v>
      </c>
      <c r="AG26" s="1113">
        <v>20.51</v>
      </c>
      <c r="AH26" s="1110">
        <v>1640</v>
      </c>
      <c r="AI26" s="238">
        <v>159</v>
      </c>
      <c r="AJ26" s="238"/>
      <c r="AK26" s="51">
        <f t="shared" si="0"/>
        <v>1.3676941903152495</v>
      </c>
      <c r="AL26" s="51">
        <f t="shared" si="1"/>
        <v>-1.0265674785676415E-2</v>
      </c>
      <c r="AM26" s="1957">
        <f t="shared" si="5"/>
        <v>27540</v>
      </c>
    </row>
    <row r="27" spans="1:39" x14ac:dyDescent="0.25">
      <c r="A27" s="71">
        <v>43708</v>
      </c>
      <c r="B27" s="72">
        <v>283.76</v>
      </c>
      <c r="C27" s="73">
        <v>385.35</v>
      </c>
      <c r="D27" s="147"/>
      <c r="E27" s="75"/>
      <c r="F27" s="73"/>
      <c r="G27" s="147">
        <v>43558</v>
      </c>
      <c r="H27" s="75" t="s">
        <v>601</v>
      </c>
      <c r="I27" s="73">
        <v>211.2</v>
      </c>
      <c r="J27" s="234">
        <v>43853</v>
      </c>
      <c r="K27" s="1674">
        <f>11.67*1.2</f>
        <v>14.004</v>
      </c>
      <c r="L27" s="1609">
        <v>43682</v>
      </c>
      <c r="M27" s="73">
        <v>8.4</v>
      </c>
      <c r="N27" s="894"/>
      <c r="O27" s="73"/>
      <c r="P27" s="71">
        <v>43682</v>
      </c>
      <c r="Q27" s="73">
        <v>3.6</v>
      </c>
      <c r="R27" s="1609">
        <v>43704</v>
      </c>
      <c r="S27" s="73">
        <f t="shared" si="2"/>
        <v>1383.4</v>
      </c>
      <c r="T27" s="894">
        <f t="shared" si="3"/>
        <v>43704</v>
      </c>
      <c r="U27" s="1199" t="s">
        <v>916</v>
      </c>
      <c r="V27" s="73">
        <v>56.1</v>
      </c>
      <c r="W27" s="894"/>
      <c r="X27" s="1199"/>
      <c r="Y27" s="73"/>
      <c r="Z27" s="894">
        <f t="shared" si="4"/>
        <v>43704</v>
      </c>
      <c r="AA27" s="1199" t="s">
        <v>916</v>
      </c>
      <c r="AB27" s="73">
        <v>104.25</v>
      </c>
      <c r="AC27" s="894"/>
      <c r="AD27" s="1199"/>
      <c r="AE27" s="73"/>
      <c r="AF27" s="1112">
        <v>0.78</v>
      </c>
      <c r="AG27" s="1113">
        <v>20.5</v>
      </c>
      <c r="AH27" s="1110">
        <v>1398</v>
      </c>
      <c r="AI27" s="238">
        <v>159</v>
      </c>
      <c r="AJ27" s="238"/>
      <c r="AK27" s="51">
        <f t="shared" si="0"/>
        <v>1.3580138144911194</v>
      </c>
      <c r="AL27" s="51">
        <f t="shared" si="1"/>
        <v>-1.9946050609806587E-2</v>
      </c>
      <c r="AM27" s="1957">
        <f t="shared" si="5"/>
        <v>28938</v>
      </c>
    </row>
    <row r="28" spans="1:39" x14ac:dyDescent="0.25">
      <c r="A28" s="71">
        <v>43738</v>
      </c>
      <c r="B28" s="72">
        <v>596.6</v>
      </c>
      <c r="C28" s="73">
        <v>820.55</v>
      </c>
      <c r="D28" s="147"/>
      <c r="E28" s="75"/>
      <c r="F28" s="73"/>
      <c r="G28" s="147">
        <v>43675</v>
      </c>
      <c r="H28" s="75" t="s">
        <v>668</v>
      </c>
      <c r="I28" s="73">
        <v>15.48</v>
      </c>
      <c r="J28" s="234">
        <v>43868</v>
      </c>
      <c r="K28" s="1674">
        <f>11.67*1.2</f>
        <v>14.004</v>
      </c>
      <c r="L28" s="1609">
        <v>43713</v>
      </c>
      <c r="M28" s="73">
        <v>8.4</v>
      </c>
      <c r="N28" s="894"/>
      <c r="O28" s="73"/>
      <c r="P28" s="71">
        <v>43711</v>
      </c>
      <c r="Q28" s="73">
        <v>3.6</v>
      </c>
      <c r="R28" s="1609">
        <v>43735</v>
      </c>
      <c r="S28" s="73">
        <f t="shared" si="2"/>
        <v>1383.4</v>
      </c>
      <c r="T28" s="894">
        <f t="shared" si="3"/>
        <v>43735</v>
      </c>
      <c r="U28" s="1199" t="s">
        <v>916</v>
      </c>
      <c r="V28" s="73">
        <v>56.1</v>
      </c>
      <c r="W28" s="894"/>
      <c r="X28" s="1199"/>
      <c r="Y28" s="73"/>
      <c r="Z28" s="894">
        <f t="shared" si="4"/>
        <v>43735</v>
      </c>
      <c r="AA28" s="1199" t="s">
        <v>916</v>
      </c>
      <c r="AB28" s="73">
        <v>104.25</v>
      </c>
      <c r="AC28" s="894"/>
      <c r="AD28" s="1199"/>
      <c r="AE28" s="73"/>
      <c r="AF28" s="1112">
        <v>0.75</v>
      </c>
      <c r="AG28" s="1113">
        <v>20.37</v>
      </c>
      <c r="AH28" s="1110">
        <v>3099</v>
      </c>
      <c r="AI28" s="238">
        <v>159</v>
      </c>
      <c r="AJ28" s="238"/>
      <c r="AK28" s="51">
        <f t="shared" si="0"/>
        <v>1.3753771371102914</v>
      </c>
      <c r="AL28" s="51">
        <f t="shared" si="1"/>
        <v>-2.5827279906345257E-3</v>
      </c>
      <c r="AM28" s="1957">
        <f t="shared" si="5"/>
        <v>32037</v>
      </c>
    </row>
    <row r="29" spans="1:39" x14ac:dyDescent="0.25">
      <c r="A29" s="71">
        <v>43769</v>
      </c>
      <c r="B29" s="72">
        <v>538.91999999999996</v>
      </c>
      <c r="C29" s="73">
        <v>747.46</v>
      </c>
      <c r="D29" s="147"/>
      <c r="E29" s="75"/>
      <c r="F29" s="73"/>
      <c r="G29" s="147">
        <v>43815</v>
      </c>
      <c r="H29" s="75" t="s">
        <v>710</v>
      </c>
      <c r="I29" s="73">
        <v>40.340000000000003</v>
      </c>
      <c r="J29" s="234">
        <v>43965</v>
      </c>
      <c r="K29" s="1674">
        <f>11.67*1.2</f>
        <v>14.004</v>
      </c>
      <c r="L29" s="1609">
        <v>43746</v>
      </c>
      <c r="M29" s="73">
        <v>8.4</v>
      </c>
      <c r="N29" s="894"/>
      <c r="O29" s="73"/>
      <c r="P29" s="71">
        <v>43740</v>
      </c>
      <c r="Q29" s="73">
        <v>3.6</v>
      </c>
      <c r="R29" s="1609">
        <v>43765</v>
      </c>
      <c r="S29" s="73">
        <f t="shared" si="2"/>
        <v>1383.4</v>
      </c>
      <c r="T29" s="894">
        <f t="shared" si="3"/>
        <v>43765</v>
      </c>
      <c r="U29" s="1199" t="s">
        <v>916</v>
      </c>
      <c r="V29" s="73">
        <v>56.1</v>
      </c>
      <c r="W29" s="894"/>
      <c r="X29" s="1199"/>
      <c r="Y29" s="73"/>
      <c r="Z29" s="894">
        <f t="shared" si="4"/>
        <v>43765</v>
      </c>
      <c r="AA29" s="1199" t="s">
        <v>916</v>
      </c>
      <c r="AB29" s="73">
        <v>104.25</v>
      </c>
      <c r="AC29" s="894"/>
      <c r="AD29" s="1199"/>
      <c r="AE29" s="73"/>
      <c r="AF29" s="1112">
        <v>0.75</v>
      </c>
      <c r="AG29" s="1113">
        <v>20.41</v>
      </c>
      <c r="AH29" s="1110">
        <v>2574</v>
      </c>
      <c r="AI29" s="238">
        <v>156</v>
      </c>
      <c r="AJ29" s="238"/>
      <c r="AK29" s="51">
        <f t="shared" si="0"/>
        <v>1.3869591033919693</v>
      </c>
      <c r="AL29" s="51">
        <f t="shared" si="1"/>
        <v>8.9992382910433211E-3</v>
      </c>
      <c r="AM29" s="1957">
        <f t="shared" si="5"/>
        <v>34611</v>
      </c>
    </row>
    <row r="30" spans="1:39" x14ac:dyDescent="0.25">
      <c r="A30" s="71">
        <v>43799</v>
      </c>
      <c r="B30" s="72">
        <v>105.07</v>
      </c>
      <c r="C30" s="73">
        <v>145.87</v>
      </c>
      <c r="D30" s="147"/>
      <c r="E30" s="75"/>
      <c r="F30" s="73"/>
      <c r="G30" s="147">
        <v>43830</v>
      </c>
      <c r="H30" s="75" t="s">
        <v>811</v>
      </c>
      <c r="I30" s="73">
        <v>388.5</v>
      </c>
      <c r="J30" s="234"/>
      <c r="K30" s="73"/>
      <c r="L30" s="1609">
        <v>43788</v>
      </c>
      <c r="M30" s="73">
        <v>8.4</v>
      </c>
      <c r="N30" s="894"/>
      <c r="O30" s="73"/>
      <c r="P30" s="1609">
        <v>43773</v>
      </c>
      <c r="Q30" s="73">
        <v>3.6</v>
      </c>
      <c r="R30" s="1609">
        <v>43796</v>
      </c>
      <c r="S30" s="73">
        <f t="shared" si="2"/>
        <v>1383.4</v>
      </c>
      <c r="T30" s="894">
        <f t="shared" si="3"/>
        <v>43796</v>
      </c>
      <c r="U30" s="1199" t="s">
        <v>916</v>
      </c>
      <c r="V30" s="73">
        <v>56.1</v>
      </c>
      <c r="W30" s="894"/>
      <c r="X30" s="1199"/>
      <c r="Y30" s="73"/>
      <c r="Z30" s="894">
        <f t="shared" si="4"/>
        <v>43796</v>
      </c>
      <c r="AA30" s="1199" t="s">
        <v>916</v>
      </c>
      <c r="AB30" s="73">
        <v>104.25</v>
      </c>
      <c r="AC30" s="894"/>
      <c r="AD30" s="1199"/>
      <c r="AE30" s="73"/>
      <c r="AF30" s="1112">
        <v>0.74</v>
      </c>
      <c r="AG30" s="1113">
        <v>20.309999999999999</v>
      </c>
      <c r="AH30" s="1110">
        <v>688</v>
      </c>
      <c r="AI30" s="238">
        <v>149</v>
      </c>
      <c r="AJ30" s="238"/>
      <c r="AK30" s="51">
        <f t="shared" si="0"/>
        <v>1.3883125535357381</v>
      </c>
      <c r="AL30" s="51">
        <f t="shared" si="1"/>
        <v>1.0352688434812185E-2</v>
      </c>
      <c r="AM30" s="1957">
        <f t="shared" si="5"/>
        <v>35299</v>
      </c>
    </row>
    <row r="31" spans="1:39" x14ac:dyDescent="0.25">
      <c r="A31" s="71">
        <v>43830</v>
      </c>
      <c r="B31" s="72">
        <v>249.29</v>
      </c>
      <c r="C31" s="73">
        <v>345.47</v>
      </c>
      <c r="D31" s="147"/>
      <c r="E31" s="75"/>
      <c r="F31" s="73"/>
      <c r="G31" s="147"/>
      <c r="H31" s="75"/>
      <c r="I31" s="73"/>
      <c r="J31" s="234"/>
      <c r="K31" s="73"/>
      <c r="L31" s="1609">
        <v>43818</v>
      </c>
      <c r="M31" s="73">
        <v>8.4</v>
      </c>
      <c r="N31" s="894"/>
      <c r="O31" s="73"/>
      <c r="P31" s="1609">
        <v>43802</v>
      </c>
      <c r="Q31" s="73">
        <v>3.6</v>
      </c>
      <c r="R31" s="1609">
        <v>43826</v>
      </c>
      <c r="S31" s="73">
        <f t="shared" si="2"/>
        <v>1383.4</v>
      </c>
      <c r="T31" s="894">
        <f t="shared" si="3"/>
        <v>43826</v>
      </c>
      <c r="U31" s="1199" t="s">
        <v>916</v>
      </c>
      <c r="V31" s="73">
        <v>56.1</v>
      </c>
      <c r="W31" s="894"/>
      <c r="X31" s="1199"/>
      <c r="Y31" s="73"/>
      <c r="Z31" s="894">
        <f t="shared" si="4"/>
        <v>43826</v>
      </c>
      <c r="AA31" s="1199" t="s">
        <v>916</v>
      </c>
      <c r="AB31" s="73">
        <v>104.25</v>
      </c>
      <c r="AC31" s="894"/>
      <c r="AD31" s="1199"/>
      <c r="AE31" s="73"/>
      <c r="AF31" s="1112">
        <v>0.75</v>
      </c>
      <c r="AG31" s="1113">
        <v>20.399999999999999</v>
      </c>
      <c r="AH31" s="1110">
        <v>1064</v>
      </c>
      <c r="AI31" s="238">
        <v>157</v>
      </c>
      <c r="AJ31" s="238"/>
      <c r="AK31" s="51">
        <f t="shared" si="0"/>
        <v>1.3858157166352443</v>
      </c>
      <c r="AL31" s="51">
        <f t="shared" si="1"/>
        <v>7.8558515343183366E-3</v>
      </c>
      <c r="AM31" s="1957">
        <f t="shared" si="5"/>
        <v>36363</v>
      </c>
    </row>
    <row r="32" spans="1:39" x14ac:dyDescent="0.25">
      <c r="A32" s="71">
        <v>43861</v>
      </c>
      <c r="B32" s="72">
        <v>276.47000000000003</v>
      </c>
      <c r="C32" s="73">
        <v>385.59</v>
      </c>
      <c r="D32" s="345">
        <v>43903</v>
      </c>
      <c r="E32" s="346" t="s">
        <v>1009</v>
      </c>
      <c r="F32" s="347">
        <v>356.4</v>
      </c>
      <c r="G32" s="147">
        <v>43878</v>
      </c>
      <c r="H32" s="75" t="s">
        <v>995</v>
      </c>
      <c r="I32" s="73">
        <v>69.3</v>
      </c>
      <c r="J32" s="234"/>
      <c r="K32" s="73"/>
      <c r="L32" s="1609">
        <v>43861</v>
      </c>
      <c r="M32" s="73">
        <v>8.4</v>
      </c>
      <c r="N32" s="894">
        <v>44070</v>
      </c>
      <c r="O32" s="73">
        <v>50</v>
      </c>
      <c r="P32" s="1609">
        <v>43836</v>
      </c>
      <c r="Q32" s="73">
        <v>3.6</v>
      </c>
      <c r="R32" s="1609">
        <v>43857</v>
      </c>
      <c r="S32" s="73">
        <f t="shared" si="2"/>
        <v>1383.4</v>
      </c>
      <c r="T32" s="894">
        <f t="shared" si="3"/>
        <v>43857</v>
      </c>
      <c r="U32" s="1199" t="s">
        <v>916</v>
      </c>
      <c r="V32" s="73">
        <v>56.1</v>
      </c>
      <c r="W32" s="894">
        <v>43917</v>
      </c>
      <c r="X32" s="1199" t="s">
        <v>1053</v>
      </c>
      <c r="Y32" s="73">
        <v>666</v>
      </c>
      <c r="Z32" s="894">
        <f t="shared" si="4"/>
        <v>43857</v>
      </c>
      <c r="AA32" s="1199" t="s">
        <v>916</v>
      </c>
      <c r="AB32" s="73">
        <v>104.25</v>
      </c>
      <c r="AC32" s="894"/>
      <c r="AD32" s="1199"/>
      <c r="AE32" s="73"/>
      <c r="AF32" s="1112">
        <v>0.77</v>
      </c>
      <c r="AG32" s="1113">
        <v>20.45</v>
      </c>
      <c r="AH32" s="1110">
        <v>1270</v>
      </c>
      <c r="AI32" s="238">
        <v>159</v>
      </c>
      <c r="AJ32" s="238"/>
      <c r="AK32" s="51">
        <f t="shared" si="0"/>
        <v>1.3946902014685136</v>
      </c>
      <c r="AL32" s="51">
        <f t="shared" si="1"/>
        <v>1.6730336367587695E-2</v>
      </c>
      <c r="AM32" s="1957">
        <f t="shared" si="5"/>
        <v>37633</v>
      </c>
    </row>
    <row r="33" spans="1:39" x14ac:dyDescent="0.25">
      <c r="A33" s="71">
        <v>43890</v>
      </c>
      <c r="B33" s="72">
        <v>230.61</v>
      </c>
      <c r="C33" s="73">
        <v>316.13</v>
      </c>
      <c r="D33" s="147">
        <v>43867</v>
      </c>
      <c r="E33" s="75" t="s">
        <v>987</v>
      </c>
      <c r="F33" s="73">
        <v>1816.47</v>
      </c>
      <c r="G33" s="147">
        <v>43873</v>
      </c>
      <c r="H33" s="75" t="s">
        <v>994</v>
      </c>
      <c r="I33" s="73">
        <v>129.80000000000001</v>
      </c>
      <c r="J33" s="234"/>
      <c r="K33" s="73"/>
      <c r="L33" s="1609">
        <v>43873</v>
      </c>
      <c r="M33" s="73">
        <v>8.4</v>
      </c>
      <c r="N33" s="894"/>
      <c r="O33" s="73"/>
      <c r="P33" s="1609">
        <v>43866</v>
      </c>
      <c r="Q33" s="73">
        <v>3.6</v>
      </c>
      <c r="R33" s="1609">
        <v>43888</v>
      </c>
      <c r="S33" s="73">
        <f t="shared" si="2"/>
        <v>1383.4</v>
      </c>
      <c r="T33" s="894">
        <f t="shared" si="3"/>
        <v>43888</v>
      </c>
      <c r="U33" s="1199" t="s">
        <v>916</v>
      </c>
      <c r="V33" s="73">
        <v>56.1</v>
      </c>
      <c r="W33" s="894"/>
      <c r="X33" s="1199"/>
      <c r="Y33" s="73"/>
      <c r="Z33" s="894">
        <f t="shared" si="4"/>
        <v>43888</v>
      </c>
      <c r="AA33" s="1199" t="s">
        <v>916</v>
      </c>
      <c r="AB33" s="73">
        <v>104.25</v>
      </c>
      <c r="AC33" s="894"/>
      <c r="AD33" s="1199"/>
      <c r="AE33" s="73"/>
      <c r="AF33" s="1112">
        <v>0.87</v>
      </c>
      <c r="AG33" s="1113">
        <v>20.440000000000001</v>
      </c>
      <c r="AH33" s="1110">
        <v>1142</v>
      </c>
      <c r="AI33" s="238">
        <v>153</v>
      </c>
      <c r="AJ33" s="238"/>
      <c r="AK33" s="51">
        <f t="shared" si="0"/>
        <v>1.3708425480248037</v>
      </c>
      <c r="AL33" s="51">
        <f t="shared" si="1"/>
        <v>-7.117317076122287E-3</v>
      </c>
      <c r="AM33" s="1957">
        <f t="shared" si="5"/>
        <v>38775</v>
      </c>
    </row>
    <row r="34" spans="1:39" x14ac:dyDescent="0.25">
      <c r="A34" s="71">
        <v>43921</v>
      </c>
      <c r="B34" s="72">
        <v>74.7</v>
      </c>
      <c r="C34" s="73">
        <v>100.63</v>
      </c>
      <c r="D34" s="147">
        <v>43935</v>
      </c>
      <c r="E34" s="75" t="s">
        <v>1078</v>
      </c>
      <c r="F34" s="73">
        <v>34.96</v>
      </c>
      <c r="G34" s="147">
        <v>43913</v>
      </c>
      <c r="H34" s="75" t="s">
        <v>1013</v>
      </c>
      <c r="I34" s="73">
        <v>62.4</v>
      </c>
      <c r="J34" s="234"/>
      <c r="K34" s="73"/>
      <c r="L34" s="1609">
        <v>43899</v>
      </c>
      <c r="M34" s="73">
        <v>8.4</v>
      </c>
      <c r="N34" s="894"/>
      <c r="O34" s="73"/>
      <c r="P34" s="1609">
        <v>43893</v>
      </c>
      <c r="Q34" s="73">
        <v>3.6</v>
      </c>
      <c r="R34" s="1609">
        <v>43917</v>
      </c>
      <c r="S34" s="73">
        <f t="shared" si="2"/>
        <v>1383.4</v>
      </c>
      <c r="T34" s="894">
        <f t="shared" si="3"/>
        <v>43917</v>
      </c>
      <c r="U34" s="1199" t="s">
        <v>916</v>
      </c>
      <c r="V34" s="73">
        <v>56.1</v>
      </c>
      <c r="W34" s="894"/>
      <c r="X34" s="1199"/>
      <c r="Y34" s="73"/>
      <c r="Z34" s="894">
        <f t="shared" si="4"/>
        <v>43917</v>
      </c>
      <c r="AA34" s="1199" t="s">
        <v>916</v>
      </c>
      <c r="AB34" s="73">
        <v>104.25</v>
      </c>
      <c r="AC34" s="894"/>
      <c r="AD34" s="1199"/>
      <c r="AE34" s="73"/>
      <c r="AF34" s="1112">
        <v>0.94</v>
      </c>
      <c r="AG34" s="1113">
        <v>20.5</v>
      </c>
      <c r="AH34" s="1110">
        <v>272</v>
      </c>
      <c r="AI34" s="238">
        <v>159</v>
      </c>
      <c r="AJ34" s="238"/>
      <c r="AK34" s="51">
        <f t="shared" si="0"/>
        <v>1.3471218206157964</v>
      </c>
      <c r="AL34" s="51">
        <f t="shared" si="1"/>
        <v>-3.0838044485129501E-2</v>
      </c>
      <c r="AM34" s="1957">
        <f t="shared" si="5"/>
        <v>39047</v>
      </c>
    </row>
    <row r="35" spans="1:39" x14ac:dyDescent="0.25">
      <c r="A35" s="71">
        <v>43951</v>
      </c>
      <c r="B35" s="72">
        <v>41.9</v>
      </c>
      <c r="C35" s="73">
        <v>55.02</v>
      </c>
      <c r="D35" s="345">
        <v>44036</v>
      </c>
      <c r="E35" s="346" t="s">
        <v>1179</v>
      </c>
      <c r="F35" s="347">
        <v>343.31</v>
      </c>
      <c r="G35" s="147">
        <v>43882</v>
      </c>
      <c r="H35" s="75" t="s">
        <v>510</v>
      </c>
      <c r="I35" s="73">
        <f>4.2+4.2+6.9</f>
        <v>15.3</v>
      </c>
      <c r="J35" s="234"/>
      <c r="K35" s="73"/>
      <c r="L35" s="1609">
        <v>43929</v>
      </c>
      <c r="M35" s="73">
        <v>8.4</v>
      </c>
      <c r="N35" s="894"/>
      <c r="O35" s="73"/>
      <c r="P35" s="1609">
        <v>43924</v>
      </c>
      <c r="Q35" s="73">
        <v>3.6</v>
      </c>
      <c r="R35" s="1609">
        <v>43948</v>
      </c>
      <c r="S35" s="73">
        <f t="shared" si="2"/>
        <v>1383.4</v>
      </c>
      <c r="T35" s="894">
        <f t="shared" si="3"/>
        <v>43948</v>
      </c>
      <c r="U35" s="1199" t="s">
        <v>916</v>
      </c>
      <c r="V35" s="73">
        <v>56.1</v>
      </c>
      <c r="W35" s="894"/>
      <c r="X35" s="1199"/>
      <c r="Y35" s="73"/>
      <c r="Z35" s="894">
        <f t="shared" si="4"/>
        <v>43948</v>
      </c>
      <c r="AA35" s="1199" t="s">
        <v>916</v>
      </c>
      <c r="AB35" s="73">
        <v>104.25</v>
      </c>
      <c r="AC35" s="894"/>
      <c r="AD35" s="1199"/>
      <c r="AE35" s="73"/>
      <c r="AF35" s="1112">
        <v>0.98</v>
      </c>
      <c r="AG35" s="1113">
        <v>20.56</v>
      </c>
      <c r="AH35" s="1110">
        <v>97</v>
      </c>
      <c r="AI35" s="238">
        <v>159</v>
      </c>
      <c r="AJ35" s="238"/>
      <c r="AK35" s="51">
        <f t="shared" si="0"/>
        <v>1.3131264916467782</v>
      </c>
      <c r="AL35" s="51">
        <f t="shared" si="1"/>
        <v>-6.4833373454147747E-2</v>
      </c>
      <c r="AM35" s="1957">
        <f t="shared" si="5"/>
        <v>39144</v>
      </c>
    </row>
    <row r="36" spans="1:39" x14ac:dyDescent="0.25">
      <c r="A36" s="71">
        <v>43982</v>
      </c>
      <c r="B36" s="72">
        <v>43.41</v>
      </c>
      <c r="C36" s="73">
        <v>56.24</v>
      </c>
      <c r="D36" s="528">
        <v>44053</v>
      </c>
      <c r="E36" s="516" t="s">
        <v>1249</v>
      </c>
      <c r="F36" s="380">
        <v>189.73</v>
      </c>
      <c r="G36" s="147">
        <v>44043</v>
      </c>
      <c r="H36" s="75" t="s">
        <v>510</v>
      </c>
      <c r="I36" s="73">
        <v>6.9</v>
      </c>
      <c r="J36" s="234"/>
      <c r="K36" s="73"/>
      <c r="L36" s="1609">
        <v>43958</v>
      </c>
      <c r="M36" s="73">
        <v>8.4</v>
      </c>
      <c r="N36" s="894"/>
      <c r="O36" s="73"/>
      <c r="P36" s="1609">
        <v>43955</v>
      </c>
      <c r="Q36" s="73">
        <v>3.6</v>
      </c>
      <c r="R36" s="1609">
        <v>43978</v>
      </c>
      <c r="S36" s="73">
        <f t="shared" si="2"/>
        <v>1383.4</v>
      </c>
      <c r="T36" s="894">
        <f t="shared" si="3"/>
        <v>43978</v>
      </c>
      <c r="U36" s="1199" t="s">
        <v>916</v>
      </c>
      <c r="V36" s="73">
        <v>56.1</v>
      </c>
      <c r="W36" s="894"/>
      <c r="X36" s="1199"/>
      <c r="Y36" s="73"/>
      <c r="Z36" s="894">
        <f t="shared" si="4"/>
        <v>43978</v>
      </c>
      <c r="AA36" s="1199" t="s">
        <v>916</v>
      </c>
      <c r="AB36" s="73">
        <v>104.25</v>
      </c>
      <c r="AC36" s="894"/>
      <c r="AD36" s="1199"/>
      <c r="AE36" s="73"/>
      <c r="AF36" s="1112">
        <v>1</v>
      </c>
      <c r="AG36" s="1113">
        <v>20.63</v>
      </c>
      <c r="AH36" s="1110">
        <v>131</v>
      </c>
      <c r="AI36" s="238">
        <v>141</v>
      </c>
      <c r="AJ36" s="238"/>
      <c r="AK36" s="51">
        <f t="shared" si="0"/>
        <v>1.2955540198111035</v>
      </c>
      <c r="AL36" s="51">
        <f t="shared" si="1"/>
        <v>-8.2405845289822421E-2</v>
      </c>
      <c r="AM36" s="1957">
        <f t="shared" si="5"/>
        <v>39275</v>
      </c>
    </row>
    <row r="37" spans="1:39" x14ac:dyDescent="0.25">
      <c r="A37" s="71">
        <v>44012</v>
      </c>
      <c r="B37" s="72">
        <v>2.83</v>
      </c>
      <c r="C37" s="73">
        <v>3.63</v>
      </c>
      <c r="D37" s="147"/>
      <c r="E37" s="75"/>
      <c r="F37" s="73"/>
      <c r="G37" s="147">
        <v>44104</v>
      </c>
      <c r="H37" s="75" t="s">
        <v>510</v>
      </c>
      <c r="I37" s="73">
        <v>9.8000000000000007</v>
      </c>
      <c r="J37" s="234"/>
      <c r="K37" s="73"/>
      <c r="L37" s="1609">
        <v>43983</v>
      </c>
      <c r="M37" s="73">
        <v>8.4</v>
      </c>
      <c r="N37" s="894"/>
      <c r="O37" s="73"/>
      <c r="P37" s="1609">
        <v>43985</v>
      </c>
      <c r="Q37" s="73">
        <v>3.6</v>
      </c>
      <c r="R37" s="1609">
        <v>44009</v>
      </c>
      <c r="S37" s="73">
        <f t="shared" si="2"/>
        <v>1383.4</v>
      </c>
      <c r="T37" s="894">
        <f t="shared" si="3"/>
        <v>44009</v>
      </c>
      <c r="U37" s="1199" t="s">
        <v>916</v>
      </c>
      <c r="V37" s="73">
        <v>56.1</v>
      </c>
      <c r="W37" s="894"/>
      <c r="X37" s="1199"/>
      <c r="Y37" s="73"/>
      <c r="Z37" s="894">
        <f t="shared" si="4"/>
        <v>44009</v>
      </c>
      <c r="AA37" s="1199" t="s">
        <v>916</v>
      </c>
      <c r="AB37" s="73">
        <v>104.25</v>
      </c>
      <c r="AC37" s="894"/>
      <c r="AD37" s="1199"/>
      <c r="AE37" s="73"/>
      <c r="AF37" s="1112">
        <v>1.03</v>
      </c>
      <c r="AG37" s="1113">
        <v>20.6</v>
      </c>
      <c r="AH37" s="1110">
        <v>8</v>
      </c>
      <c r="AI37" s="238">
        <v>159</v>
      </c>
      <c r="AJ37" s="238"/>
      <c r="AK37" s="51">
        <f t="shared" si="0"/>
        <v>1.2826855123674912</v>
      </c>
      <c r="AL37" s="51">
        <f t="shared" si="1"/>
        <v>-9.5274352733434764E-2</v>
      </c>
      <c r="AM37" s="1957">
        <f t="shared" si="5"/>
        <v>39283</v>
      </c>
    </row>
    <row r="38" spans="1:39" x14ac:dyDescent="0.25">
      <c r="A38" s="71">
        <v>44043</v>
      </c>
      <c r="B38" s="72">
        <v>74.89</v>
      </c>
      <c r="C38" s="73">
        <v>94.67</v>
      </c>
      <c r="D38" s="147"/>
      <c r="E38" s="75"/>
      <c r="F38" s="73"/>
      <c r="G38" s="147">
        <v>44151</v>
      </c>
      <c r="H38" s="75" t="s">
        <v>510</v>
      </c>
      <c r="I38" s="73">
        <f>11.5+4.5</f>
        <v>16</v>
      </c>
      <c r="J38" s="234"/>
      <c r="K38" s="73"/>
      <c r="L38" s="1609">
        <v>44025</v>
      </c>
      <c r="M38" s="73">
        <v>8.4</v>
      </c>
      <c r="N38" s="894"/>
      <c r="O38" s="73"/>
      <c r="P38" s="1609">
        <v>44017</v>
      </c>
      <c r="Q38" s="73">
        <v>3.6</v>
      </c>
      <c r="R38" s="1609">
        <v>44039</v>
      </c>
      <c r="S38" s="73">
        <f t="shared" si="2"/>
        <v>1383.4</v>
      </c>
      <c r="T38" s="894">
        <f t="shared" si="3"/>
        <v>44039</v>
      </c>
      <c r="U38" s="1199" t="s">
        <v>916</v>
      </c>
      <c r="V38" s="73">
        <v>56.1</v>
      </c>
      <c r="W38" s="894"/>
      <c r="X38" s="1199"/>
      <c r="Y38" s="73"/>
      <c r="Z38" s="894">
        <f t="shared" si="4"/>
        <v>44039</v>
      </c>
      <c r="AA38" s="1199" t="s">
        <v>916</v>
      </c>
      <c r="AB38" s="73">
        <v>104.25</v>
      </c>
      <c r="AC38" s="894"/>
      <c r="AD38" s="1199"/>
      <c r="AE38" s="73"/>
      <c r="AF38" s="1112">
        <v>1.05</v>
      </c>
      <c r="AG38" s="1113">
        <v>20.309999999999999</v>
      </c>
      <c r="AH38" s="1110">
        <v>325</v>
      </c>
      <c r="AI38" s="238">
        <v>153</v>
      </c>
      <c r="AJ38" s="238"/>
      <c r="AK38" s="51">
        <f t="shared" si="0"/>
        <v>1.264120710375217</v>
      </c>
      <c r="AL38" s="51">
        <f t="shared" si="1"/>
        <v>-0.11383915472570894</v>
      </c>
      <c r="AM38" s="1957">
        <f t="shared" si="5"/>
        <v>39608</v>
      </c>
    </row>
    <row r="39" spans="1:39" x14ac:dyDescent="0.25">
      <c r="A39" s="71">
        <v>44074</v>
      </c>
      <c r="B39" s="72">
        <v>212.84</v>
      </c>
      <c r="C39" s="73">
        <v>263.83999999999997</v>
      </c>
      <c r="D39" s="147"/>
      <c r="E39" s="75"/>
      <c r="F39" s="73"/>
      <c r="G39" s="147"/>
      <c r="H39" s="75"/>
      <c r="I39" s="73"/>
      <c r="J39" s="234"/>
      <c r="K39" s="73"/>
      <c r="L39" s="1609">
        <v>44053</v>
      </c>
      <c r="M39" s="73">
        <v>8.4</v>
      </c>
      <c r="N39" s="894"/>
      <c r="O39" s="73"/>
      <c r="P39" s="1609">
        <v>44049</v>
      </c>
      <c r="Q39" s="73">
        <v>3.6</v>
      </c>
      <c r="R39" s="1609">
        <v>44070</v>
      </c>
      <c r="S39" s="73">
        <f t="shared" si="2"/>
        <v>1383.4</v>
      </c>
      <c r="T39" s="894">
        <f t="shared" si="3"/>
        <v>44070</v>
      </c>
      <c r="U39" s="1199" t="s">
        <v>916</v>
      </c>
      <c r="V39" s="73">
        <v>56.1</v>
      </c>
      <c r="W39" s="894"/>
      <c r="X39" s="1199"/>
      <c r="Y39" s="73"/>
      <c r="Z39" s="894">
        <f t="shared" si="4"/>
        <v>44070</v>
      </c>
      <c r="AA39" s="1199" t="s">
        <v>916</v>
      </c>
      <c r="AB39" s="73">
        <v>104.25</v>
      </c>
      <c r="AC39" s="894"/>
      <c r="AD39" s="1199"/>
      <c r="AE39" s="73"/>
      <c r="AF39" s="1112">
        <v>1.05</v>
      </c>
      <c r="AG39" s="1113">
        <v>20.239999999999998</v>
      </c>
      <c r="AH39" s="1110">
        <v>916</v>
      </c>
      <c r="AI39" s="238">
        <v>159</v>
      </c>
      <c r="AJ39" s="238"/>
      <c r="AK39" s="51">
        <f t="shared" si="0"/>
        <v>1.2396166134185302</v>
      </c>
      <c r="AL39" s="51">
        <f t="shared" si="1"/>
        <v>-0.1383432516823957</v>
      </c>
      <c r="AM39" s="1957">
        <f t="shared" si="5"/>
        <v>40524</v>
      </c>
    </row>
    <row r="40" spans="1:39" x14ac:dyDescent="0.25">
      <c r="A40" s="71">
        <v>44104</v>
      </c>
      <c r="B40" s="72">
        <v>257.37</v>
      </c>
      <c r="C40" s="73">
        <v>309.62</v>
      </c>
      <c r="D40" s="147"/>
      <c r="E40" s="75"/>
      <c r="F40" s="73"/>
      <c r="G40" s="147"/>
      <c r="H40" s="75"/>
      <c r="I40" s="73"/>
      <c r="J40" s="234"/>
      <c r="K40" s="73"/>
      <c r="L40" s="1609">
        <v>44084</v>
      </c>
      <c r="M40" s="73">
        <v>8.4</v>
      </c>
      <c r="N40" s="894"/>
      <c r="O40" s="73"/>
      <c r="P40" s="1609">
        <v>44078</v>
      </c>
      <c r="Q40" s="73">
        <v>3.6</v>
      </c>
      <c r="R40" s="1609">
        <v>44101</v>
      </c>
      <c r="S40" s="73">
        <f t="shared" si="2"/>
        <v>1383.4</v>
      </c>
      <c r="T40" s="894">
        <f t="shared" si="3"/>
        <v>44101</v>
      </c>
      <c r="U40" s="1199" t="s">
        <v>916</v>
      </c>
      <c r="V40" s="73">
        <v>56.1</v>
      </c>
      <c r="W40" s="894"/>
      <c r="X40" s="1199"/>
      <c r="Y40" s="73"/>
      <c r="Z40" s="894">
        <f t="shared" si="4"/>
        <v>44101</v>
      </c>
      <c r="AA40" s="1199" t="s">
        <v>916</v>
      </c>
      <c r="AB40" s="73">
        <v>104.25</v>
      </c>
      <c r="AC40" s="894"/>
      <c r="AD40" s="1199"/>
      <c r="AE40" s="73"/>
      <c r="AF40" s="1112">
        <v>1.07</v>
      </c>
      <c r="AG40" s="1113">
        <v>20.79</v>
      </c>
      <c r="AH40" s="1110">
        <v>1035</v>
      </c>
      <c r="AI40" s="238">
        <v>159</v>
      </c>
      <c r="AJ40" s="238"/>
      <c r="AK40" s="51">
        <f t="shared" si="0"/>
        <v>1.2030151144267009</v>
      </c>
      <c r="AL40" s="51">
        <f t="shared" si="1"/>
        <v>-0.17494475067422499</v>
      </c>
      <c r="AM40" s="1957">
        <f t="shared" si="5"/>
        <v>41559</v>
      </c>
    </row>
    <row r="41" spans="1:39" x14ac:dyDescent="0.25">
      <c r="A41" s="71">
        <v>44135</v>
      </c>
      <c r="B41" s="72">
        <v>14.97</v>
      </c>
      <c r="C41" s="73">
        <v>17.97</v>
      </c>
      <c r="D41" s="147"/>
      <c r="E41" s="75"/>
      <c r="F41" s="73"/>
      <c r="G41" s="147"/>
      <c r="H41" s="75"/>
      <c r="I41" s="73"/>
      <c r="J41" s="234"/>
      <c r="K41" s="73"/>
      <c r="L41" s="1609">
        <v>44119</v>
      </c>
      <c r="M41" s="73">
        <v>8.4</v>
      </c>
      <c r="N41" s="894"/>
      <c r="O41" s="73"/>
      <c r="P41" s="1609">
        <v>44109</v>
      </c>
      <c r="Q41" s="73">
        <v>3.6</v>
      </c>
      <c r="R41" s="1609">
        <v>44131</v>
      </c>
      <c r="S41" s="73">
        <f t="shared" si="2"/>
        <v>1383.4</v>
      </c>
      <c r="T41" s="894">
        <f t="shared" si="3"/>
        <v>44131</v>
      </c>
      <c r="U41" s="1199" t="s">
        <v>916</v>
      </c>
      <c r="V41" s="73">
        <v>56.1</v>
      </c>
      <c r="W41" s="894"/>
      <c r="X41" s="1199"/>
      <c r="Y41" s="73"/>
      <c r="Z41" s="894">
        <f t="shared" si="4"/>
        <v>44131</v>
      </c>
      <c r="AA41" s="1199" t="s">
        <v>916</v>
      </c>
      <c r="AB41" s="73">
        <v>104.25</v>
      </c>
      <c r="AC41" s="894"/>
      <c r="AD41" s="1199"/>
      <c r="AE41" s="73"/>
      <c r="AF41" s="1112">
        <v>1.1000000000000001</v>
      </c>
      <c r="AG41" s="1113">
        <v>20.77</v>
      </c>
      <c r="AH41" s="1110">
        <v>68</v>
      </c>
      <c r="AI41" s="238">
        <v>160</v>
      </c>
      <c r="AJ41" s="238"/>
      <c r="AK41" s="51">
        <f t="shared" si="0"/>
        <v>1.2004008016032064</v>
      </c>
      <c r="AL41" s="51">
        <f t="shared" si="1"/>
        <v>-0.17755906349771955</v>
      </c>
      <c r="AM41" s="1957">
        <f t="shared" si="5"/>
        <v>41627</v>
      </c>
    </row>
    <row r="42" spans="1:39" x14ac:dyDescent="0.25">
      <c r="A42" s="71">
        <v>44165</v>
      </c>
      <c r="B42" s="72">
        <v>17.95</v>
      </c>
      <c r="C42" s="73">
        <v>21.58</v>
      </c>
      <c r="D42" s="147"/>
      <c r="E42" s="75"/>
      <c r="F42" s="73"/>
      <c r="G42" s="147"/>
      <c r="H42" s="75"/>
      <c r="I42" s="73"/>
      <c r="J42" s="234"/>
      <c r="K42" s="73"/>
      <c r="L42" s="1609">
        <v>44145</v>
      </c>
      <c r="M42" s="73">
        <v>8.4</v>
      </c>
      <c r="N42" s="894"/>
      <c r="O42" s="73"/>
      <c r="P42" s="1609">
        <v>44141</v>
      </c>
      <c r="Q42" s="73">
        <v>3.6</v>
      </c>
      <c r="R42" s="1609">
        <v>44162</v>
      </c>
      <c r="S42" s="73">
        <f t="shared" si="2"/>
        <v>1383.4</v>
      </c>
      <c r="T42" s="894">
        <f t="shared" si="3"/>
        <v>44162</v>
      </c>
      <c r="U42" s="1199" t="s">
        <v>916</v>
      </c>
      <c r="V42" s="73">
        <v>56.1</v>
      </c>
      <c r="W42" s="894"/>
      <c r="X42" s="1199"/>
      <c r="Y42" s="73"/>
      <c r="Z42" s="894">
        <f t="shared" si="4"/>
        <v>44162</v>
      </c>
      <c r="AA42" s="1199" t="s">
        <v>916</v>
      </c>
      <c r="AB42" s="73">
        <v>104.25</v>
      </c>
      <c r="AC42" s="894"/>
      <c r="AD42" s="1199"/>
      <c r="AE42" s="73"/>
      <c r="AF42" s="1112">
        <v>1.1299999999999999</v>
      </c>
      <c r="AG42" s="1113">
        <v>20.72</v>
      </c>
      <c r="AH42" s="1110">
        <v>62</v>
      </c>
      <c r="AI42" s="238">
        <v>159</v>
      </c>
      <c r="AJ42" s="238"/>
      <c r="AK42" s="51">
        <f t="shared" si="0"/>
        <v>1.2022284122562674</v>
      </c>
      <c r="AL42" s="51">
        <f t="shared" si="1"/>
        <v>-0.17573145284465852</v>
      </c>
      <c r="AM42" s="1957">
        <f t="shared" si="5"/>
        <v>41689</v>
      </c>
    </row>
    <row r="43" spans="1:39" x14ac:dyDescent="0.25">
      <c r="A43" s="71">
        <v>44561</v>
      </c>
      <c r="B43" s="72">
        <v>17.29</v>
      </c>
      <c r="C43" s="73">
        <v>20.85</v>
      </c>
      <c r="D43" s="147"/>
      <c r="E43" s="75"/>
      <c r="F43" s="73"/>
      <c r="G43" s="147"/>
      <c r="H43" s="75"/>
      <c r="I43" s="73"/>
      <c r="J43" s="234"/>
      <c r="K43" s="73"/>
      <c r="L43" s="1609">
        <v>44196</v>
      </c>
      <c r="M43" s="73">
        <v>8.4</v>
      </c>
      <c r="N43" s="894">
        <v>44358</v>
      </c>
      <c r="O43" s="73">
        <v>50</v>
      </c>
      <c r="P43" s="1609">
        <v>44171</v>
      </c>
      <c r="Q43" s="73">
        <v>3.6</v>
      </c>
      <c r="R43" s="1609">
        <v>44557</v>
      </c>
      <c r="S43" s="73">
        <f t="shared" si="2"/>
        <v>1383.4</v>
      </c>
      <c r="T43" s="894">
        <f t="shared" si="3"/>
        <v>44557</v>
      </c>
      <c r="U43" s="1199" t="s">
        <v>916</v>
      </c>
      <c r="V43" s="73">
        <v>56.1</v>
      </c>
      <c r="W43" s="894">
        <v>44282</v>
      </c>
      <c r="X43" s="1199" t="s">
        <v>1270</v>
      </c>
      <c r="Y43" s="73">
        <v>666</v>
      </c>
      <c r="Z43" s="894">
        <f t="shared" si="4"/>
        <v>44557</v>
      </c>
      <c r="AA43" s="1199" t="s">
        <v>916</v>
      </c>
      <c r="AB43" s="73">
        <v>104.25</v>
      </c>
      <c r="AC43" s="894"/>
      <c r="AD43" s="1199"/>
      <c r="AE43" s="73"/>
      <c r="AF43" s="1112">
        <v>1.19</v>
      </c>
      <c r="AG43" s="1113">
        <v>20.73</v>
      </c>
      <c r="AH43" s="1110">
        <v>57</v>
      </c>
      <c r="AI43" s="238">
        <v>159</v>
      </c>
      <c r="AJ43" s="238"/>
      <c r="AK43" s="51">
        <f t="shared" si="0"/>
        <v>1.2058993637941007</v>
      </c>
      <c r="AL43" s="51">
        <f t="shared" si="1"/>
        <v>-0.17206050130682526</v>
      </c>
      <c r="AM43" s="1957">
        <f t="shared" si="5"/>
        <v>41746</v>
      </c>
    </row>
    <row r="44" spans="1:39" x14ac:dyDescent="0.25">
      <c r="A44" s="71">
        <v>44227</v>
      </c>
      <c r="B44" s="72">
        <v>15.76</v>
      </c>
      <c r="C44" s="73">
        <v>19.100000000000001</v>
      </c>
      <c r="D44" s="528">
        <v>44340</v>
      </c>
      <c r="E44" s="516" t="s">
        <v>1351</v>
      </c>
      <c r="F44" s="380">
        <v>1938.86</v>
      </c>
      <c r="G44" s="147">
        <v>44245</v>
      </c>
      <c r="H44" s="75" t="s">
        <v>1293</v>
      </c>
      <c r="I44" s="73">
        <v>65</v>
      </c>
      <c r="J44" s="234"/>
      <c r="K44" s="73"/>
      <c r="L44" s="1609">
        <v>44225</v>
      </c>
      <c r="M44" s="73">
        <v>8.4</v>
      </c>
      <c r="N44" s="894"/>
      <c r="O44" s="73"/>
      <c r="P44" s="1609">
        <v>44201</v>
      </c>
      <c r="Q44" s="73">
        <v>3.6</v>
      </c>
      <c r="R44" s="1609">
        <v>44223</v>
      </c>
      <c r="S44" s="73">
        <f t="shared" si="2"/>
        <v>1383.4</v>
      </c>
      <c r="T44" s="894">
        <f t="shared" si="3"/>
        <v>44223</v>
      </c>
      <c r="U44" s="1199" t="s">
        <v>916</v>
      </c>
      <c r="V44" s="73">
        <v>56.1</v>
      </c>
      <c r="W44" s="894"/>
      <c r="X44" s="1199"/>
      <c r="Y44" s="73"/>
      <c r="Z44" s="894">
        <f t="shared" si="4"/>
        <v>44223</v>
      </c>
      <c r="AA44" s="1199" t="s">
        <v>916</v>
      </c>
      <c r="AB44" s="73">
        <v>104.25</v>
      </c>
      <c r="AC44" s="894"/>
      <c r="AD44" s="1199"/>
      <c r="AE44" s="73"/>
      <c r="AF44" s="1112">
        <v>1.2</v>
      </c>
      <c r="AG44" s="1113">
        <v>20.77</v>
      </c>
      <c r="AH44" s="1110">
        <v>55</v>
      </c>
      <c r="AI44" s="238">
        <v>159</v>
      </c>
      <c r="AJ44" s="238"/>
      <c r="AK44" s="51">
        <f t="shared" si="0"/>
        <v>1.2119289340101524</v>
      </c>
      <c r="AL44" s="51">
        <f t="shared" si="1"/>
        <v>-0.16603093109077349</v>
      </c>
      <c r="AM44" s="1957">
        <f t="shared" si="5"/>
        <v>41801</v>
      </c>
    </row>
    <row r="45" spans="1:39" x14ac:dyDescent="0.25">
      <c r="A45" s="71">
        <v>44255</v>
      </c>
      <c r="B45" s="72">
        <v>16.54</v>
      </c>
      <c r="C45" s="73">
        <v>20.18</v>
      </c>
      <c r="D45" s="528">
        <v>44406</v>
      </c>
      <c r="E45" s="516" t="s">
        <v>1446</v>
      </c>
      <c r="F45" s="380">
        <v>57.86</v>
      </c>
      <c r="G45" s="147">
        <v>44245</v>
      </c>
      <c r="H45" s="75" t="s">
        <v>1294</v>
      </c>
      <c r="I45" s="73">
        <v>47</v>
      </c>
      <c r="J45" s="234"/>
      <c r="K45" s="73"/>
      <c r="L45" s="1609">
        <v>44231</v>
      </c>
      <c r="M45" s="73">
        <v>8.4</v>
      </c>
      <c r="N45" s="894"/>
      <c r="O45" s="73"/>
      <c r="P45" s="1609">
        <v>44231</v>
      </c>
      <c r="Q45" s="73">
        <v>3.6</v>
      </c>
      <c r="R45" s="1609">
        <v>44254</v>
      </c>
      <c r="S45" s="73">
        <f t="shared" si="2"/>
        <v>1383.4</v>
      </c>
      <c r="T45" s="894">
        <f t="shared" si="3"/>
        <v>44254</v>
      </c>
      <c r="U45" s="1199" t="s">
        <v>916</v>
      </c>
      <c r="V45" s="73">
        <v>56.1</v>
      </c>
      <c r="W45" s="894"/>
      <c r="X45" s="1199"/>
      <c r="Y45" s="73"/>
      <c r="Z45" s="894">
        <f t="shared" si="4"/>
        <v>44254</v>
      </c>
      <c r="AA45" s="1199" t="s">
        <v>916</v>
      </c>
      <c r="AB45" s="73">
        <v>104.25</v>
      </c>
      <c r="AC45" s="894"/>
      <c r="AD45" s="1199"/>
      <c r="AE45" s="73"/>
      <c r="AF45" s="1112">
        <v>1.22</v>
      </c>
      <c r="AG45" s="1113">
        <v>20.81</v>
      </c>
      <c r="AH45" s="1110">
        <v>66</v>
      </c>
      <c r="AI45" s="238">
        <v>158</v>
      </c>
      <c r="AJ45" s="238"/>
      <c r="AK45" s="51">
        <f t="shared" ref="AK45:AK94" si="6">C45/B45</f>
        <v>1.2200725513905684</v>
      </c>
      <c r="AL45" s="51">
        <f t="shared" ref="AL45:AL94" si="7">AK45-$AK$8</f>
        <v>-0.15788731371035758</v>
      </c>
      <c r="AM45" s="1957">
        <f t="shared" si="5"/>
        <v>41867</v>
      </c>
    </row>
    <row r="46" spans="1:39" x14ac:dyDescent="0.25">
      <c r="A46" s="71">
        <v>44286</v>
      </c>
      <c r="B46" s="72">
        <v>0</v>
      </c>
      <c r="C46" s="73">
        <v>0</v>
      </c>
      <c r="D46" s="528">
        <v>44466</v>
      </c>
      <c r="E46" s="516" t="s">
        <v>1471</v>
      </c>
      <c r="F46" s="380">
        <v>2124.06</v>
      </c>
      <c r="G46" s="147"/>
      <c r="H46" s="75"/>
      <c r="I46" s="73"/>
      <c r="J46" s="234"/>
      <c r="K46" s="73"/>
      <c r="L46" s="1609">
        <v>44264</v>
      </c>
      <c r="M46" s="73">
        <v>8.4</v>
      </c>
      <c r="N46" s="894"/>
      <c r="O46" s="73"/>
      <c r="P46" s="1609">
        <v>44258</v>
      </c>
      <c r="Q46" s="73">
        <v>3.6</v>
      </c>
      <c r="R46" s="1609">
        <v>44282</v>
      </c>
      <c r="S46" s="73">
        <f t="shared" si="2"/>
        <v>1383.4</v>
      </c>
      <c r="T46" s="894">
        <f t="shared" si="3"/>
        <v>44282</v>
      </c>
      <c r="U46" s="1199" t="s">
        <v>916</v>
      </c>
      <c r="V46" s="73">
        <v>56.1</v>
      </c>
      <c r="W46" s="894"/>
      <c r="X46" s="1199"/>
      <c r="Y46" s="73"/>
      <c r="Z46" s="894">
        <f t="shared" si="4"/>
        <v>44282</v>
      </c>
      <c r="AA46" s="1199" t="s">
        <v>916</v>
      </c>
      <c r="AB46" s="73">
        <v>104.25</v>
      </c>
      <c r="AC46" s="894"/>
      <c r="AD46" s="1199"/>
      <c r="AE46" s="73"/>
      <c r="AF46" s="1112">
        <v>1.22</v>
      </c>
      <c r="AG46" s="1113">
        <v>20.47</v>
      </c>
      <c r="AH46" s="1110">
        <v>0</v>
      </c>
      <c r="AI46" s="238">
        <v>158</v>
      </c>
      <c r="AJ46" s="238"/>
      <c r="AK46" s="51" t="e">
        <f t="shared" si="6"/>
        <v>#DIV/0!</v>
      </c>
      <c r="AL46" s="51" t="e">
        <f t="shared" si="7"/>
        <v>#DIV/0!</v>
      </c>
      <c r="AM46" s="1957">
        <f t="shared" si="5"/>
        <v>41867</v>
      </c>
    </row>
    <row r="47" spans="1:39" x14ac:dyDescent="0.25">
      <c r="A47" s="71">
        <v>44316</v>
      </c>
      <c r="B47" s="72">
        <v>16.920000000000002</v>
      </c>
      <c r="C47" s="73">
        <v>20.85</v>
      </c>
      <c r="D47" s="147">
        <v>44518</v>
      </c>
      <c r="E47" s="75" t="s">
        <v>1502</v>
      </c>
      <c r="F47" s="73">
        <v>34.96</v>
      </c>
      <c r="G47" s="147"/>
      <c r="H47" s="75"/>
      <c r="I47" s="73"/>
      <c r="J47" s="234"/>
      <c r="K47" s="73"/>
      <c r="L47" s="1609">
        <v>44295</v>
      </c>
      <c r="M47" s="73">
        <v>8.4</v>
      </c>
      <c r="N47" s="894"/>
      <c r="O47" s="73"/>
      <c r="P47" s="1609">
        <v>44291</v>
      </c>
      <c r="Q47" s="73">
        <v>3.6</v>
      </c>
      <c r="R47" s="1609">
        <v>44313</v>
      </c>
      <c r="S47" s="73">
        <f t="shared" si="2"/>
        <v>1383.4</v>
      </c>
      <c r="T47" s="894">
        <f t="shared" si="3"/>
        <v>44313</v>
      </c>
      <c r="U47" s="1199" t="s">
        <v>916</v>
      </c>
      <c r="V47" s="73">
        <v>56.1</v>
      </c>
      <c r="W47" s="894"/>
      <c r="X47" s="1199"/>
      <c r="Y47" s="73"/>
      <c r="Z47" s="894">
        <f t="shared" si="4"/>
        <v>44313</v>
      </c>
      <c r="AA47" s="1199" t="s">
        <v>916</v>
      </c>
      <c r="AB47" s="73">
        <v>104.25</v>
      </c>
      <c r="AC47" s="894"/>
      <c r="AD47" s="1199"/>
      <c r="AE47" s="73"/>
      <c r="AF47" s="1112">
        <v>1.23</v>
      </c>
      <c r="AG47" s="1113">
        <v>20.51</v>
      </c>
      <c r="AH47" s="1110">
        <v>68</v>
      </c>
      <c r="AI47" s="238">
        <v>157</v>
      </c>
      <c r="AJ47" s="238"/>
      <c r="AK47" s="51">
        <f t="shared" si="6"/>
        <v>1.2322695035460993</v>
      </c>
      <c r="AL47" s="51">
        <f t="shared" si="7"/>
        <v>-0.14569036155482662</v>
      </c>
      <c r="AM47" s="1957">
        <f t="shared" si="5"/>
        <v>41935</v>
      </c>
    </row>
    <row r="48" spans="1:39" x14ac:dyDescent="0.25">
      <c r="A48" s="71">
        <v>44347</v>
      </c>
      <c r="B48" s="72">
        <v>152.91</v>
      </c>
      <c r="C48" s="73">
        <v>198.87</v>
      </c>
      <c r="D48" s="147"/>
      <c r="E48" s="75"/>
      <c r="F48" s="73"/>
      <c r="G48" s="147"/>
      <c r="H48" s="75"/>
      <c r="I48" s="73"/>
      <c r="J48" s="234"/>
      <c r="K48" s="73"/>
      <c r="L48" s="1609">
        <v>44320</v>
      </c>
      <c r="M48" s="73">
        <v>8.4</v>
      </c>
      <c r="N48" s="894"/>
      <c r="O48" s="73"/>
      <c r="P48" s="1609">
        <v>44323</v>
      </c>
      <c r="Q48" s="73">
        <v>3.6</v>
      </c>
      <c r="R48" s="1609">
        <v>44343</v>
      </c>
      <c r="S48" s="73">
        <f t="shared" si="2"/>
        <v>1383.4</v>
      </c>
      <c r="T48" s="894">
        <f t="shared" si="3"/>
        <v>44343</v>
      </c>
      <c r="U48" s="1199" t="s">
        <v>916</v>
      </c>
      <c r="V48" s="73">
        <v>56.1</v>
      </c>
      <c r="W48" s="894"/>
      <c r="X48" s="1199"/>
      <c r="Y48" s="73"/>
      <c r="Z48" s="894">
        <f t="shared" si="4"/>
        <v>44343</v>
      </c>
      <c r="AA48" s="1199" t="s">
        <v>916</v>
      </c>
      <c r="AB48" s="73">
        <v>104.25</v>
      </c>
      <c r="AC48" s="894"/>
      <c r="AD48" s="1199"/>
      <c r="AE48" s="73"/>
      <c r="AF48" s="1112">
        <v>1.29</v>
      </c>
      <c r="AG48" s="1113">
        <v>20.260000000000002</v>
      </c>
      <c r="AH48" s="1110">
        <v>789</v>
      </c>
      <c r="AI48" s="238">
        <v>160</v>
      </c>
      <c r="AJ48" s="238"/>
      <c r="AK48" s="51">
        <f t="shared" si="6"/>
        <v>1.3005689621345891</v>
      </c>
      <c r="AL48" s="51">
        <f t="shared" si="7"/>
        <v>-7.7390902966336883E-2</v>
      </c>
      <c r="AM48" s="1957">
        <f t="shared" si="5"/>
        <v>42724</v>
      </c>
    </row>
    <row r="49" spans="1:39" x14ac:dyDescent="0.25">
      <c r="A49" s="71">
        <v>44377</v>
      </c>
      <c r="B49" s="72">
        <v>213.37</v>
      </c>
      <c r="C49" s="73">
        <v>290.38</v>
      </c>
      <c r="D49" s="147"/>
      <c r="E49" s="75"/>
      <c r="F49" s="73"/>
      <c r="G49" s="147"/>
      <c r="H49" s="75"/>
      <c r="I49" s="73"/>
      <c r="J49" s="234"/>
      <c r="K49" s="73"/>
      <c r="L49" s="1785">
        <v>44351</v>
      </c>
      <c r="M49" s="73">
        <v>8.4</v>
      </c>
      <c r="N49" s="894"/>
      <c r="O49" s="73"/>
      <c r="P49" s="1609">
        <v>44351</v>
      </c>
      <c r="Q49" s="73">
        <v>3.6</v>
      </c>
      <c r="R49" s="1609">
        <v>44374</v>
      </c>
      <c r="S49" s="73">
        <f t="shared" si="2"/>
        <v>1383.4</v>
      </c>
      <c r="T49" s="894">
        <f t="shared" si="3"/>
        <v>44374</v>
      </c>
      <c r="U49" s="1199" t="s">
        <v>916</v>
      </c>
      <c r="V49" s="73">
        <v>56.1</v>
      </c>
      <c r="W49" s="894"/>
      <c r="X49" s="1199"/>
      <c r="Y49" s="73"/>
      <c r="Z49" s="894">
        <f t="shared" si="4"/>
        <v>44374</v>
      </c>
      <c r="AA49" s="1199" t="s">
        <v>916</v>
      </c>
      <c r="AB49" s="73">
        <v>104.25</v>
      </c>
      <c r="AC49" s="894"/>
      <c r="AD49" s="1199"/>
      <c r="AE49" s="73"/>
      <c r="AF49" s="1112">
        <v>1.3</v>
      </c>
      <c r="AG49" s="1113">
        <v>20.89</v>
      </c>
      <c r="AH49" s="1110">
        <v>879</v>
      </c>
      <c r="AI49" s="238">
        <v>159</v>
      </c>
      <c r="AJ49" s="238"/>
      <c r="AK49" s="51">
        <f t="shared" si="6"/>
        <v>1.3609223414725593</v>
      </c>
      <c r="AL49" s="51">
        <f t="shared" si="7"/>
        <v>-1.7037523628366635E-2</v>
      </c>
      <c r="AM49" s="1957">
        <f t="shared" si="5"/>
        <v>43603</v>
      </c>
    </row>
    <row r="50" spans="1:39" x14ac:dyDescent="0.25">
      <c r="A50" s="71">
        <v>44408</v>
      </c>
      <c r="B50" s="72"/>
      <c r="C50" s="73"/>
      <c r="D50" s="147"/>
      <c r="E50" s="75"/>
      <c r="F50" s="73"/>
      <c r="G50" s="147"/>
      <c r="H50" s="75"/>
      <c r="I50" s="73"/>
      <c r="J50" s="234"/>
      <c r="K50" s="73"/>
      <c r="L50" s="1609">
        <v>44383</v>
      </c>
      <c r="M50" s="73">
        <v>8.4</v>
      </c>
      <c r="N50" s="894"/>
      <c r="O50" s="73"/>
      <c r="P50" s="1609">
        <v>44382</v>
      </c>
      <c r="Q50" s="73">
        <v>3.6</v>
      </c>
      <c r="R50" s="1609"/>
      <c r="S50" s="73"/>
      <c r="T50" s="894"/>
      <c r="U50" s="1199"/>
      <c r="V50" s="73"/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f t="shared" ref="AF50:AF96" ca="1" si="8">$F$5</f>
        <v>1.3516746568266991</v>
      </c>
      <c r="AG50" s="1113">
        <f>SUM($B$9:B50)/($J$1-$B$4)*100</f>
        <v>20.894241671290384</v>
      </c>
      <c r="AH50" s="1110">
        <v>240</v>
      </c>
      <c r="AI50" s="238"/>
      <c r="AJ50" s="238"/>
      <c r="AK50" s="51" t="e">
        <f t="shared" si="6"/>
        <v>#DIV/0!</v>
      </c>
      <c r="AL50" s="51" t="e">
        <f t="shared" si="7"/>
        <v>#DIV/0!</v>
      </c>
      <c r="AM50" s="1957">
        <f t="shared" si="5"/>
        <v>43843</v>
      </c>
    </row>
    <row r="51" spans="1:39" x14ac:dyDescent="0.25">
      <c r="A51" s="71">
        <v>44439</v>
      </c>
      <c r="B51" s="72"/>
      <c r="C51" s="73"/>
      <c r="D51" s="147"/>
      <c r="E51" s="75"/>
      <c r="F51" s="73"/>
      <c r="G51" s="147"/>
      <c r="H51" s="75"/>
      <c r="I51" s="73"/>
      <c r="J51" s="234"/>
      <c r="K51" s="73"/>
      <c r="L51" s="1785">
        <v>44415</v>
      </c>
      <c r="M51" s="73">
        <v>8.4</v>
      </c>
      <c r="N51" s="894"/>
      <c r="O51" s="73"/>
      <c r="P51" s="1609">
        <v>44414</v>
      </c>
      <c r="Q51" s="73">
        <v>3.6</v>
      </c>
      <c r="R51" s="1609"/>
      <c r="S51" s="73"/>
      <c r="T51" s="894"/>
      <c r="U51" s="1199"/>
      <c r="V51" s="73"/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f t="shared" ca="1" si="8"/>
        <v>1.3516746568266991</v>
      </c>
      <c r="AG51" s="1113">
        <f>SUM($B$9:B51)/($J$1-$B$4)*100</f>
        <v>20.894241671290384</v>
      </c>
      <c r="AH51" s="1110">
        <v>911</v>
      </c>
      <c r="AI51" s="238"/>
      <c r="AJ51" s="238"/>
      <c r="AK51" s="51" t="e">
        <f t="shared" si="6"/>
        <v>#DIV/0!</v>
      </c>
      <c r="AL51" s="51" t="e">
        <f t="shared" si="7"/>
        <v>#DIV/0!</v>
      </c>
      <c r="AM51" s="1957">
        <f t="shared" si="5"/>
        <v>44754</v>
      </c>
    </row>
    <row r="52" spans="1:39" x14ac:dyDescent="0.25">
      <c r="A52" s="71">
        <v>44469</v>
      </c>
      <c r="B52" s="72"/>
      <c r="C52" s="73"/>
      <c r="D52" s="147"/>
      <c r="E52" s="75"/>
      <c r="F52" s="73"/>
      <c r="G52" s="147"/>
      <c r="H52" s="75"/>
      <c r="I52" s="73"/>
      <c r="J52" s="234"/>
      <c r="K52" s="73"/>
      <c r="L52" s="1609">
        <v>44446</v>
      </c>
      <c r="M52" s="73">
        <v>8.4</v>
      </c>
      <c r="N52" s="894"/>
      <c r="O52" s="73"/>
      <c r="P52" s="1609">
        <v>44442</v>
      </c>
      <c r="Q52" s="73">
        <v>3.6</v>
      </c>
      <c r="R52" s="1609"/>
      <c r="S52" s="73"/>
      <c r="T52" s="894"/>
      <c r="U52" s="1199"/>
      <c r="V52" s="73"/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f t="shared" ca="1" si="8"/>
        <v>1.3516746568266991</v>
      </c>
      <c r="AG52" s="1113">
        <f>SUM($B$9:B52)/($J$1-$B$4)*100</f>
        <v>20.894241671290384</v>
      </c>
      <c r="AH52" s="1110">
        <v>537</v>
      </c>
      <c r="AI52" s="238"/>
      <c r="AJ52" s="238"/>
      <c r="AK52" s="51" t="e">
        <f t="shared" si="6"/>
        <v>#DIV/0!</v>
      </c>
      <c r="AL52" s="51" t="e">
        <f t="shared" si="7"/>
        <v>#DIV/0!</v>
      </c>
      <c r="AM52" s="1957">
        <f t="shared" si="5"/>
        <v>45291</v>
      </c>
    </row>
    <row r="53" spans="1:39" x14ac:dyDescent="0.25">
      <c r="A53" s="71">
        <v>44500</v>
      </c>
      <c r="B53" s="72"/>
      <c r="C53" s="73"/>
      <c r="D53" s="147"/>
      <c r="E53" s="75"/>
      <c r="F53" s="73"/>
      <c r="G53" s="147"/>
      <c r="H53" s="75"/>
      <c r="I53" s="73"/>
      <c r="J53" s="234"/>
      <c r="K53" s="73"/>
      <c r="L53" s="1609">
        <v>44470</v>
      </c>
      <c r="M53" s="73">
        <v>8.4</v>
      </c>
      <c r="N53" s="894"/>
      <c r="O53" s="73"/>
      <c r="P53" s="1609">
        <v>44472</v>
      </c>
      <c r="Q53" s="73">
        <v>3.6</v>
      </c>
      <c r="R53" s="1609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f t="shared" ca="1" si="8"/>
        <v>1.3516746568266991</v>
      </c>
      <c r="AG53" s="1113">
        <f>SUM($B$9:B53)/($J$1-$B$4)*100</f>
        <v>20.894241671290384</v>
      </c>
      <c r="AH53" s="1110">
        <v>668</v>
      </c>
      <c r="AI53" s="238"/>
      <c r="AJ53" s="238"/>
      <c r="AK53" s="51" t="e">
        <f t="shared" si="6"/>
        <v>#DIV/0!</v>
      </c>
      <c r="AL53" s="51" t="e">
        <f t="shared" si="7"/>
        <v>#DIV/0!</v>
      </c>
      <c r="AM53" s="1957">
        <f t="shared" si="5"/>
        <v>45959</v>
      </c>
    </row>
    <row r="54" spans="1:39" x14ac:dyDescent="0.25">
      <c r="A54" s="71">
        <v>44530</v>
      </c>
      <c r="B54" s="72"/>
      <c r="C54" s="73"/>
      <c r="D54" s="147"/>
      <c r="E54" s="75"/>
      <c r="F54" s="73"/>
      <c r="G54" s="147"/>
      <c r="H54" s="75"/>
      <c r="I54" s="73"/>
      <c r="J54" s="234"/>
      <c r="K54" s="73"/>
      <c r="L54" s="1609">
        <v>44504</v>
      </c>
      <c r="M54" s="73">
        <v>8.4</v>
      </c>
      <c r="N54" s="894"/>
      <c r="O54" s="73"/>
      <c r="P54" s="1609">
        <v>44502</v>
      </c>
      <c r="Q54" s="73">
        <v>3.6</v>
      </c>
      <c r="R54" s="1609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f t="shared" ca="1" si="8"/>
        <v>1.3516746568266991</v>
      </c>
      <c r="AG54" s="1113">
        <f>SUM($B$9:B54)/($J$1-$B$4)*100</f>
        <v>20.894241671290384</v>
      </c>
      <c r="AH54" s="1110">
        <v>788</v>
      </c>
      <c r="AI54" s="238"/>
      <c r="AJ54" s="238"/>
      <c r="AK54" s="51" t="e">
        <f t="shared" si="6"/>
        <v>#DIV/0!</v>
      </c>
      <c r="AL54" s="51" t="e">
        <f t="shared" si="7"/>
        <v>#DIV/0!</v>
      </c>
      <c r="AM54" s="1957">
        <f t="shared" si="5"/>
        <v>46747</v>
      </c>
    </row>
    <row r="55" spans="1:39" x14ac:dyDescent="0.25">
      <c r="A55" s="71"/>
      <c r="B55" s="72"/>
      <c r="C55" s="73"/>
      <c r="D55" s="147"/>
      <c r="E55" s="75"/>
      <c r="F55" s="73"/>
      <c r="G55" s="147"/>
      <c r="H55" s="75"/>
      <c r="I55" s="73"/>
      <c r="J55" s="234"/>
      <c r="K55" s="73"/>
      <c r="L55" s="1609">
        <v>44531</v>
      </c>
      <c r="M55" s="73">
        <v>8.4</v>
      </c>
      <c r="N55" s="894"/>
      <c r="O55" s="73"/>
      <c r="P55" s="1609">
        <v>44533</v>
      </c>
      <c r="Q55" s="73">
        <v>3.6</v>
      </c>
      <c r="R55" s="1609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f t="shared" ca="1" si="8"/>
        <v>1.3516746568266991</v>
      </c>
      <c r="AG55" s="1113">
        <f>SUM($B$9:B55)/($J$1-$B$4)*100</f>
        <v>20.894241671290384</v>
      </c>
      <c r="AH55" s="1110"/>
      <c r="AI55" s="238"/>
      <c r="AJ55" s="238"/>
      <c r="AK55" s="51" t="e">
        <f t="shared" si="6"/>
        <v>#DIV/0!</v>
      </c>
      <c r="AL55" s="51" t="e">
        <f t="shared" si="7"/>
        <v>#DIV/0!</v>
      </c>
      <c r="AM55" s="1957">
        <f t="shared" si="5"/>
        <v>46747</v>
      </c>
    </row>
    <row r="56" spans="1:39" x14ac:dyDescent="0.25">
      <c r="A56" s="71"/>
      <c r="B56" s="72"/>
      <c r="C56" s="73"/>
      <c r="D56" s="345">
        <v>44601</v>
      </c>
      <c r="E56" s="346" t="s">
        <v>1550</v>
      </c>
      <c r="F56" s="347">
        <v>899.14</v>
      </c>
      <c r="G56" s="147"/>
      <c r="H56" s="75"/>
      <c r="I56" s="73"/>
      <c r="J56" s="1724">
        <v>44568</v>
      </c>
      <c r="K56" s="1725">
        <v>14</v>
      </c>
      <c r="L56" s="1609">
        <v>44565</v>
      </c>
      <c r="M56" s="73">
        <v>8.4</v>
      </c>
      <c r="N56" s="894"/>
      <c r="O56" s="73"/>
      <c r="P56" s="1609">
        <v>44565</v>
      </c>
      <c r="Q56" s="73">
        <v>3.6</v>
      </c>
      <c r="R56" s="1609"/>
      <c r="S56" s="73"/>
      <c r="T56" s="894">
        <v>44619</v>
      </c>
      <c r="U56" s="1199" t="s">
        <v>1547</v>
      </c>
      <c r="V56" s="73">
        <v>60</v>
      </c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f t="shared" ca="1" si="8"/>
        <v>1.3516746568266991</v>
      </c>
      <c r="AG56" s="1113">
        <f>SUM($B$9:B56)/($J$1-$B$4)*100</f>
        <v>20.894241671290384</v>
      </c>
      <c r="AH56" s="1110"/>
      <c r="AI56" s="238"/>
      <c r="AJ56" s="238"/>
      <c r="AK56" s="51" t="e">
        <f t="shared" si="6"/>
        <v>#DIV/0!</v>
      </c>
      <c r="AL56" s="51" t="e">
        <f t="shared" si="7"/>
        <v>#DIV/0!</v>
      </c>
      <c r="AM56" s="1956"/>
    </row>
    <row r="57" spans="1:39" x14ac:dyDescent="0.25">
      <c r="A57" s="71"/>
      <c r="B57" s="72"/>
      <c r="C57" s="73"/>
      <c r="D57" s="147">
        <v>44603</v>
      </c>
      <c r="E57" s="75" t="s">
        <v>1552</v>
      </c>
      <c r="F57" s="73">
        <v>119.9</v>
      </c>
      <c r="G57" s="147"/>
      <c r="H57" s="75"/>
      <c r="I57" s="73"/>
      <c r="J57" s="234"/>
      <c r="K57" s="73"/>
      <c r="L57" s="1609">
        <v>44594</v>
      </c>
      <c r="M57" s="73">
        <v>8.4</v>
      </c>
      <c r="N57" s="894"/>
      <c r="O57" s="73"/>
      <c r="P57" s="1609">
        <v>44594</v>
      </c>
      <c r="Q57" s="73">
        <v>3.6</v>
      </c>
      <c r="R57" s="1609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f t="shared" ca="1" si="8"/>
        <v>1.3516746568266991</v>
      </c>
      <c r="AG57" s="1113">
        <f>SUM($B$9:B57)/($J$1-$B$4)*100</f>
        <v>20.894241671290384</v>
      </c>
      <c r="AH57" s="1110"/>
      <c r="AI57" s="238"/>
      <c r="AJ57" s="238"/>
      <c r="AK57" s="51" t="e">
        <f t="shared" si="6"/>
        <v>#DIV/0!</v>
      </c>
      <c r="AL57" s="51" t="e">
        <f t="shared" si="7"/>
        <v>#DIV/0!</v>
      </c>
      <c r="AM57" s="1956"/>
    </row>
    <row r="58" spans="1:39" x14ac:dyDescent="0.25">
      <c r="A58" s="71"/>
      <c r="B58" s="72"/>
      <c r="C58" s="73"/>
      <c r="D58" s="147"/>
      <c r="E58" s="75"/>
      <c r="F58" s="73"/>
      <c r="G58" s="147"/>
      <c r="H58" s="75"/>
      <c r="I58" s="73"/>
      <c r="J58" s="234"/>
      <c r="K58" s="73"/>
      <c r="L58" s="1609"/>
      <c r="M58" s="73"/>
      <c r="N58" s="894"/>
      <c r="O58" s="73"/>
      <c r="P58" s="1609"/>
      <c r="Q58" s="73"/>
      <c r="R58" s="1609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f t="shared" ca="1" si="8"/>
        <v>1.3516746568266991</v>
      </c>
      <c r="AG58" s="1113">
        <f>SUM($B$9:B58)/($J$1-$B$4)*100</f>
        <v>20.894241671290384</v>
      </c>
      <c r="AH58" s="1110"/>
      <c r="AI58" s="238"/>
      <c r="AJ58" s="238"/>
      <c r="AK58" s="51" t="e">
        <f t="shared" si="6"/>
        <v>#DIV/0!</v>
      </c>
      <c r="AL58" s="51" t="e">
        <f t="shared" si="7"/>
        <v>#DIV/0!</v>
      </c>
      <c r="AM58" s="1956"/>
    </row>
    <row r="59" spans="1:39" x14ac:dyDescent="0.25">
      <c r="A59" s="71"/>
      <c r="B59" s="72"/>
      <c r="C59" s="73"/>
      <c r="D59" s="147"/>
      <c r="E59" s="75"/>
      <c r="F59" s="73"/>
      <c r="G59" s="147"/>
      <c r="H59" s="75"/>
      <c r="I59" s="73"/>
      <c r="J59" s="234"/>
      <c r="K59" s="73"/>
      <c r="L59" s="1609"/>
      <c r="M59" s="73"/>
      <c r="N59" s="894"/>
      <c r="O59" s="73"/>
      <c r="P59" s="1609"/>
      <c r="Q59" s="73"/>
      <c r="R59" s="1609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f t="shared" ca="1" si="8"/>
        <v>1.3516746568266991</v>
      </c>
      <c r="AG59" s="1113">
        <f>SUM($B$9:B59)/($J$1-$B$4)*100</f>
        <v>20.894241671290384</v>
      </c>
      <c r="AH59" s="1110"/>
      <c r="AI59" s="238"/>
      <c r="AJ59" s="238"/>
      <c r="AK59" s="51" t="e">
        <f t="shared" si="6"/>
        <v>#DIV/0!</v>
      </c>
      <c r="AL59" s="51" t="e">
        <f t="shared" si="7"/>
        <v>#DIV/0!</v>
      </c>
      <c r="AM59" s="1956"/>
    </row>
    <row r="60" spans="1:39" x14ac:dyDescent="0.25">
      <c r="A60" s="71"/>
      <c r="B60" s="72"/>
      <c r="C60" s="73"/>
      <c r="D60" s="147"/>
      <c r="E60" s="75"/>
      <c r="F60" s="73"/>
      <c r="G60" s="147"/>
      <c r="H60" s="75"/>
      <c r="I60" s="73"/>
      <c r="J60" s="234"/>
      <c r="K60" s="73"/>
      <c r="L60" s="1609"/>
      <c r="M60" s="73"/>
      <c r="N60" s="894"/>
      <c r="O60" s="73"/>
      <c r="P60" s="1609"/>
      <c r="Q60" s="73"/>
      <c r="R60" s="1609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f t="shared" ca="1" si="8"/>
        <v>1.3516746568266991</v>
      </c>
      <c r="AG60" s="1113">
        <f>SUM($B$9:B60)/($J$1-$B$4)*100</f>
        <v>20.894241671290384</v>
      </c>
      <c r="AH60" s="1110"/>
      <c r="AI60" s="238"/>
      <c r="AJ60" s="238"/>
      <c r="AK60" s="51" t="e">
        <f t="shared" si="6"/>
        <v>#DIV/0!</v>
      </c>
      <c r="AL60" s="51" t="e">
        <f t="shared" si="7"/>
        <v>#DIV/0!</v>
      </c>
      <c r="AM60" s="1956"/>
    </row>
    <row r="61" spans="1:39" x14ac:dyDescent="0.25">
      <c r="A61" s="71"/>
      <c r="B61" s="72"/>
      <c r="C61" s="73"/>
      <c r="D61" s="147"/>
      <c r="E61" s="75"/>
      <c r="F61" s="73"/>
      <c r="G61" s="147"/>
      <c r="H61" s="75"/>
      <c r="I61" s="73"/>
      <c r="J61" s="234"/>
      <c r="K61" s="73"/>
      <c r="L61" s="1609"/>
      <c r="M61" s="73"/>
      <c r="N61" s="894"/>
      <c r="O61" s="73"/>
      <c r="P61" s="1609"/>
      <c r="Q61" s="73"/>
      <c r="R61" s="1609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>
        <f t="shared" ca="1" si="8"/>
        <v>1.3516746568266991</v>
      </c>
      <c r="AG61" s="1113">
        <f>SUM($B$9:B61)/($J$1-$B$4)*100</f>
        <v>20.894241671290384</v>
      </c>
      <c r="AH61" s="1110"/>
      <c r="AI61" s="238"/>
      <c r="AJ61" s="238"/>
      <c r="AK61" s="51" t="e">
        <f t="shared" si="6"/>
        <v>#DIV/0!</v>
      </c>
      <c r="AL61" s="51" t="e">
        <f t="shared" si="7"/>
        <v>#DIV/0!</v>
      </c>
      <c r="AM61" s="1956"/>
    </row>
    <row r="62" spans="1:39" x14ac:dyDescent="0.25">
      <c r="A62" s="71"/>
      <c r="B62" s="72"/>
      <c r="C62" s="73"/>
      <c r="D62" s="147"/>
      <c r="E62" s="75"/>
      <c r="F62" s="73"/>
      <c r="G62" s="147"/>
      <c r="H62" s="75"/>
      <c r="I62" s="73"/>
      <c r="J62" s="234"/>
      <c r="K62" s="73"/>
      <c r="L62" s="1609"/>
      <c r="M62" s="73"/>
      <c r="N62" s="894"/>
      <c r="O62" s="73"/>
      <c r="P62" s="1609"/>
      <c r="Q62" s="73"/>
      <c r="R62" s="1609"/>
      <c r="S62" s="73"/>
      <c r="T62" s="894"/>
      <c r="U62" s="1199"/>
      <c r="V62" s="73"/>
      <c r="W62" s="894"/>
      <c r="X62" s="1199"/>
      <c r="Y62" s="73"/>
      <c r="Z62" s="894"/>
      <c r="AA62" s="1199"/>
      <c r="AB62" s="73"/>
      <c r="AC62" s="894"/>
      <c r="AD62" s="1199"/>
      <c r="AE62" s="73"/>
      <c r="AF62" s="1112">
        <f t="shared" ca="1" si="8"/>
        <v>1.3516746568266991</v>
      </c>
      <c r="AG62" s="1113">
        <f>SUM($B$9:B62)/($J$1-$B$4)*100</f>
        <v>20.894241671290384</v>
      </c>
      <c r="AH62" s="1110"/>
      <c r="AI62" s="238"/>
      <c r="AJ62" s="238"/>
      <c r="AK62" s="51" t="e">
        <f t="shared" si="6"/>
        <v>#DIV/0!</v>
      </c>
      <c r="AL62" s="51" t="e">
        <f t="shared" si="7"/>
        <v>#DIV/0!</v>
      </c>
      <c r="AM62" s="1956"/>
    </row>
    <row r="63" spans="1:39" x14ac:dyDescent="0.25">
      <c r="A63" s="71"/>
      <c r="B63" s="72"/>
      <c r="C63" s="73"/>
      <c r="D63" s="147"/>
      <c r="E63" s="75"/>
      <c r="F63" s="73"/>
      <c r="G63" s="147"/>
      <c r="H63" s="75"/>
      <c r="I63" s="73"/>
      <c r="J63" s="234"/>
      <c r="K63" s="73"/>
      <c r="L63" s="1609"/>
      <c r="M63" s="73"/>
      <c r="N63" s="894"/>
      <c r="O63" s="73"/>
      <c r="P63" s="1609"/>
      <c r="Q63" s="73"/>
      <c r="R63" s="1609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f t="shared" ca="1" si="8"/>
        <v>1.3516746568266991</v>
      </c>
      <c r="AG63" s="1113">
        <f>SUM($B$9:B63)/($J$1-$B$4)*100</f>
        <v>20.894241671290384</v>
      </c>
      <c r="AH63" s="1110"/>
      <c r="AI63" s="238"/>
      <c r="AJ63" s="238"/>
      <c r="AK63" s="51" t="e">
        <f t="shared" si="6"/>
        <v>#DIV/0!</v>
      </c>
      <c r="AL63" s="51" t="e">
        <f t="shared" si="7"/>
        <v>#DIV/0!</v>
      </c>
      <c r="AM63" s="1956"/>
    </row>
    <row r="64" spans="1:39" x14ac:dyDescent="0.25">
      <c r="A64" s="71"/>
      <c r="B64" s="72"/>
      <c r="C64" s="73"/>
      <c r="D64" s="147"/>
      <c r="E64" s="75"/>
      <c r="F64" s="73"/>
      <c r="G64" s="147"/>
      <c r="H64" s="75"/>
      <c r="I64" s="73"/>
      <c r="J64" s="234"/>
      <c r="K64" s="73"/>
      <c r="L64" s="1609"/>
      <c r="M64" s="73"/>
      <c r="N64" s="894"/>
      <c r="O64" s="73"/>
      <c r="P64" s="1609"/>
      <c r="Q64" s="73"/>
      <c r="R64" s="1609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f t="shared" ca="1" si="8"/>
        <v>1.3516746568266991</v>
      </c>
      <c r="AG64" s="1113">
        <f>SUM($B$9:B64)/($J$1-$B$4)*100</f>
        <v>20.894241671290384</v>
      </c>
      <c r="AH64" s="1110"/>
      <c r="AI64" s="238"/>
      <c r="AJ64" s="238"/>
      <c r="AK64" s="51" t="e">
        <f t="shared" si="6"/>
        <v>#DIV/0!</v>
      </c>
      <c r="AL64" s="51" t="e">
        <f t="shared" si="7"/>
        <v>#DIV/0!</v>
      </c>
      <c r="AM64" s="1956"/>
    </row>
    <row r="65" spans="1:39" x14ac:dyDescent="0.25">
      <c r="A65" s="71"/>
      <c r="B65" s="72"/>
      <c r="C65" s="73"/>
      <c r="D65" s="147"/>
      <c r="E65" s="75"/>
      <c r="F65" s="73"/>
      <c r="G65" s="147"/>
      <c r="H65" s="75"/>
      <c r="I65" s="73"/>
      <c r="J65" s="234"/>
      <c r="K65" s="73"/>
      <c r="L65" s="1609"/>
      <c r="M65" s="73"/>
      <c r="N65" s="894"/>
      <c r="O65" s="73"/>
      <c r="P65" s="1609"/>
      <c r="Q65" s="73"/>
      <c r="R65" s="1609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f t="shared" ca="1" si="8"/>
        <v>1.3516746568266991</v>
      </c>
      <c r="AG65" s="1113">
        <f>SUM($B$9:B65)/($J$1-$B$4)*100</f>
        <v>20.894241671290384</v>
      </c>
      <c r="AH65" s="1110"/>
      <c r="AI65" s="238"/>
      <c r="AJ65" s="238"/>
      <c r="AK65" s="51" t="e">
        <f t="shared" si="6"/>
        <v>#DIV/0!</v>
      </c>
      <c r="AL65" s="51" t="e">
        <f t="shared" si="7"/>
        <v>#DIV/0!</v>
      </c>
      <c r="AM65" s="1956"/>
    </row>
    <row r="66" spans="1:39" x14ac:dyDescent="0.25">
      <c r="A66" s="71"/>
      <c r="B66" s="72"/>
      <c r="C66" s="73"/>
      <c r="D66" s="147"/>
      <c r="E66" s="75"/>
      <c r="F66" s="73"/>
      <c r="G66" s="147"/>
      <c r="H66" s="75"/>
      <c r="I66" s="73"/>
      <c r="J66" s="234"/>
      <c r="K66" s="73"/>
      <c r="L66" s="1609"/>
      <c r="M66" s="73"/>
      <c r="N66" s="894"/>
      <c r="O66" s="73"/>
      <c r="P66" s="1609"/>
      <c r="Q66" s="73"/>
      <c r="R66" s="1609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f t="shared" ca="1" si="8"/>
        <v>1.3516746568266991</v>
      </c>
      <c r="AG66" s="1113">
        <f>SUM($B$9:B66)/($J$1-$B$4)*100</f>
        <v>20.894241671290384</v>
      </c>
      <c r="AH66" s="1110"/>
      <c r="AI66" s="238"/>
      <c r="AJ66" s="238"/>
      <c r="AK66" s="51" t="e">
        <f t="shared" si="6"/>
        <v>#DIV/0!</v>
      </c>
      <c r="AL66" s="51" t="e">
        <f t="shared" si="7"/>
        <v>#DIV/0!</v>
      </c>
      <c r="AM66" s="1956"/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/>
      <c r="M67" s="73"/>
      <c r="N67" s="894"/>
      <c r="O67" s="73"/>
      <c r="P67" s="1609"/>
      <c r="Q67" s="73"/>
      <c r="R67" s="1609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ca="1" si="8"/>
        <v>1.3516746568266991</v>
      </c>
      <c r="AG67" s="1113">
        <f>SUM($B$9:B67)/($J$1-$B$4)*100</f>
        <v>20.894241671290384</v>
      </c>
      <c r="AH67" s="1110"/>
      <c r="AI67" s="238"/>
      <c r="AJ67" s="238"/>
      <c r="AK67" s="51" t="e">
        <f t="shared" si="6"/>
        <v>#DIV/0!</v>
      </c>
      <c r="AL67" s="51" t="e">
        <f t="shared" si="7"/>
        <v>#DIV/0!</v>
      </c>
      <c r="AM67" s="1956"/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609"/>
      <c r="M68" s="73"/>
      <c r="N68" s="894"/>
      <c r="O68" s="73"/>
      <c r="P68" s="1609"/>
      <c r="Q68" s="73"/>
      <c r="R68" s="1609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8"/>
        <v>1.3516746568266991</v>
      </c>
      <c r="AG68" s="1113">
        <f>SUM($B$9:B68)/($J$1-$B$4)*100</f>
        <v>20.894241671290384</v>
      </c>
      <c r="AH68" s="1110"/>
      <c r="AI68" s="238"/>
      <c r="AJ68" s="238"/>
      <c r="AK68" s="51" t="e">
        <f t="shared" si="6"/>
        <v>#DIV/0!</v>
      </c>
      <c r="AL68" s="51" t="e">
        <f t="shared" si="7"/>
        <v>#DIV/0!</v>
      </c>
      <c r="AM68" s="1956"/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/>
      <c r="M69" s="73"/>
      <c r="N69" s="894"/>
      <c r="O69" s="73"/>
      <c r="P69" s="1609"/>
      <c r="Q69" s="73"/>
      <c r="R69" s="1609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8"/>
        <v>1.3516746568266991</v>
      </c>
      <c r="AG69" s="1113">
        <f>SUM($B$9:B69)/($J$1-$B$4)*100</f>
        <v>20.894241671290384</v>
      </c>
      <c r="AH69" s="1110"/>
      <c r="AI69" s="238"/>
      <c r="AJ69" s="238"/>
      <c r="AK69" s="51" t="e">
        <f t="shared" si="6"/>
        <v>#DIV/0!</v>
      </c>
      <c r="AL69" s="51" t="e">
        <f t="shared" si="7"/>
        <v>#DIV/0!</v>
      </c>
      <c r="AM69" s="1956"/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/>
      <c r="M70" s="73"/>
      <c r="N70" s="894"/>
      <c r="O70" s="73"/>
      <c r="P70" s="1609"/>
      <c r="Q70" s="73"/>
      <c r="R70" s="1609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8"/>
        <v>1.3516746568266991</v>
      </c>
      <c r="AG70" s="1113">
        <f>SUM($B$9:B70)/($J$1-$B$4)*100</f>
        <v>20.894241671290384</v>
      </c>
      <c r="AH70" s="1110"/>
      <c r="AI70" s="238"/>
      <c r="AJ70" s="238"/>
      <c r="AK70" s="51" t="e">
        <f t="shared" si="6"/>
        <v>#DIV/0!</v>
      </c>
      <c r="AL70" s="51" t="e">
        <f t="shared" si="7"/>
        <v>#DIV/0!</v>
      </c>
      <c r="AM70" s="1956"/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/>
      <c r="M71" s="73"/>
      <c r="N71" s="894"/>
      <c r="O71" s="73"/>
      <c r="P71" s="1609"/>
      <c r="Q71" s="73"/>
      <c r="R71" s="1609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8"/>
        <v>1.3516746568266991</v>
      </c>
      <c r="AG71" s="1113">
        <f>SUM($B$9:B71)/($J$1-$B$4)*100</f>
        <v>20.894241671290384</v>
      </c>
      <c r="AH71" s="1110"/>
      <c r="AI71" s="238"/>
      <c r="AJ71" s="238"/>
      <c r="AK71" s="51" t="e">
        <f t="shared" si="6"/>
        <v>#DIV/0!</v>
      </c>
      <c r="AL71" s="51" t="e">
        <f t="shared" si="7"/>
        <v>#DIV/0!</v>
      </c>
      <c r="AM71" s="1956"/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/>
      <c r="M72" s="73"/>
      <c r="N72" s="894"/>
      <c r="O72" s="73"/>
      <c r="P72" s="1609"/>
      <c r="Q72" s="73"/>
      <c r="R72" s="1609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8"/>
        <v>1.3516746568266991</v>
      </c>
      <c r="AG72" s="1113">
        <f>SUM($B$9:B72)/($J$1-$B$4)*100</f>
        <v>20.894241671290384</v>
      </c>
      <c r="AH72" s="1110"/>
      <c r="AI72" s="238"/>
      <c r="AJ72" s="238"/>
      <c r="AK72" s="51" t="e">
        <f t="shared" si="6"/>
        <v>#DIV/0!</v>
      </c>
      <c r="AL72" s="51" t="e">
        <f t="shared" si="7"/>
        <v>#DIV/0!</v>
      </c>
      <c r="AM72" s="1956"/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/>
      <c r="M73" s="73"/>
      <c r="N73" s="894"/>
      <c r="O73" s="73"/>
      <c r="P73" s="1609"/>
      <c r="Q73" s="73"/>
      <c r="R73" s="1609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8"/>
        <v>1.3516746568266991</v>
      </c>
      <c r="AG73" s="1113">
        <f>SUM($B$9:B73)/($J$1-$B$4)*100</f>
        <v>20.894241671290384</v>
      </c>
      <c r="AH73" s="1110"/>
      <c r="AI73" s="238"/>
      <c r="AJ73" s="238"/>
      <c r="AK73" s="51" t="e">
        <f t="shared" si="6"/>
        <v>#DIV/0!</v>
      </c>
      <c r="AL73" s="51" t="e">
        <f t="shared" si="7"/>
        <v>#DIV/0!</v>
      </c>
      <c r="AM73" s="1956"/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/>
      <c r="M74" s="73"/>
      <c r="N74" s="894"/>
      <c r="O74" s="73"/>
      <c r="P74" s="1609"/>
      <c r="Q74" s="73"/>
      <c r="R74" s="1609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8"/>
        <v>1.3516746568266991</v>
      </c>
      <c r="AG74" s="1113">
        <f>SUM($B$9:B74)/($J$1-$B$4)*100</f>
        <v>20.894241671290384</v>
      </c>
      <c r="AH74" s="1110"/>
      <c r="AI74" s="238"/>
      <c r="AJ74" s="238"/>
      <c r="AK74" s="51" t="e">
        <f t="shared" si="6"/>
        <v>#DIV/0!</v>
      </c>
      <c r="AL74" s="51" t="e">
        <f t="shared" si="7"/>
        <v>#DIV/0!</v>
      </c>
      <c r="AM74" s="1956"/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1609"/>
      <c r="M75" s="73"/>
      <c r="N75" s="894"/>
      <c r="O75" s="73"/>
      <c r="P75" s="1609"/>
      <c r="Q75" s="73"/>
      <c r="R75" s="1609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8"/>
        <v>1.3516746568266991</v>
      </c>
      <c r="AG75" s="1113">
        <f>SUM($B$9:B75)/($J$1-$B$4)*100</f>
        <v>20.894241671290384</v>
      </c>
      <c r="AH75" s="1110"/>
      <c r="AI75" s="238"/>
      <c r="AJ75" s="238"/>
      <c r="AK75" s="51" t="e">
        <f t="shared" si="6"/>
        <v>#DIV/0!</v>
      </c>
      <c r="AL75" s="51" t="e">
        <f t="shared" si="7"/>
        <v>#DIV/0!</v>
      </c>
      <c r="AM75" s="1956"/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1609"/>
      <c r="M76" s="73"/>
      <c r="N76" s="894"/>
      <c r="O76" s="73"/>
      <c r="P76" s="1609"/>
      <c r="Q76" s="73"/>
      <c r="R76" s="1609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8"/>
        <v>1.3516746568266991</v>
      </c>
      <c r="AG76" s="1113">
        <f>SUM($B$9:B76)/($J$1-$B$4)*100</f>
        <v>20.894241671290384</v>
      </c>
      <c r="AH76" s="1110"/>
      <c r="AI76" s="238"/>
      <c r="AJ76" s="238"/>
      <c r="AK76" s="51" t="e">
        <f t="shared" si="6"/>
        <v>#DIV/0!</v>
      </c>
      <c r="AL76" s="51" t="e">
        <f t="shared" si="7"/>
        <v>#DIV/0!</v>
      </c>
      <c r="AM76" s="1956"/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1609"/>
      <c r="M77" s="73"/>
      <c r="N77" s="894"/>
      <c r="O77" s="73"/>
      <c r="P77" s="1609"/>
      <c r="Q77" s="73"/>
      <c r="R77" s="1609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8"/>
        <v>1.3516746568266991</v>
      </c>
      <c r="AG77" s="1113">
        <f>SUM($B$9:B77)/($J$1-$B$4)*100</f>
        <v>20.894241671290384</v>
      </c>
      <c r="AH77" s="1110"/>
      <c r="AI77" s="238"/>
      <c r="AJ77" s="238"/>
      <c r="AK77" s="51" t="e">
        <f t="shared" si="6"/>
        <v>#DIV/0!</v>
      </c>
      <c r="AL77" s="51" t="e">
        <f t="shared" si="7"/>
        <v>#DIV/0!</v>
      </c>
      <c r="AM77" s="1956"/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1609"/>
      <c r="M78" s="73"/>
      <c r="N78" s="894"/>
      <c r="O78" s="73"/>
      <c r="P78" s="1609"/>
      <c r="Q78" s="73"/>
      <c r="R78" s="1609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8"/>
        <v>1.3516746568266991</v>
      </c>
      <c r="AG78" s="1113">
        <f>SUM($B$9:B78)/($J$1-$B$4)*100</f>
        <v>20.894241671290384</v>
      </c>
      <c r="AH78" s="1110"/>
      <c r="AI78" s="238"/>
      <c r="AJ78" s="238"/>
      <c r="AK78" s="51" t="e">
        <f t="shared" si="6"/>
        <v>#DIV/0!</v>
      </c>
      <c r="AL78" s="51" t="e">
        <f t="shared" si="7"/>
        <v>#DIV/0!</v>
      </c>
      <c r="AM78" s="1956"/>
    </row>
    <row r="79" spans="1:39" x14ac:dyDescent="0.25">
      <c r="A79" s="71"/>
      <c r="B79" s="72"/>
      <c r="C79" s="73"/>
      <c r="D79" s="147"/>
      <c r="E79" s="75"/>
      <c r="F79" s="73"/>
      <c r="G79" s="1161"/>
      <c r="H79" s="831"/>
      <c r="I79" s="835"/>
      <c r="J79" s="234"/>
      <c r="K79" s="73"/>
      <c r="L79" s="1609"/>
      <c r="M79" s="73"/>
      <c r="N79" s="894"/>
      <c r="O79" s="73"/>
      <c r="P79" s="1609"/>
      <c r="Q79" s="73"/>
      <c r="R79" s="1609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8"/>
        <v>1.3516746568266991</v>
      </c>
      <c r="AG79" s="1113">
        <f>SUM($B$9:B79)/($J$1-$B$4)*100</f>
        <v>20.894241671290384</v>
      </c>
      <c r="AH79" s="1110"/>
      <c r="AI79" s="238"/>
      <c r="AJ79" s="238"/>
      <c r="AK79" s="51" t="e">
        <f t="shared" si="6"/>
        <v>#DIV/0!</v>
      </c>
      <c r="AL79" s="51" t="e">
        <f t="shared" si="7"/>
        <v>#DIV/0!</v>
      </c>
      <c r="AM79" s="1956"/>
    </row>
    <row r="80" spans="1:39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1609"/>
      <c r="M80" s="73"/>
      <c r="N80" s="894"/>
      <c r="O80" s="73"/>
      <c r="P80" s="1609"/>
      <c r="Q80" s="73"/>
      <c r="R80" s="1609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8"/>
        <v>1.3516746568266991</v>
      </c>
      <c r="AG80" s="1113">
        <f>SUM($B$9:B80)/($J$1-$B$4)*100</f>
        <v>20.894241671290384</v>
      </c>
      <c r="AH80" s="1110"/>
      <c r="AI80" s="238"/>
      <c r="AJ80" s="238"/>
      <c r="AK80" s="51" t="e">
        <f t="shared" si="6"/>
        <v>#DIV/0!</v>
      </c>
      <c r="AL80" s="51" t="e">
        <f t="shared" si="7"/>
        <v>#DIV/0!</v>
      </c>
      <c r="AM80" s="1956"/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1609"/>
      <c r="M81" s="73"/>
      <c r="N81" s="894"/>
      <c r="O81" s="73"/>
      <c r="P81" s="1609"/>
      <c r="Q81" s="73"/>
      <c r="R81" s="1609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8"/>
        <v>1.3516746568266991</v>
      </c>
      <c r="AG81" s="1113">
        <f>SUM($B$9:B81)/($J$1-$B$4)*100</f>
        <v>20.894241671290384</v>
      </c>
      <c r="AH81" s="1110"/>
      <c r="AI81" s="238"/>
      <c r="AJ81" s="238"/>
      <c r="AK81" s="51" t="e">
        <f t="shared" si="6"/>
        <v>#DIV/0!</v>
      </c>
      <c r="AL81" s="51" t="e">
        <f t="shared" si="7"/>
        <v>#DIV/0!</v>
      </c>
      <c r="AM81" s="1956"/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1609"/>
      <c r="M82" s="73"/>
      <c r="N82" s="894"/>
      <c r="O82" s="73"/>
      <c r="P82" s="1609"/>
      <c r="Q82" s="73"/>
      <c r="R82" s="1609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8"/>
        <v>1.3516746568266991</v>
      </c>
      <c r="AG82" s="1113">
        <f>SUM($B$9:B82)/($J$1-$B$4)*100</f>
        <v>20.894241671290384</v>
      </c>
      <c r="AH82" s="1110"/>
      <c r="AI82" s="238"/>
      <c r="AJ82" s="238"/>
      <c r="AK82" s="51" t="e">
        <f t="shared" si="6"/>
        <v>#DIV/0!</v>
      </c>
      <c r="AL82" s="51" t="e">
        <f t="shared" si="7"/>
        <v>#DIV/0!</v>
      </c>
      <c r="AM82" s="1956"/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1609"/>
      <c r="M83" s="73"/>
      <c r="N83" s="894"/>
      <c r="O83" s="73"/>
      <c r="P83" s="1609"/>
      <c r="Q83" s="73"/>
      <c r="R83" s="1609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8"/>
        <v>1.3516746568266991</v>
      </c>
      <c r="AG83" s="1113">
        <f>SUM($B$9:B83)/($J$1-$B$4)*100</f>
        <v>20.894241671290384</v>
      </c>
      <c r="AH83" s="1110"/>
      <c r="AI83" s="238"/>
      <c r="AJ83" s="238"/>
      <c r="AK83" s="51" t="e">
        <f t="shared" si="6"/>
        <v>#DIV/0!</v>
      </c>
      <c r="AL83" s="51" t="e">
        <f t="shared" si="7"/>
        <v>#DIV/0!</v>
      </c>
      <c r="AM83" s="1956"/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1609"/>
      <c r="M84" s="73"/>
      <c r="N84" s="894"/>
      <c r="O84" s="73"/>
      <c r="P84" s="1609"/>
      <c r="Q84" s="73"/>
      <c r="R84" s="1609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8"/>
        <v>1.3516746568266991</v>
      </c>
      <c r="AG84" s="1113">
        <f>SUM($B$9:B84)/($J$1-$B$4)*100</f>
        <v>20.894241671290384</v>
      </c>
      <c r="AH84" s="1110"/>
      <c r="AI84" s="238"/>
      <c r="AJ84" s="238"/>
      <c r="AK84" s="51" t="e">
        <f t="shared" si="6"/>
        <v>#DIV/0!</v>
      </c>
      <c r="AL84" s="51" t="e">
        <f t="shared" si="7"/>
        <v>#DIV/0!</v>
      </c>
      <c r="AM84" s="1956"/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1609"/>
      <c r="M85" s="73"/>
      <c r="N85" s="894"/>
      <c r="O85" s="73"/>
      <c r="P85" s="1609"/>
      <c r="Q85" s="73"/>
      <c r="R85" s="1609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8"/>
        <v>1.3516746568266991</v>
      </c>
      <c r="AG85" s="1113">
        <f>SUM($B$9:B85)/($J$1-$B$4)*100</f>
        <v>20.894241671290384</v>
      </c>
      <c r="AH85" s="1110"/>
      <c r="AI85" s="238"/>
      <c r="AJ85" s="238"/>
      <c r="AK85" s="51" t="e">
        <f t="shared" si="6"/>
        <v>#DIV/0!</v>
      </c>
      <c r="AL85" s="51" t="e">
        <f t="shared" si="7"/>
        <v>#DIV/0!</v>
      </c>
      <c r="AM85" s="1956"/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1609"/>
      <c r="M86" s="73"/>
      <c r="N86" s="894"/>
      <c r="O86" s="73"/>
      <c r="P86" s="1609"/>
      <c r="Q86" s="73"/>
      <c r="R86" s="1609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8"/>
        <v>1.3516746568266991</v>
      </c>
      <c r="AG86" s="1113">
        <f>SUM($B$9:B86)/($J$1-$B$4)*100</f>
        <v>20.894241671290384</v>
      </c>
      <c r="AH86" s="1110"/>
      <c r="AI86" s="238"/>
      <c r="AJ86" s="238"/>
      <c r="AK86" s="51" t="e">
        <f t="shared" si="6"/>
        <v>#DIV/0!</v>
      </c>
      <c r="AL86" s="51" t="e">
        <f t="shared" si="7"/>
        <v>#DIV/0!</v>
      </c>
      <c r="AM86" s="1956"/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1609"/>
      <c r="M87" s="73"/>
      <c r="N87" s="894"/>
      <c r="O87" s="73"/>
      <c r="P87" s="1609"/>
      <c r="Q87" s="73"/>
      <c r="R87" s="1609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8"/>
        <v>1.3516746568266991</v>
      </c>
      <c r="AG87" s="1113">
        <f>SUM($B$9:B87)/($J$1-$B$4)*100</f>
        <v>20.894241671290384</v>
      </c>
      <c r="AH87" s="1110"/>
      <c r="AI87" s="238"/>
      <c r="AJ87" s="238"/>
      <c r="AK87" s="51" t="e">
        <f t="shared" si="6"/>
        <v>#DIV/0!</v>
      </c>
      <c r="AL87" s="51" t="e">
        <f t="shared" si="7"/>
        <v>#DIV/0!</v>
      </c>
      <c r="AM87" s="1956"/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1609"/>
      <c r="M88" s="73"/>
      <c r="N88" s="894"/>
      <c r="O88" s="73"/>
      <c r="P88" s="1609"/>
      <c r="Q88" s="73"/>
      <c r="R88" s="1609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8"/>
        <v>1.3516746568266991</v>
      </c>
      <c r="AG88" s="1113">
        <f>SUM($B$9:B88)/($J$1-$B$4)*100</f>
        <v>20.894241671290384</v>
      </c>
      <c r="AH88" s="1110"/>
      <c r="AI88" s="238"/>
      <c r="AJ88" s="238"/>
      <c r="AK88" s="51" t="e">
        <f t="shared" si="6"/>
        <v>#DIV/0!</v>
      </c>
      <c r="AL88" s="51" t="e">
        <f t="shared" si="7"/>
        <v>#DIV/0!</v>
      </c>
      <c r="AM88" s="1956"/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1609"/>
      <c r="M89" s="73"/>
      <c r="N89" s="894"/>
      <c r="O89" s="73"/>
      <c r="P89" s="1609"/>
      <c r="Q89" s="73"/>
      <c r="R89" s="1609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8"/>
        <v>1.3516746568266991</v>
      </c>
      <c r="AG89" s="1113">
        <f>SUM($B$9:B89)/($J$1-$B$4)*100</f>
        <v>20.894241671290384</v>
      </c>
      <c r="AH89" s="1110"/>
      <c r="AI89" s="238"/>
      <c r="AJ89" s="238"/>
      <c r="AK89" s="51" t="e">
        <f t="shared" si="6"/>
        <v>#DIV/0!</v>
      </c>
      <c r="AL89" s="51" t="e">
        <f t="shared" si="7"/>
        <v>#DIV/0!</v>
      </c>
      <c r="AM89" s="1956"/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1609"/>
      <c r="M90" s="73"/>
      <c r="N90" s="894"/>
      <c r="O90" s="73"/>
      <c r="P90" s="1609"/>
      <c r="Q90" s="73"/>
      <c r="R90" s="1609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8"/>
        <v>1.3516746568266991</v>
      </c>
      <c r="AG90" s="1113">
        <f>SUM($B$9:B90)/($J$1-$B$4)*100</f>
        <v>20.894241671290384</v>
      </c>
      <c r="AH90" s="1110"/>
      <c r="AI90" s="238"/>
      <c r="AJ90" s="238"/>
      <c r="AK90" s="51" t="e">
        <f t="shared" si="6"/>
        <v>#DIV/0!</v>
      </c>
      <c r="AL90" s="51" t="e">
        <f t="shared" si="7"/>
        <v>#DIV/0!</v>
      </c>
      <c r="AM90" s="1956"/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1609"/>
      <c r="M91" s="73"/>
      <c r="N91" s="894"/>
      <c r="O91" s="73"/>
      <c r="P91" s="1609"/>
      <c r="Q91" s="73"/>
      <c r="R91" s="1609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8"/>
        <v>1.3516746568266991</v>
      </c>
      <c r="AG91" s="1113">
        <f>SUM($B$9:B91)/($J$1-$B$4)*100</f>
        <v>20.894241671290384</v>
      </c>
      <c r="AH91" s="1110"/>
      <c r="AI91" s="238"/>
      <c r="AJ91" s="238"/>
      <c r="AK91" s="51" t="e">
        <f t="shared" si="6"/>
        <v>#DIV/0!</v>
      </c>
      <c r="AL91" s="51" t="e">
        <f t="shared" si="7"/>
        <v>#DIV/0!</v>
      </c>
      <c r="AM91" s="1956"/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1609"/>
      <c r="M92" s="73"/>
      <c r="N92" s="894"/>
      <c r="O92" s="73"/>
      <c r="P92" s="1609"/>
      <c r="Q92" s="73"/>
      <c r="R92" s="1609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8"/>
        <v>1.3516746568266991</v>
      </c>
      <c r="AG92" s="1113">
        <f>SUM($B$9:B92)/($J$1-$B$4)*100</f>
        <v>20.894241671290384</v>
      </c>
      <c r="AH92" s="1110"/>
      <c r="AI92" s="238"/>
      <c r="AJ92" s="238"/>
      <c r="AK92" s="51" t="e">
        <f t="shared" si="6"/>
        <v>#DIV/0!</v>
      </c>
      <c r="AL92" s="51" t="e">
        <f t="shared" si="7"/>
        <v>#DIV/0!</v>
      </c>
      <c r="AM92" s="1956"/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1609"/>
      <c r="M93" s="73"/>
      <c r="N93" s="894"/>
      <c r="O93" s="73"/>
      <c r="P93" s="1609"/>
      <c r="Q93" s="73"/>
      <c r="R93" s="1609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8"/>
        <v>1.3516746568266991</v>
      </c>
      <c r="AG93" s="1113">
        <f>SUM($B$9:B93)/($J$1-$B$4)*100</f>
        <v>20.894241671290384</v>
      </c>
      <c r="AH93" s="1110"/>
      <c r="AI93" s="238"/>
      <c r="AJ93" s="238"/>
      <c r="AK93" s="51" t="e">
        <f t="shared" si="6"/>
        <v>#DIV/0!</v>
      </c>
      <c r="AL93" s="51" t="e">
        <f t="shared" si="7"/>
        <v>#DIV/0!</v>
      </c>
      <c r="AM93" s="1956"/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1609"/>
      <c r="M94" s="73"/>
      <c r="N94" s="894"/>
      <c r="O94" s="73"/>
      <c r="P94" s="1609"/>
      <c r="Q94" s="73"/>
      <c r="R94" s="1609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8"/>
        <v>1.3516746568266991</v>
      </c>
      <c r="AG94" s="1113">
        <f>SUM($B$9:B94)/($J$1-$B$4)*100</f>
        <v>20.894241671290384</v>
      </c>
      <c r="AH94" s="1110"/>
      <c r="AI94" s="238"/>
      <c r="AJ94" s="238"/>
      <c r="AK94" s="51" t="e">
        <f t="shared" si="6"/>
        <v>#DIV/0!</v>
      </c>
      <c r="AL94" s="51" t="e">
        <f t="shared" si="7"/>
        <v>#DIV/0!</v>
      </c>
      <c r="AM94" s="1956"/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1609"/>
      <c r="M95" s="73"/>
      <c r="N95" s="894"/>
      <c r="O95" s="73"/>
      <c r="P95" s="1609"/>
      <c r="Q95" s="73"/>
      <c r="R95" s="1609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8"/>
        <v>1.3516746568266991</v>
      </c>
      <c r="AG95" s="1113">
        <f>SUM($B$9:B95)/($J$1-$B$4)*100</f>
        <v>20.894241671290384</v>
      </c>
      <c r="AH95" s="1110"/>
      <c r="AI95" s="238"/>
      <c r="AJ95" s="238"/>
      <c r="AK95" s="51" t="e">
        <f>C95/B95</f>
        <v>#DIV/0!</v>
      </c>
      <c r="AL95" s="51" t="e">
        <f>AK95-$AK$8</f>
        <v>#DIV/0!</v>
      </c>
      <c r="AM95" s="1956"/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1609"/>
      <c r="M96" s="73"/>
      <c r="N96" s="894"/>
      <c r="O96" s="73"/>
      <c r="P96" s="1609"/>
      <c r="Q96" s="73"/>
      <c r="R96" s="1609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8"/>
        <v>1.3516746568266991</v>
      </c>
      <c r="AG96" s="1113">
        <f>SUM($B$9:B96)/($J$1-$B$4)*100</f>
        <v>20.894241671290384</v>
      </c>
      <c r="AH96" s="1110"/>
      <c r="AI96" s="238"/>
      <c r="AJ96" s="238"/>
      <c r="AK96" s="51" t="e">
        <f>C96/B96</f>
        <v>#DIV/0!</v>
      </c>
      <c r="AL96" s="51" t="e">
        <f>AK96-$AK$8</f>
        <v>#DIV/0!</v>
      </c>
      <c r="AM96" s="1956"/>
    </row>
    <row r="97" spans="1:39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896"/>
      <c r="M97" s="79"/>
      <c r="N97" s="1154"/>
      <c r="O97" s="79"/>
      <c r="P97" s="896"/>
      <c r="Q97" s="79"/>
      <c r="R97" s="896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239"/>
      <c r="AK97" s="51"/>
      <c r="AM97" s="1958"/>
    </row>
    <row r="98" spans="1:39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2.2261216917142614</v>
      </c>
      <c r="AG98" s="1109">
        <f>AVERAGE(AG9:AG97)</f>
        <v>20.430333619893677</v>
      </c>
      <c r="AH98" s="1228">
        <f ca="1">SUMIFS($AH$9:$AH$97,$A$9:$A$97,"&gt;="&amp;$C99,$A$9:$A$97,"&lt;="&amp;$D99)</f>
        <v>10384</v>
      </c>
      <c r="AI98" s="1229"/>
      <c r="AJ98" s="273"/>
      <c r="AK98" s="1213"/>
    </row>
    <row r="99" spans="1:39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1.9986323938641428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0.64695773703744375</v>
      </c>
      <c r="J99" s="1303">
        <f ca="1">(F99/F5)-1</f>
        <v>0.4786342140617581</v>
      </c>
      <c r="K99" s="2253">
        <f ca="1">((D99-C99)/(365.25/12)*F3)+C102+F102+I102+K102+M102+O102+Q102+S102+AE106</f>
        <v>52853.704405063305</v>
      </c>
      <c r="L99" s="2253"/>
      <c r="M99" s="1472" t="s">
        <v>1135</v>
      </c>
      <c r="N99" s="1470"/>
      <c r="O99" s="1471"/>
      <c r="P99" s="1189">
        <f ca="1">K99/AH98</f>
        <v>5.0899176044937695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20.894241671290384</v>
      </c>
      <c r="AH99" s="1226">
        <f>AVERAGE(AH9:AH97)</f>
        <v>991.04444444444448</v>
      </c>
      <c r="AI99" s="150"/>
      <c r="AJ99" s="150"/>
    </row>
    <row r="100" spans="1:39" s="561" customFormat="1" x14ac:dyDescent="0.25">
      <c r="A100" s="1178" t="s">
        <v>877</v>
      </c>
      <c r="B100" s="1179"/>
      <c r="C100" s="1180">
        <f ca="1">C102/$AH$98</f>
        <v>0.21139734206471492</v>
      </c>
      <c r="D100" s="2252" t="s">
        <v>879</v>
      </c>
      <c r="E100" s="2246"/>
      <c r="F100" s="1180">
        <f ca="1">F102/$AH$98</f>
        <v>0.76229295069337444</v>
      </c>
      <c r="G100" s="2252" t="s">
        <v>881</v>
      </c>
      <c r="H100" s="2246"/>
      <c r="I100" s="1180">
        <f ca="1">I102/$AH$98</f>
        <v>4.0591294298921415E-2</v>
      </c>
      <c r="J100" s="1181" t="s">
        <v>898</v>
      </c>
      <c r="K100" s="1180">
        <f ca="1">K102/$AH$98</f>
        <v>6.742295839753467E-3</v>
      </c>
      <c r="L100" s="1181" t="s">
        <v>883</v>
      </c>
      <c r="M100" s="1180">
        <f ca="1">M102/$AH$98</f>
        <v>2.1032357473035449E-2</v>
      </c>
      <c r="N100" s="1181" t="s">
        <v>908</v>
      </c>
      <c r="O100" s="1180">
        <f ca="1">O102/$AH$98</f>
        <v>9.6302003081664093E-3</v>
      </c>
      <c r="P100" s="1181" t="s">
        <v>910</v>
      </c>
      <c r="Q100" s="1180">
        <f ca="1">Q102/$AH$98</f>
        <v>9.013867488443756E-3</v>
      </c>
      <c r="R100" s="1181" t="s">
        <v>906</v>
      </c>
      <c r="S100" s="1222">
        <v>0</v>
      </c>
      <c r="T100" s="2252" t="s">
        <v>886</v>
      </c>
      <c r="U100" s="2246"/>
      <c r="V100" s="1180">
        <f ca="1">V102/$AH$98</f>
        <v>9.7245762711864442E-2</v>
      </c>
      <c r="W100" s="2252" t="s">
        <v>912</v>
      </c>
      <c r="X100" s="2246"/>
      <c r="Y100" s="1180">
        <f ca="1">Y102/$AH$98</f>
        <v>0.12827426810477657</v>
      </c>
      <c r="Z100" s="2252" t="s">
        <v>889</v>
      </c>
      <c r="AA100" s="2246"/>
      <c r="AB100" s="1180">
        <f ca="1">AB102/$AH$98</f>
        <v>0.18071070878274267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</row>
    <row r="101" spans="1:39" s="561" customFormat="1" x14ac:dyDescent="0.25">
      <c r="A101" s="1192" t="s">
        <v>896</v>
      </c>
      <c r="B101" s="1193">
        <f ca="1">B102/AH98*100</f>
        <v>16.185766563944533</v>
      </c>
      <c r="C101" s="1183">
        <f ca="1">C100/$F$99</f>
        <v>0.10577099756499027</v>
      </c>
      <c r="D101" s="1184"/>
      <c r="E101" s="1185"/>
      <c r="F101" s="1183">
        <f ca="1">F100/$F$99</f>
        <v>0.38140728281680764</v>
      </c>
      <c r="G101" s="1184"/>
      <c r="H101" s="1185"/>
      <c r="I101" s="1183">
        <f ca="1">I100/$F$99</f>
        <v>2.0309534871714188E-2</v>
      </c>
      <c r="J101" s="1243">
        <f ca="1">COUNTIFS(J9:J97,"&gt;="&amp;$C$99,J9:J97,"&lt;=" &amp;$D$99)</f>
        <v>5</v>
      </c>
      <c r="K101" s="1183">
        <f ca="1">K100/$F$99</f>
        <v>3.3734546985491197E-3</v>
      </c>
      <c r="L101" s="1184"/>
      <c r="M101" s="1183">
        <f ca="1">M100/$F$99</f>
        <v>1.0523374652389991E-2</v>
      </c>
      <c r="N101" s="1184"/>
      <c r="O101" s="1183">
        <f ca="1">O100/$F$99</f>
        <v>4.8183949873580522E-3</v>
      </c>
      <c r="P101" s="1184"/>
      <c r="Q101" s="1183">
        <f ca="1">Q100/$F$99</f>
        <v>4.510017708167135E-3</v>
      </c>
      <c r="R101" s="1184"/>
      <c r="S101" s="1183">
        <f ca="1">S100/$F$99</f>
        <v>0</v>
      </c>
      <c r="T101" s="1184"/>
      <c r="U101" s="1185"/>
      <c r="V101" s="1183">
        <f ca="1">V100/$F$99</f>
        <v>4.8656152582341627E-2</v>
      </c>
      <c r="W101" s="1184"/>
      <c r="X101" s="1185"/>
      <c r="Y101" s="1183">
        <f ca="1">Y100/$F$99</f>
        <v>6.418102123160925E-2</v>
      </c>
      <c r="Z101" s="1184"/>
      <c r="AA101" s="1185"/>
      <c r="AB101" s="1183">
        <f ca="1">AB100/$F$99</f>
        <v>9.0417181937773844E-2</v>
      </c>
      <c r="AC101" s="1184"/>
      <c r="AD101" s="1185"/>
      <c r="AE101" s="1183">
        <f ca="1">AE100/$F$99</f>
        <v>0</v>
      </c>
      <c r="AF101" s="1214"/>
      <c r="AG101" s="1"/>
      <c r="AH101" s="5"/>
    </row>
    <row r="102" spans="1:39" x14ac:dyDescent="0.25">
      <c r="A102" s="1191" t="s">
        <v>878</v>
      </c>
      <c r="B102" s="1196">
        <f ca="1">SUMIFS($B$9:$B$97,$A$9:$A$97,"&gt;="&amp;$C99,$A$9:$A$97,"&lt;="&amp;$D99)</f>
        <v>1680.73</v>
      </c>
      <c r="C102" s="1197">
        <f ca="1">SUMIFS($C$9:$C$97,$A$9:$A$97,"&gt;="&amp;$C99,$A$9:$A$97,"&lt;="&amp;$D99)</f>
        <v>2195.1499999999996</v>
      </c>
      <c r="D102" s="2251" t="s">
        <v>880</v>
      </c>
      <c r="E102" s="2250"/>
      <c r="F102" s="1197">
        <f ca="1">SUMIFS($F$9:$F$97,$D$9:$D$97,"&gt;="&amp;$C99,$D$9:$D$97,"&lt;="&amp;$D99)</f>
        <v>7915.65</v>
      </c>
      <c r="G102" s="2251" t="s">
        <v>882</v>
      </c>
      <c r="H102" s="2250"/>
      <c r="I102" s="1197">
        <f ca="1">SUMIFS($I$9:$I$97,$G$9:$G$97,"&gt;="&amp;$C99,$G$9:$G$97,"&lt;="&amp;$D99)</f>
        <v>421.5</v>
      </c>
      <c r="J102" s="1157" t="s">
        <v>899</v>
      </c>
      <c r="K102" s="1158">
        <f ca="1">SUMIFS(K9:K97,J9:J97,"&gt;="&amp;$C99,J9:J97,"&lt;="&amp;$D99)</f>
        <v>70.012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93.599999999999966</v>
      </c>
      <c r="R102" s="1157" t="s">
        <v>907</v>
      </c>
      <c r="S102" s="1158">
        <f ca="1">SUMIFS(S9:S97,R9:R97,"&gt;="&amp;$C99,R9:R97,"&lt;="&amp;$D99)</f>
        <v>24901.200000000008</v>
      </c>
      <c r="T102" s="2251" t="s">
        <v>887</v>
      </c>
      <c r="U102" s="2250"/>
      <c r="V102" s="1158">
        <f ca="1">SUMIFS(V9:V97,T9:T97,"&gt;="&amp;$C99,T9:T97,"&lt;="&amp;$D99)</f>
        <v>1009.8000000000003</v>
      </c>
      <c r="W102" s="2251" t="s">
        <v>913</v>
      </c>
      <c r="X102" s="2250"/>
      <c r="Y102" s="1158">
        <f ca="1">SUMIFS(Y9:Y97,W9:W97,"&gt;="&amp;$C99,W9:W97,"&lt;="&amp;$D99)</f>
        <v>1332</v>
      </c>
      <c r="Z102" s="2251" t="s">
        <v>890</v>
      </c>
      <c r="AA102" s="2250"/>
      <c r="AB102" s="1158">
        <f ca="1">SUMIFS(AB9:AB97,Z9:Z97,"&gt;="&amp;$C99,Z9:Z97,"&lt;="&amp;$D99)</f>
        <v>1876.5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</row>
    <row r="103" spans="1:39" x14ac:dyDescent="0.25">
      <c r="A103" s="1194" t="s">
        <v>897</v>
      </c>
      <c r="B103" s="1195"/>
      <c r="C103" s="1203">
        <f ca="1">C100-C6</f>
        <v>-7.6516922282859473E-2</v>
      </c>
      <c r="D103" s="1205" t="s">
        <v>897</v>
      </c>
      <c r="E103" s="1195"/>
      <c r="F103" s="1206">
        <f ca="1">F100-F6</f>
        <v>0.54090444164811458</v>
      </c>
      <c r="G103" s="1204" t="s">
        <v>897</v>
      </c>
      <c r="H103" s="1195"/>
      <c r="I103" s="1203">
        <f ca="1">I100-I6</f>
        <v>-2.1714742599462336E-2</v>
      </c>
      <c r="J103" s="1205" t="s">
        <v>897</v>
      </c>
      <c r="K103" s="1206">
        <f ca="1">K100-K6</f>
        <v>2.9646652279948817E-4</v>
      </c>
      <c r="L103" s="1204" t="s">
        <v>897</v>
      </c>
      <c r="M103" s="1203">
        <f ca="1">M100-M6</f>
        <v>6.3644653436445379E-3</v>
      </c>
      <c r="N103" s="1205" t="s">
        <v>897</v>
      </c>
      <c r="O103" s="1206">
        <f ca="1">O100-O6</f>
        <v>-9.5459749031138238E-3</v>
      </c>
      <c r="P103" s="1204" t="s">
        <v>897</v>
      </c>
      <c r="Q103" s="1203">
        <f ca="1">Q100-Q6</f>
        <v>5.7858193367254958E-3</v>
      </c>
      <c r="R103" s="1205" t="s">
        <v>897</v>
      </c>
      <c r="S103" s="1203">
        <f>S100-S6</f>
        <v>0</v>
      </c>
      <c r="T103" s="1205" t="s">
        <v>897</v>
      </c>
      <c r="U103" s="1195"/>
      <c r="V103" s="1206">
        <f ca="1">V100-V6</f>
        <v>4.5596992284372265E-2</v>
      </c>
      <c r="W103" s="1205" t="s">
        <v>897</v>
      </c>
      <c r="X103" s="1195"/>
      <c r="Y103" s="1206">
        <f ca="1">Y100-Y6</f>
        <v>6.8555377297988704E-2</v>
      </c>
      <c r="Z103" s="1205" t="s">
        <v>897</v>
      </c>
      <c r="AA103" s="1195"/>
      <c r="AB103" s="1206">
        <f ca="1">AB100-AB6</f>
        <v>8.7231814389234635E-2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</row>
    <row r="104" spans="1:39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0.40623073959938366</v>
      </c>
      <c r="AI104" s="1"/>
      <c r="AJ104" s="1"/>
    </row>
    <row r="105" spans="1:39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0.20325435575172471</v>
      </c>
      <c r="AI105" s="1"/>
      <c r="AJ105" s="1"/>
    </row>
    <row r="106" spans="1:39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4218.3</v>
      </c>
      <c r="AF106" s="618"/>
      <c r="AH106" s="829"/>
    </row>
    <row r="107" spans="1:39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</row>
    <row r="108" spans="1:39" x14ac:dyDescent="0.25">
      <c r="A108" s="478">
        <v>43199</v>
      </c>
      <c r="B108" s="6" t="s">
        <v>309</v>
      </c>
      <c r="C108" s="6"/>
      <c r="D108" s="6" t="s">
        <v>310</v>
      </c>
      <c r="E108" s="5">
        <v>2427</v>
      </c>
      <c r="F108" s="1217">
        <v>163.30000000000001</v>
      </c>
      <c r="G108" s="6" t="s">
        <v>311</v>
      </c>
      <c r="H108" s="52"/>
      <c r="I108" s="52"/>
      <c r="J108" s="229"/>
      <c r="K108" s="52"/>
      <c r="L108" s="433"/>
      <c r="M108" s="479"/>
      <c r="N108" s="5"/>
      <c r="O108" s="61"/>
      <c r="P108" s="6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</row>
    <row r="109" spans="1:39" x14ac:dyDescent="0.25">
      <c r="A109" s="478">
        <v>43206</v>
      </c>
      <c r="B109" s="6" t="s">
        <v>313</v>
      </c>
      <c r="C109" s="6"/>
      <c r="D109" s="750" t="s">
        <v>349</v>
      </c>
      <c r="E109" s="5">
        <v>2694</v>
      </c>
      <c r="F109" s="1217">
        <v>111</v>
      </c>
      <c r="G109" s="6" t="s">
        <v>314</v>
      </c>
      <c r="H109" s="52"/>
      <c r="I109" s="52"/>
      <c r="J109" s="229"/>
      <c r="K109" s="52"/>
      <c r="L109" s="433"/>
      <c r="M109" s="479"/>
      <c r="N109" s="5"/>
      <c r="O109" s="61"/>
      <c r="P109" s="6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</row>
    <row r="110" spans="1:39" x14ac:dyDescent="0.25">
      <c r="A110" s="478">
        <v>43363</v>
      </c>
      <c r="B110" s="6" t="s">
        <v>309</v>
      </c>
      <c r="C110" s="6"/>
      <c r="D110" s="750" t="s">
        <v>422</v>
      </c>
      <c r="E110" s="5">
        <v>12940</v>
      </c>
      <c r="F110" s="1217">
        <v>0</v>
      </c>
      <c r="G110" s="6" t="s">
        <v>423</v>
      </c>
      <c r="H110" s="52"/>
      <c r="I110" s="52"/>
      <c r="J110" s="229"/>
      <c r="K110" s="52"/>
      <c r="L110" s="433"/>
      <c r="M110" s="479"/>
      <c r="N110" s="5"/>
      <c r="O110" s="61"/>
      <c r="P110" s="6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H110" s="1"/>
      <c r="AI110" s="1"/>
      <c r="AJ110" s="1"/>
    </row>
    <row r="111" spans="1:39" x14ac:dyDescent="0.25">
      <c r="A111" s="478">
        <v>43416</v>
      </c>
      <c r="B111" s="6" t="s">
        <v>385</v>
      </c>
      <c r="C111" s="6"/>
      <c r="D111" s="750" t="s">
        <v>484</v>
      </c>
      <c r="E111" s="5">
        <v>16798</v>
      </c>
      <c r="F111" s="1217">
        <v>811.55</v>
      </c>
      <c r="G111" s="6" t="s">
        <v>485</v>
      </c>
      <c r="H111" s="52"/>
      <c r="I111" s="52"/>
      <c r="J111" s="229"/>
      <c r="K111" s="52"/>
      <c r="L111" s="433"/>
      <c r="M111" s="479"/>
      <c r="N111" s="5"/>
      <c r="O111" s="61"/>
      <c r="P111" s="6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H111" s="1"/>
      <c r="AI111" s="1"/>
      <c r="AJ111" s="1"/>
    </row>
    <row r="112" spans="1:39" s="7" customFormat="1" x14ac:dyDescent="0.25">
      <c r="A112" s="799">
        <v>43472</v>
      </c>
      <c r="B112" s="750" t="s">
        <v>309</v>
      </c>
      <c r="C112" s="750"/>
      <c r="D112" s="750" t="s">
        <v>512</v>
      </c>
      <c r="E112" s="776">
        <v>18877</v>
      </c>
      <c r="F112" s="918">
        <v>603.51</v>
      </c>
      <c r="G112" s="750" t="s">
        <v>378</v>
      </c>
      <c r="H112" s="800"/>
      <c r="I112" s="800"/>
      <c r="J112" s="764"/>
      <c r="K112" s="800"/>
      <c r="L112" s="801"/>
      <c r="M112" s="802"/>
      <c r="N112" s="776"/>
      <c r="O112" s="909"/>
      <c r="P112" s="909"/>
    </row>
    <row r="113" spans="1:16" s="7" customFormat="1" x14ac:dyDescent="0.25">
      <c r="A113" s="799">
        <v>43558</v>
      </c>
      <c r="B113" s="750" t="s">
        <v>309</v>
      </c>
      <c r="C113" s="750"/>
      <c r="D113" s="750" t="s">
        <v>602</v>
      </c>
      <c r="E113" s="776">
        <v>20253</v>
      </c>
      <c r="F113" s="918">
        <v>211.2</v>
      </c>
      <c r="G113" s="750" t="s">
        <v>603</v>
      </c>
      <c r="H113" s="800"/>
      <c r="I113" s="800"/>
      <c r="J113" s="764"/>
      <c r="K113" s="800"/>
      <c r="L113" s="801"/>
      <c r="M113" s="802"/>
      <c r="N113" s="776"/>
      <c r="O113" s="909"/>
      <c r="P113" s="909"/>
    </row>
    <row r="114" spans="1:16" s="7" customFormat="1" x14ac:dyDescent="0.25">
      <c r="A114" s="799">
        <v>43567</v>
      </c>
      <c r="B114" s="750" t="s">
        <v>385</v>
      </c>
      <c r="C114" s="750"/>
      <c r="D114" s="750" t="s">
        <v>648</v>
      </c>
      <c r="E114" s="776">
        <v>20808</v>
      </c>
      <c r="F114" s="918">
        <v>41.95</v>
      </c>
      <c r="G114" s="750" t="s">
        <v>614</v>
      </c>
      <c r="J114" s="918"/>
      <c r="L114" s="776"/>
      <c r="M114" s="909"/>
      <c r="N114" s="909"/>
      <c r="O114" s="909"/>
    </row>
    <row r="115" spans="1:16" s="7" customFormat="1" x14ac:dyDescent="0.25">
      <c r="A115" s="799">
        <v>43749</v>
      </c>
      <c r="B115" s="750" t="s">
        <v>385</v>
      </c>
      <c r="C115" s="750"/>
      <c r="D115" s="750" t="s">
        <v>748</v>
      </c>
      <c r="E115" s="776">
        <v>32804</v>
      </c>
      <c r="F115" s="918">
        <v>41.95</v>
      </c>
      <c r="G115" s="750" t="s">
        <v>614</v>
      </c>
      <c r="J115" s="918"/>
      <c r="L115" s="776"/>
      <c r="M115" s="909"/>
      <c r="N115" s="909"/>
      <c r="O115" s="909"/>
    </row>
    <row r="116" spans="1:16" s="7" customFormat="1" x14ac:dyDescent="0.25">
      <c r="A116" s="799">
        <v>43728</v>
      </c>
      <c r="B116" s="750" t="s">
        <v>309</v>
      </c>
      <c r="C116" s="750"/>
      <c r="D116" s="750" t="s">
        <v>776</v>
      </c>
      <c r="E116" s="776">
        <v>25000</v>
      </c>
      <c r="F116" s="918">
        <v>106.62</v>
      </c>
      <c r="G116" s="750" t="s">
        <v>777</v>
      </c>
      <c r="H116" s="800"/>
      <c r="I116" s="800"/>
      <c r="J116" s="764"/>
      <c r="K116" s="800"/>
      <c r="L116" s="801"/>
      <c r="M116" s="802"/>
      <c r="N116" s="776"/>
      <c r="O116" s="909"/>
      <c r="P116" s="909"/>
    </row>
    <row r="117" spans="1:16" s="7" customFormat="1" x14ac:dyDescent="0.25">
      <c r="A117" s="799">
        <v>43760</v>
      </c>
      <c r="B117" s="750" t="s">
        <v>794</v>
      </c>
      <c r="C117" s="750"/>
      <c r="D117" s="750" t="s">
        <v>795</v>
      </c>
      <c r="E117" s="776">
        <v>33150</v>
      </c>
      <c r="F117" s="918">
        <v>80.39</v>
      </c>
      <c r="G117" s="750" t="s">
        <v>922</v>
      </c>
      <c r="H117" s="800"/>
      <c r="I117" s="800"/>
      <c r="J117" s="764"/>
      <c r="K117" s="800"/>
      <c r="L117" s="801"/>
      <c r="M117" s="802"/>
      <c r="N117" s="776"/>
      <c r="O117" s="909"/>
      <c r="P117" s="909"/>
    </row>
    <row r="118" spans="1:16" s="7" customFormat="1" x14ac:dyDescent="0.25">
      <c r="A118" s="799">
        <v>43893</v>
      </c>
      <c r="B118" s="750" t="s">
        <v>920</v>
      </c>
      <c r="C118" s="750"/>
      <c r="D118" s="750" t="s">
        <v>1010</v>
      </c>
      <c r="E118" s="776">
        <v>38775</v>
      </c>
      <c r="F118" s="918">
        <v>356.4</v>
      </c>
      <c r="G118" s="750" t="s">
        <v>921</v>
      </c>
      <c r="H118" s="800"/>
      <c r="J118" s="764"/>
      <c r="K118" s="800"/>
      <c r="L118" s="801"/>
      <c r="M118" s="802"/>
      <c r="N118" s="776"/>
      <c r="O118" s="800">
        <v>314200432</v>
      </c>
      <c r="P118" s="909"/>
    </row>
    <row r="119" spans="1:16" s="7" customFormat="1" x14ac:dyDescent="0.25">
      <c r="A119" s="799">
        <v>43873</v>
      </c>
      <c r="B119" s="750" t="s">
        <v>967</v>
      </c>
      <c r="C119" s="750"/>
      <c r="D119" s="750" t="s">
        <v>964</v>
      </c>
      <c r="E119" s="776">
        <v>38744</v>
      </c>
      <c r="F119" s="918">
        <v>129.80000000000001</v>
      </c>
      <c r="G119" s="750" t="s">
        <v>968</v>
      </c>
      <c r="H119" s="800"/>
      <c r="J119" s="764"/>
      <c r="K119" s="800"/>
      <c r="L119" s="801"/>
      <c r="M119" s="802"/>
      <c r="N119" s="776"/>
      <c r="O119" s="800">
        <v>30200124</v>
      </c>
      <c r="P119" s="909"/>
    </row>
    <row r="120" spans="1:16" s="7" customFormat="1" x14ac:dyDescent="0.25">
      <c r="A120" s="799">
        <v>43867</v>
      </c>
      <c r="B120" s="750" t="s">
        <v>309</v>
      </c>
      <c r="C120" s="750"/>
      <c r="D120" s="750" t="s">
        <v>988</v>
      </c>
      <c r="E120" s="776">
        <v>38000</v>
      </c>
      <c r="F120" s="918">
        <v>1816.47</v>
      </c>
      <c r="G120" s="750" t="s">
        <v>378</v>
      </c>
      <c r="H120" s="800"/>
      <c r="J120" s="764"/>
      <c r="K120" s="800"/>
      <c r="L120" s="801"/>
      <c r="M120" s="802"/>
      <c r="N120" s="776"/>
      <c r="O120" s="800">
        <v>2200213</v>
      </c>
      <c r="P120" s="909"/>
    </row>
    <row r="121" spans="1:16" s="7" customFormat="1" x14ac:dyDescent="0.25">
      <c r="A121" s="799">
        <v>43913</v>
      </c>
      <c r="B121" s="750" t="s">
        <v>1014</v>
      </c>
      <c r="C121" s="750"/>
      <c r="D121" s="750" t="s">
        <v>1015</v>
      </c>
      <c r="E121" s="776">
        <v>38775</v>
      </c>
      <c r="F121" s="918">
        <v>62.4</v>
      </c>
      <c r="G121" s="750" t="s">
        <v>1016</v>
      </c>
      <c r="H121" s="800"/>
      <c r="J121" s="764"/>
      <c r="K121" s="800"/>
      <c r="L121" s="801"/>
      <c r="M121" s="802"/>
      <c r="N121" s="776"/>
      <c r="O121" s="800">
        <v>200800173</v>
      </c>
      <c r="P121" s="909"/>
    </row>
    <row r="122" spans="1:16" s="7" customFormat="1" x14ac:dyDescent="0.25">
      <c r="A122" s="799">
        <v>43937</v>
      </c>
      <c r="B122" s="750" t="s">
        <v>385</v>
      </c>
      <c r="C122" s="750"/>
      <c r="D122" s="750" t="s">
        <v>1077</v>
      </c>
      <c r="E122" s="776">
        <v>37048</v>
      </c>
      <c r="F122" s="918">
        <v>41.95</v>
      </c>
      <c r="G122" s="750" t="s">
        <v>614</v>
      </c>
      <c r="J122" s="918"/>
      <c r="L122" s="776"/>
      <c r="M122" s="909"/>
      <c r="N122" s="909"/>
      <c r="O122" s="7" t="s">
        <v>1076</v>
      </c>
    </row>
    <row r="123" spans="1:16" s="7" customFormat="1" x14ac:dyDescent="0.25">
      <c r="A123" s="799">
        <v>44032</v>
      </c>
      <c r="B123" s="750" t="s">
        <v>376</v>
      </c>
      <c r="C123" s="750"/>
      <c r="D123" s="750" t="s">
        <v>1178</v>
      </c>
      <c r="E123" s="776">
        <v>39580</v>
      </c>
      <c r="F123" s="918">
        <v>343.31</v>
      </c>
      <c r="G123" s="750" t="s">
        <v>1164</v>
      </c>
      <c r="H123" s="800"/>
      <c r="J123" s="764"/>
      <c r="K123" s="800"/>
      <c r="L123" s="801"/>
      <c r="M123" s="802"/>
      <c r="N123" s="776"/>
      <c r="O123" s="800">
        <v>314201172</v>
      </c>
      <c r="P123" s="909"/>
    </row>
    <row r="124" spans="1:16" s="600" customFormat="1" x14ac:dyDescent="0.25">
      <c r="A124" s="827">
        <v>44053</v>
      </c>
      <c r="B124" s="537" t="s">
        <v>376</v>
      </c>
      <c r="C124" s="537"/>
      <c r="D124" s="537" t="s">
        <v>1248</v>
      </c>
      <c r="E124" s="596">
        <v>40249</v>
      </c>
      <c r="F124" s="751">
        <v>189.73</v>
      </c>
      <c r="G124" s="537" t="s">
        <v>637</v>
      </c>
      <c r="H124" s="828"/>
      <c r="J124" s="618"/>
      <c r="K124" s="828"/>
      <c r="L124" s="829"/>
      <c r="M124" s="830"/>
      <c r="N124" s="596"/>
      <c r="O124" s="828" t="s">
        <v>1250</v>
      </c>
      <c r="P124" s="829"/>
    </row>
    <row r="125" spans="1:16" s="600" customFormat="1" x14ac:dyDescent="0.25">
      <c r="A125" s="827">
        <v>44340</v>
      </c>
      <c r="B125" s="537" t="s">
        <v>376</v>
      </c>
      <c r="C125" s="537"/>
      <c r="D125" s="537" t="s">
        <v>1350</v>
      </c>
      <c r="E125" s="596">
        <v>42856</v>
      </c>
      <c r="F125" s="751">
        <v>1938.86</v>
      </c>
      <c r="G125" s="537" t="s">
        <v>1352</v>
      </c>
      <c r="H125" s="828"/>
      <c r="J125" s="618"/>
      <c r="K125" s="828"/>
      <c r="L125" s="829"/>
      <c r="M125" s="830"/>
      <c r="N125" s="596"/>
      <c r="O125" s="828" t="s">
        <v>1353</v>
      </c>
      <c r="P125" s="829"/>
    </row>
    <row r="126" spans="1:16" s="600" customFormat="1" x14ac:dyDescent="0.25">
      <c r="A126" s="827">
        <v>44406</v>
      </c>
      <c r="B126" s="537" t="s">
        <v>376</v>
      </c>
      <c r="C126" s="537"/>
      <c r="D126" s="537" t="s">
        <v>1445</v>
      </c>
      <c r="E126" s="596">
        <v>43843</v>
      </c>
      <c r="F126" s="751">
        <v>57.86</v>
      </c>
      <c r="G126" s="537" t="s">
        <v>1447</v>
      </c>
      <c r="H126" s="828"/>
      <c r="J126" s="618"/>
      <c r="K126" s="828"/>
      <c r="L126" s="829"/>
      <c r="M126" s="830"/>
      <c r="N126" s="596"/>
      <c r="O126" s="828" t="s">
        <v>1448</v>
      </c>
      <c r="P126" s="829"/>
    </row>
    <row r="127" spans="1:16" s="600" customFormat="1" x14ac:dyDescent="0.25">
      <c r="A127" s="827">
        <v>44466</v>
      </c>
      <c r="B127" s="537" t="s">
        <v>376</v>
      </c>
      <c r="C127" s="537"/>
      <c r="D127" s="537" t="s">
        <v>1470</v>
      </c>
      <c r="E127" s="596">
        <v>45286</v>
      </c>
      <c r="F127" s="751">
        <v>2124.06</v>
      </c>
      <c r="G127" s="537" t="s">
        <v>1472</v>
      </c>
      <c r="H127" s="828"/>
      <c r="J127" s="618"/>
      <c r="K127" s="828"/>
      <c r="L127" s="829"/>
      <c r="M127" s="830"/>
      <c r="N127" s="596"/>
      <c r="O127" s="828" t="s">
        <v>1473</v>
      </c>
      <c r="P127" s="829"/>
    </row>
    <row r="128" spans="1:16" s="7" customFormat="1" x14ac:dyDescent="0.25">
      <c r="A128" s="799">
        <v>44518</v>
      </c>
      <c r="B128" s="750" t="s">
        <v>385</v>
      </c>
      <c r="C128" s="750"/>
      <c r="D128" s="750" t="s">
        <v>1503</v>
      </c>
      <c r="E128" s="776">
        <v>46635</v>
      </c>
      <c r="F128" s="918">
        <v>41.95</v>
      </c>
      <c r="G128" s="750" t="s">
        <v>614</v>
      </c>
      <c r="J128" s="918"/>
      <c r="L128" s="776"/>
      <c r="M128" s="909"/>
      <c r="N128" s="909"/>
      <c r="O128" s="7" t="s">
        <v>1504</v>
      </c>
    </row>
    <row r="129" spans="1:16" s="7" customFormat="1" x14ac:dyDescent="0.25">
      <c r="A129" s="799">
        <v>44601</v>
      </c>
      <c r="B129" s="750" t="s">
        <v>376</v>
      </c>
      <c r="C129" s="750"/>
      <c r="D129" s="750" t="s">
        <v>294</v>
      </c>
      <c r="E129" s="776">
        <v>46753</v>
      </c>
      <c r="F129" s="918">
        <v>899.14</v>
      </c>
      <c r="G129" s="750" t="s">
        <v>1540</v>
      </c>
      <c r="H129" s="800"/>
      <c r="J129" s="764"/>
      <c r="K129" s="800"/>
      <c r="L129" s="801"/>
      <c r="M129" s="802"/>
      <c r="N129" s="776"/>
      <c r="O129" s="800" t="s">
        <v>1551</v>
      </c>
      <c r="P129" s="801"/>
    </row>
    <row r="130" spans="1:16" s="7" customFormat="1" x14ac:dyDescent="0.25">
      <c r="A130" s="799">
        <v>44603</v>
      </c>
      <c r="B130" s="750" t="s">
        <v>967</v>
      </c>
      <c r="C130" s="750"/>
      <c r="D130" s="750" t="s">
        <v>294</v>
      </c>
      <c r="E130" s="776">
        <v>46800</v>
      </c>
      <c r="F130" s="918">
        <v>119.9</v>
      </c>
      <c r="G130" s="750" t="s">
        <v>968</v>
      </c>
      <c r="H130" s="800"/>
      <c r="J130" s="764"/>
      <c r="K130" s="800"/>
      <c r="L130" s="801"/>
      <c r="M130" s="802"/>
      <c r="N130" s="776"/>
      <c r="O130" s="800" t="s">
        <v>1553</v>
      </c>
      <c r="P130" s="909"/>
    </row>
  </sheetData>
  <sortState ref="G9:I44">
    <sortCondition ref="G9:G44"/>
  </sortState>
  <mergeCells count="45">
    <mergeCell ref="AM1:AM8"/>
    <mergeCell ref="K99:L99"/>
    <mergeCell ref="T105:AD105"/>
    <mergeCell ref="T106:AD106"/>
    <mergeCell ref="W6:X6"/>
    <mergeCell ref="W8:X8"/>
    <mergeCell ref="W100:X100"/>
    <mergeCell ref="W102:X102"/>
    <mergeCell ref="T104:AD104"/>
    <mergeCell ref="D102:E102"/>
    <mergeCell ref="G102:H102"/>
    <mergeCell ref="T102:U102"/>
    <mergeCell ref="Z102:AA102"/>
    <mergeCell ref="AC102:AD102"/>
    <mergeCell ref="D8:E8"/>
    <mergeCell ref="G8:H8"/>
    <mergeCell ref="T8:U8"/>
    <mergeCell ref="Z8:AA8"/>
    <mergeCell ref="AC8:AD8"/>
    <mergeCell ref="D100:E100"/>
    <mergeCell ref="G100:H100"/>
    <mergeCell ref="T100:U100"/>
    <mergeCell ref="Z100:AA100"/>
    <mergeCell ref="AC100:AD100"/>
    <mergeCell ref="D6:E6"/>
    <mergeCell ref="G6:H6"/>
    <mergeCell ref="T6:U6"/>
    <mergeCell ref="Z6:AA6"/>
    <mergeCell ref="AC6:AD6"/>
    <mergeCell ref="H1:I1"/>
    <mergeCell ref="AJ1:AJ7"/>
    <mergeCell ref="D2:F2"/>
    <mergeCell ref="I2:J2"/>
    <mergeCell ref="B3:C3"/>
    <mergeCell ref="AF1:AF8"/>
    <mergeCell ref="AG1:AG8"/>
    <mergeCell ref="AH1:AH8"/>
    <mergeCell ref="AI1:AI8"/>
    <mergeCell ref="G3:H3"/>
    <mergeCell ref="T3:AD3"/>
    <mergeCell ref="B4:C4"/>
    <mergeCell ref="D4:E4"/>
    <mergeCell ref="T4:AD4"/>
    <mergeCell ref="A5:D5"/>
    <mergeCell ref="T5:AD5"/>
  </mergeCells>
  <conditionalFormatting sqref="AL9:AL44 AL95:AL98">
    <cfRule type="cellIs" dxfId="147" priority="11" operator="greaterThan">
      <formula>0</formula>
    </cfRule>
    <cfRule type="cellIs" dxfId="146" priority="12" operator="lessThan">
      <formula>0</formula>
    </cfRule>
  </conditionalFormatting>
  <conditionalFormatting sqref="AF9:AF44 AF95:AF96">
    <cfRule type="cellIs" dxfId="145" priority="307" operator="lessThan">
      <formula>$AF$98</formula>
    </cfRule>
    <cfRule type="cellIs" dxfId="144" priority="308" operator="greaterThan">
      <formula>$AF$98</formula>
    </cfRule>
  </conditionalFormatting>
  <conditionalFormatting sqref="AG9:AG44">
    <cfRule type="cellIs" dxfId="143" priority="311" operator="equal">
      <formula>$AG$99</formula>
    </cfRule>
    <cfRule type="cellIs" dxfId="142" priority="312" operator="lessThan">
      <formula>$AG$98</formula>
    </cfRule>
    <cfRule type="cellIs" dxfId="141" priority="313" operator="greaterThan">
      <formula>$AG$98</formula>
    </cfRule>
  </conditionalFormatting>
  <conditionalFormatting sqref="AL45:AL94">
    <cfRule type="cellIs" dxfId="140" priority="4" operator="greaterThan">
      <formula>0</formula>
    </cfRule>
    <cfRule type="cellIs" dxfId="139" priority="5" operator="lessThan">
      <formula>0</formula>
    </cfRule>
  </conditionalFormatting>
  <conditionalFormatting sqref="AF45:AF94">
    <cfRule type="cellIs" dxfId="138" priority="6" operator="lessThan">
      <formula>$AF$98</formula>
    </cfRule>
    <cfRule type="cellIs" dxfId="137" priority="7" operator="greaterThan">
      <formula>$AF$98</formula>
    </cfRule>
  </conditionalFormatting>
  <conditionalFormatting sqref="AG45:AG49">
    <cfRule type="cellIs" dxfId="136" priority="8" operator="equal">
      <formula>$AG$99</formula>
    </cfRule>
    <cfRule type="cellIs" dxfId="135" priority="9" operator="lessThan">
      <formula>$AG$98</formula>
    </cfRule>
    <cfRule type="cellIs" dxfId="134" priority="10" operator="greaterThan">
      <formula>$AG$98</formula>
    </cfRule>
  </conditionalFormatting>
  <conditionalFormatting sqref="AG50:AG96">
    <cfRule type="cellIs" dxfId="133" priority="1" operator="equal">
      <formula>$AG$99</formula>
    </cfRule>
    <cfRule type="cellIs" dxfId="132" priority="2" operator="lessThan">
      <formula>$AG$98</formula>
    </cfRule>
    <cfRule type="cellIs" dxfId="131" priority="3" operator="greaterThan">
      <formula>$AG$98</formula>
    </cfRule>
  </conditionalFormatting>
  <printOptions horizontalCentered="1"/>
  <pageMargins left="0.39370078740157483" right="0.39370078740157483" top="0.39370078740157483" bottom="0.39370078740157483" header="0" footer="0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30"/>
  <sheetViews>
    <sheetView workbookViewId="0">
      <selection sqref="A1:L14"/>
    </sheetView>
  </sheetViews>
  <sheetFormatPr defaultRowHeight="15.75" x14ac:dyDescent="0.25"/>
  <cols>
    <col min="1" max="1" width="3.625" style="220" customWidth="1"/>
    <col min="2" max="2" width="8.625" style="105" customWidth="1"/>
    <col min="3" max="3" width="20.75" style="105" customWidth="1"/>
    <col min="4" max="4" width="8.625" style="3" customWidth="1"/>
    <col min="5" max="5" width="8.375" style="4" customWidth="1"/>
    <col min="6" max="6" width="20.125" style="6" customWidth="1"/>
    <col min="7" max="7" width="5.375" style="57" customWidth="1"/>
    <col min="8" max="8" width="7.5" style="4" customWidth="1"/>
    <col min="9" max="9" width="6.625" style="61" customWidth="1"/>
    <col min="10" max="10" width="6.5" style="61" customWidth="1"/>
    <col min="11" max="13" width="6.875" style="777" customWidth="1"/>
    <col min="14" max="14" width="9" style="777"/>
    <col min="15" max="16384" width="9" style="1"/>
  </cols>
  <sheetData>
    <row r="1" spans="1:14" s="49" customFormat="1" x14ac:dyDescent="0.25">
      <c r="A1" s="224" t="s">
        <v>43</v>
      </c>
      <c r="B1" s="93"/>
      <c r="C1" s="93"/>
      <c r="D1" s="48"/>
      <c r="E1" s="48"/>
      <c r="F1" s="149"/>
      <c r="G1" s="152"/>
      <c r="H1" s="151"/>
      <c r="I1" s="150"/>
      <c r="J1" s="150"/>
      <c r="K1" s="250"/>
      <c r="L1" s="250"/>
      <c r="M1" s="250"/>
      <c r="N1" s="250"/>
    </row>
    <row r="2" spans="1:14" s="2" customFormat="1" ht="26.25" customHeight="1" x14ac:dyDescent="0.25">
      <c r="A2" s="2000" t="s">
        <v>42</v>
      </c>
      <c r="B2" s="2002" t="s">
        <v>2</v>
      </c>
      <c r="C2" s="2004" t="s">
        <v>3</v>
      </c>
      <c r="D2" s="2006" t="s">
        <v>4</v>
      </c>
      <c r="E2" s="2008" t="s">
        <v>5</v>
      </c>
      <c r="F2" s="1994" t="s">
        <v>69</v>
      </c>
      <c r="G2" s="1996" t="s">
        <v>73</v>
      </c>
      <c r="H2" s="1998" t="s">
        <v>71</v>
      </c>
      <c r="I2" s="2010" t="s">
        <v>72</v>
      </c>
      <c r="J2" s="2012" t="s">
        <v>81</v>
      </c>
      <c r="K2" s="2014" t="s">
        <v>395</v>
      </c>
      <c r="L2" s="2015"/>
      <c r="M2" s="2015"/>
      <c r="N2" s="2016"/>
    </row>
    <row r="3" spans="1:14" s="2" customFormat="1" ht="51.75" customHeight="1" x14ac:dyDescent="0.25">
      <c r="A3" s="2001"/>
      <c r="B3" s="2003"/>
      <c r="C3" s="2005"/>
      <c r="D3" s="2007"/>
      <c r="E3" s="2009"/>
      <c r="F3" s="1995"/>
      <c r="G3" s="1997"/>
      <c r="H3" s="1999"/>
      <c r="I3" s="2011"/>
      <c r="J3" s="2013"/>
      <c r="K3" s="793" t="s">
        <v>1319</v>
      </c>
      <c r="L3" s="794" t="s">
        <v>1320</v>
      </c>
      <c r="M3" s="794" t="s">
        <v>1321</v>
      </c>
      <c r="N3" s="795" t="s">
        <v>400</v>
      </c>
    </row>
    <row r="4" spans="1:14" x14ac:dyDescent="0.25">
      <c r="A4" s="218">
        <v>1</v>
      </c>
      <c r="B4" s="790" t="s">
        <v>33</v>
      </c>
      <c r="C4" s="791" t="s">
        <v>34</v>
      </c>
      <c r="D4" s="792">
        <v>36892</v>
      </c>
      <c r="E4" s="797">
        <f ca="1">(TODAY()-D4)/365.25</f>
        <v>21.12251882272416</v>
      </c>
      <c r="F4" s="169" t="s">
        <v>558</v>
      </c>
      <c r="G4" s="170"/>
      <c r="H4" s="171"/>
      <c r="I4" s="177"/>
      <c r="J4" s="183"/>
      <c r="K4" s="471" t="s">
        <v>396</v>
      </c>
      <c r="L4" s="787" t="s">
        <v>397</v>
      </c>
      <c r="M4" s="787" t="s">
        <v>397</v>
      </c>
      <c r="N4" s="458" t="s">
        <v>397</v>
      </c>
    </row>
    <row r="5" spans="1:14" x14ac:dyDescent="0.25">
      <c r="A5" s="131">
        <f t="shared" ref="A5:A20" si="0">A4+1</f>
        <v>2</v>
      </c>
      <c r="B5" s="112" t="s">
        <v>36</v>
      </c>
      <c r="C5" s="100" t="s">
        <v>37</v>
      </c>
      <c r="D5" s="35">
        <v>37256</v>
      </c>
      <c r="E5" s="22">
        <f t="shared" ref="E5:E23" ca="1" si="1">(TODAY()-D5)/365.25</f>
        <v>20.125941136208077</v>
      </c>
      <c r="F5" s="153" t="s">
        <v>538</v>
      </c>
      <c r="G5" s="154" t="s">
        <v>401</v>
      </c>
      <c r="H5" s="155" t="s">
        <v>402</v>
      </c>
      <c r="I5" s="178" t="s">
        <v>403</v>
      </c>
      <c r="J5" s="184">
        <v>80</v>
      </c>
      <c r="K5" s="469" t="s">
        <v>396</v>
      </c>
      <c r="L5" s="778" t="s">
        <v>397</v>
      </c>
      <c r="M5" s="778" t="s">
        <v>397</v>
      </c>
      <c r="N5" s="465" t="s">
        <v>396</v>
      </c>
    </row>
    <row r="6" spans="1:14" x14ac:dyDescent="0.25">
      <c r="A6" s="131">
        <f t="shared" si="0"/>
        <v>3</v>
      </c>
      <c r="B6" s="9" t="s">
        <v>11</v>
      </c>
      <c r="C6" s="102" t="s">
        <v>1</v>
      </c>
      <c r="D6" s="33">
        <v>39447</v>
      </c>
      <c r="E6" s="21">
        <f t="shared" ca="1" si="1"/>
        <v>14.127310061601642</v>
      </c>
      <c r="F6" s="153" t="s">
        <v>548</v>
      </c>
      <c r="G6" s="154" t="s">
        <v>74</v>
      </c>
      <c r="H6" s="155" t="s">
        <v>405</v>
      </c>
      <c r="I6" s="178" t="s">
        <v>406</v>
      </c>
      <c r="J6" s="184">
        <v>80</v>
      </c>
      <c r="K6" s="469" t="s">
        <v>396</v>
      </c>
      <c r="L6" s="778" t="s">
        <v>397</v>
      </c>
      <c r="M6" s="778" t="s">
        <v>397</v>
      </c>
      <c r="N6" s="465" t="s">
        <v>396</v>
      </c>
    </row>
    <row r="7" spans="1:14" x14ac:dyDescent="0.25">
      <c r="A7" s="131">
        <f t="shared" si="0"/>
        <v>4</v>
      </c>
      <c r="B7" s="9" t="s">
        <v>28</v>
      </c>
      <c r="C7" s="102" t="s">
        <v>27</v>
      </c>
      <c r="D7" s="33">
        <v>39447</v>
      </c>
      <c r="E7" s="21">
        <f t="shared" ca="1" si="1"/>
        <v>14.127310061601642</v>
      </c>
      <c r="F7" s="156" t="s">
        <v>549</v>
      </c>
      <c r="G7" s="157" t="s">
        <v>407</v>
      </c>
      <c r="H7" s="158" t="s">
        <v>408</v>
      </c>
      <c r="I7" s="179">
        <v>55</v>
      </c>
      <c r="J7" s="185">
        <v>55</v>
      </c>
      <c r="K7" s="779" t="s">
        <v>396</v>
      </c>
      <c r="L7" s="780" t="s">
        <v>397</v>
      </c>
      <c r="M7" s="780" t="s">
        <v>397</v>
      </c>
      <c r="N7" s="781" t="s">
        <v>396</v>
      </c>
    </row>
    <row r="8" spans="1:14" x14ac:dyDescent="0.25">
      <c r="A8" s="131">
        <f>A7+1</f>
        <v>5</v>
      </c>
      <c r="B8" s="9" t="s">
        <v>25</v>
      </c>
      <c r="C8" s="102" t="s">
        <v>26</v>
      </c>
      <c r="D8" s="33">
        <v>40844</v>
      </c>
      <c r="E8" s="21">
        <f t="shared" ca="1" si="1"/>
        <v>10.302532511978097</v>
      </c>
      <c r="F8" s="156" t="s">
        <v>70</v>
      </c>
      <c r="G8" s="157" t="s">
        <v>74</v>
      </c>
      <c r="H8" s="158">
        <v>1598</v>
      </c>
      <c r="I8" s="179">
        <v>77</v>
      </c>
      <c r="J8" s="185" t="s">
        <v>410</v>
      </c>
      <c r="K8" s="779" t="s">
        <v>396</v>
      </c>
      <c r="L8" s="1079" t="s">
        <v>396</v>
      </c>
      <c r="M8" s="780" t="s">
        <v>397</v>
      </c>
      <c r="N8" s="781" t="s">
        <v>396</v>
      </c>
    </row>
    <row r="9" spans="1:14" x14ac:dyDescent="0.25">
      <c r="A9" s="131">
        <f t="shared" si="0"/>
        <v>6</v>
      </c>
      <c r="B9" s="9" t="s">
        <v>20</v>
      </c>
      <c r="C9" s="102" t="s">
        <v>21</v>
      </c>
      <c r="D9" s="33">
        <v>41274</v>
      </c>
      <c r="E9" s="21">
        <f t="shared" ca="1" si="1"/>
        <v>9.1252566735112932</v>
      </c>
      <c r="F9" s="153" t="s">
        <v>550</v>
      </c>
      <c r="G9" s="154" t="s">
        <v>404</v>
      </c>
      <c r="H9" s="155">
        <v>1968</v>
      </c>
      <c r="I9" s="178">
        <v>103</v>
      </c>
      <c r="J9" s="184" t="s">
        <v>409</v>
      </c>
      <c r="K9" s="469" t="s">
        <v>396</v>
      </c>
      <c r="L9" s="1080" t="s">
        <v>396</v>
      </c>
      <c r="M9" s="778" t="s">
        <v>397</v>
      </c>
      <c r="N9" s="465" t="s">
        <v>396</v>
      </c>
    </row>
    <row r="10" spans="1:14" s="7" customFormat="1" x14ac:dyDescent="0.25">
      <c r="A10" s="131">
        <f t="shared" si="0"/>
        <v>7</v>
      </c>
      <c r="B10" s="9" t="s">
        <v>30</v>
      </c>
      <c r="C10" s="102" t="s">
        <v>21</v>
      </c>
      <c r="D10" s="35">
        <v>41533</v>
      </c>
      <c r="E10" s="21">
        <f t="shared" ca="1" si="1"/>
        <v>8.4161533196440796</v>
      </c>
      <c r="F10" s="153" t="s">
        <v>380</v>
      </c>
      <c r="G10" s="154" t="s">
        <v>74</v>
      </c>
      <c r="H10" s="155" t="s">
        <v>411</v>
      </c>
      <c r="I10" s="178" t="s">
        <v>412</v>
      </c>
      <c r="J10" s="184">
        <v>55</v>
      </c>
      <c r="K10" s="469" t="s">
        <v>396</v>
      </c>
      <c r="L10" s="1080" t="s">
        <v>396</v>
      </c>
      <c r="M10" s="778" t="s">
        <v>397</v>
      </c>
      <c r="N10" s="465" t="s">
        <v>396</v>
      </c>
    </row>
    <row r="11" spans="1:14" x14ac:dyDescent="0.25">
      <c r="A11" s="131">
        <f t="shared" si="0"/>
        <v>8</v>
      </c>
      <c r="B11" s="112" t="s">
        <v>40</v>
      </c>
      <c r="C11" s="100" t="s">
        <v>41</v>
      </c>
      <c r="D11" s="35">
        <v>41992</v>
      </c>
      <c r="E11" s="22">
        <f t="shared" ca="1" si="1"/>
        <v>7.1594798083504445</v>
      </c>
      <c r="F11" s="153" t="s">
        <v>82</v>
      </c>
      <c r="G11" s="154" t="s">
        <v>74</v>
      </c>
      <c r="H11" s="155">
        <v>1968</v>
      </c>
      <c r="I11" s="178">
        <v>110</v>
      </c>
      <c r="J11" s="184">
        <v>50</v>
      </c>
      <c r="K11" s="469" t="s">
        <v>396</v>
      </c>
      <c r="L11" s="1080" t="s">
        <v>396</v>
      </c>
      <c r="M11" s="778" t="s">
        <v>397</v>
      </c>
      <c r="N11" s="465" t="s">
        <v>396</v>
      </c>
    </row>
    <row r="12" spans="1:14" s="7" customFormat="1" x14ac:dyDescent="0.25">
      <c r="A12" s="131">
        <f t="shared" si="0"/>
        <v>9</v>
      </c>
      <c r="B12" s="9" t="s">
        <v>18</v>
      </c>
      <c r="C12" s="102" t="s">
        <v>17</v>
      </c>
      <c r="D12" s="35">
        <v>42356</v>
      </c>
      <c r="E12" s="21">
        <f t="shared" ca="1" si="1"/>
        <v>6.1629021218343603</v>
      </c>
      <c r="F12" s="156" t="s">
        <v>379</v>
      </c>
      <c r="G12" s="157" t="s">
        <v>74</v>
      </c>
      <c r="H12" s="158" t="s">
        <v>411</v>
      </c>
      <c r="I12" s="179" t="s">
        <v>413</v>
      </c>
      <c r="J12" s="185" t="s">
        <v>414</v>
      </c>
      <c r="K12" s="779" t="s">
        <v>396</v>
      </c>
      <c r="L12" s="1079" t="s">
        <v>396</v>
      </c>
      <c r="M12" s="780" t="s">
        <v>397</v>
      </c>
      <c r="N12" s="781" t="s">
        <v>396</v>
      </c>
    </row>
    <row r="13" spans="1:14" x14ac:dyDescent="0.25">
      <c r="A13" s="131">
        <f t="shared" si="0"/>
        <v>10</v>
      </c>
      <c r="B13" s="112" t="s">
        <v>38</v>
      </c>
      <c r="C13" s="100" t="s">
        <v>714</v>
      </c>
      <c r="D13" s="35">
        <v>42366</v>
      </c>
      <c r="E13" s="22">
        <f t="shared" ca="1" si="1"/>
        <v>6.1355236139630387</v>
      </c>
      <c r="F13" s="153" t="s">
        <v>83</v>
      </c>
      <c r="G13" s="154" t="s">
        <v>74</v>
      </c>
      <c r="H13" s="155">
        <v>1968</v>
      </c>
      <c r="I13" s="178">
        <v>110</v>
      </c>
      <c r="J13" s="184">
        <v>66</v>
      </c>
      <c r="K13" s="469" t="s">
        <v>396</v>
      </c>
      <c r="L13" s="1080" t="s">
        <v>396</v>
      </c>
      <c r="M13" s="778" t="s">
        <v>397</v>
      </c>
      <c r="N13" s="465" t="s">
        <v>396</v>
      </c>
    </row>
    <row r="14" spans="1:14" s="7" customFormat="1" x14ac:dyDescent="0.25">
      <c r="A14" s="131">
        <f t="shared" si="0"/>
        <v>11</v>
      </c>
      <c r="B14" s="9" t="s">
        <v>164</v>
      </c>
      <c r="C14" s="102" t="s">
        <v>17</v>
      </c>
      <c r="D14" s="35">
        <v>42913</v>
      </c>
      <c r="E14" s="21">
        <f t="shared" ca="1" si="1"/>
        <v>4.6379192334017798</v>
      </c>
      <c r="F14" s="156" t="s">
        <v>165</v>
      </c>
      <c r="G14" s="157" t="s">
        <v>74</v>
      </c>
      <c r="H14" s="158">
        <v>1968</v>
      </c>
      <c r="I14" s="179">
        <v>110</v>
      </c>
      <c r="J14" s="185">
        <v>66</v>
      </c>
      <c r="K14" s="779" t="s">
        <v>396</v>
      </c>
      <c r="L14" s="1079" t="s">
        <v>396</v>
      </c>
      <c r="M14" s="780" t="s">
        <v>396</v>
      </c>
      <c r="N14" s="781" t="s">
        <v>396</v>
      </c>
    </row>
    <row r="15" spans="1:14" s="7" customFormat="1" x14ac:dyDescent="0.25">
      <c r="A15" s="131">
        <f t="shared" si="0"/>
        <v>12</v>
      </c>
      <c r="B15" s="9" t="s">
        <v>185</v>
      </c>
      <c r="C15" s="102" t="s">
        <v>186</v>
      </c>
      <c r="D15" s="35">
        <v>43089</v>
      </c>
      <c r="E15" s="21">
        <f t="shared" ca="1" si="1"/>
        <v>4.1560574948665296</v>
      </c>
      <c r="F15" s="156" t="s">
        <v>187</v>
      </c>
      <c r="G15" s="157" t="s">
        <v>110</v>
      </c>
      <c r="H15" s="158">
        <v>1395</v>
      </c>
      <c r="I15" s="179">
        <v>110</v>
      </c>
      <c r="J15" s="185">
        <v>50</v>
      </c>
      <c r="K15" s="782" t="s">
        <v>398</v>
      </c>
      <c r="L15" s="783"/>
      <c r="M15" s="783"/>
      <c r="N15" s="786" t="s">
        <v>396</v>
      </c>
    </row>
    <row r="16" spans="1:14" s="7" customFormat="1" x14ac:dyDescent="0.25">
      <c r="A16" s="131">
        <f t="shared" si="0"/>
        <v>13</v>
      </c>
      <c r="B16" s="435" t="s">
        <v>215</v>
      </c>
      <c r="C16" s="102" t="s">
        <v>218</v>
      </c>
      <c r="D16" s="35">
        <v>43160</v>
      </c>
      <c r="E16" s="21">
        <f t="shared" ca="1" si="1"/>
        <v>3.9616700889801506</v>
      </c>
      <c r="F16" s="156" t="s">
        <v>288</v>
      </c>
      <c r="G16" s="157" t="s">
        <v>74</v>
      </c>
      <c r="H16" s="158">
        <v>5193</v>
      </c>
      <c r="I16" s="179">
        <v>140</v>
      </c>
      <c r="J16" s="185">
        <v>160</v>
      </c>
      <c r="K16" s="784" t="s">
        <v>399</v>
      </c>
      <c r="L16" s="785"/>
      <c r="M16" s="780" t="s">
        <v>397</v>
      </c>
      <c r="N16" s="781" t="s">
        <v>396</v>
      </c>
    </row>
    <row r="17" spans="1:14" s="7" customFormat="1" x14ac:dyDescent="0.25">
      <c r="A17" s="131">
        <f t="shared" si="0"/>
        <v>14</v>
      </c>
      <c r="B17" s="435" t="s">
        <v>393</v>
      </c>
      <c r="C17" s="102" t="s">
        <v>34</v>
      </c>
      <c r="D17" s="35">
        <v>43339</v>
      </c>
      <c r="E17" s="21">
        <f t="shared" ca="1" si="1"/>
        <v>3.4715947980835042</v>
      </c>
      <c r="F17" s="156" t="s">
        <v>394</v>
      </c>
      <c r="G17" s="157"/>
      <c r="H17" s="158"/>
      <c r="I17" s="179"/>
      <c r="J17" s="185"/>
      <c r="K17" s="779" t="s">
        <v>396</v>
      </c>
      <c r="L17" s="780" t="s">
        <v>397</v>
      </c>
      <c r="M17" s="780" t="s">
        <v>397</v>
      </c>
      <c r="N17" s="781" t="s">
        <v>397</v>
      </c>
    </row>
    <row r="18" spans="1:14" s="7" customFormat="1" x14ac:dyDescent="0.25">
      <c r="A18" s="131">
        <f t="shared" si="0"/>
        <v>15</v>
      </c>
      <c r="B18" s="1045" t="s">
        <v>594</v>
      </c>
      <c r="C18" s="1046" t="s">
        <v>597</v>
      </c>
      <c r="D18" s="1047">
        <v>43557</v>
      </c>
      <c r="E18" s="1048">
        <f t="shared" ca="1" si="1"/>
        <v>2.8747433264887063</v>
      </c>
      <c r="F18" s="1049" t="s">
        <v>596</v>
      </c>
      <c r="G18" s="1050" t="s">
        <v>110</v>
      </c>
      <c r="H18" s="1051">
        <v>1498</v>
      </c>
      <c r="I18" s="1052">
        <v>110</v>
      </c>
      <c r="J18" s="1053">
        <v>50</v>
      </c>
      <c r="K18" s="782" t="s">
        <v>398</v>
      </c>
      <c r="L18" s="783"/>
      <c r="M18" s="783"/>
      <c r="N18" s="1054" t="s">
        <v>396</v>
      </c>
    </row>
    <row r="19" spans="1:14" s="7" customFormat="1" x14ac:dyDescent="0.25">
      <c r="A19" s="131">
        <f t="shared" si="0"/>
        <v>16</v>
      </c>
      <c r="B19" s="1045" t="s">
        <v>713</v>
      </c>
      <c r="C19" s="1046" t="s">
        <v>39</v>
      </c>
      <c r="D19" s="1047">
        <f>Prehľad!F21</f>
        <v>39944</v>
      </c>
      <c r="E19" s="1048">
        <f ca="1">(TODAY()-D19)/365.25</f>
        <v>12.766598220396988</v>
      </c>
      <c r="F19" s="1049" t="s">
        <v>717</v>
      </c>
      <c r="G19" s="1050" t="s">
        <v>110</v>
      </c>
      <c r="H19" s="1051">
        <v>3168</v>
      </c>
      <c r="I19" s="1052">
        <v>184</v>
      </c>
      <c r="J19" s="1053">
        <v>68</v>
      </c>
      <c r="K19" s="779" t="s">
        <v>396</v>
      </c>
      <c r="L19" s="780" t="s">
        <v>397</v>
      </c>
      <c r="M19" s="780" t="s">
        <v>397</v>
      </c>
      <c r="N19" s="781" t="s">
        <v>396</v>
      </c>
    </row>
    <row r="20" spans="1:14" s="7" customFormat="1" x14ac:dyDescent="0.25">
      <c r="A20" s="131">
        <f t="shared" si="0"/>
        <v>17</v>
      </c>
      <c r="B20" s="1045" t="str">
        <f>Prehľad!B22</f>
        <v>KE270MZ</v>
      </c>
      <c r="C20" s="1046" t="str">
        <f>Prehľad!C22</f>
        <v>PEUGEOT - BOXER mikrobus</v>
      </c>
      <c r="D20" s="1047">
        <f>Prehľad!F22</f>
        <v>44004</v>
      </c>
      <c r="E20" s="1048">
        <f t="shared" ca="1" si="1"/>
        <v>1.6509240246406571</v>
      </c>
      <c r="F20" s="1049" t="str">
        <f>Prehľad!BG22</f>
        <v>VF3YBCNPB12N83088</v>
      </c>
      <c r="G20" s="1050" t="str">
        <f>Prehľad!BH22</f>
        <v>NM</v>
      </c>
      <c r="H20" s="1051">
        <f>Prehľad!BI22</f>
        <v>2179</v>
      </c>
      <c r="I20" s="1052">
        <f>Prehľad!BJ22</f>
        <v>121</v>
      </c>
      <c r="J20" s="1053">
        <f>Prehľad!BK22</f>
        <v>90</v>
      </c>
      <c r="K20" s="1525" t="s">
        <v>396</v>
      </c>
      <c r="L20" s="1526" t="s">
        <v>396</v>
      </c>
      <c r="M20" s="1526" t="s">
        <v>396</v>
      </c>
      <c r="N20" s="1054" t="s">
        <v>396</v>
      </c>
    </row>
    <row r="21" spans="1:14" s="7" customFormat="1" x14ac:dyDescent="0.25">
      <c r="A21" s="219"/>
      <c r="B21" s="1045"/>
      <c r="C21" s="1046"/>
      <c r="D21" s="1047"/>
      <c r="E21" s="1048"/>
      <c r="F21" s="1049"/>
      <c r="G21" s="1050"/>
      <c r="H21" s="1051"/>
      <c r="I21" s="1052"/>
      <c r="J21" s="1053"/>
      <c r="K21" s="1525"/>
      <c r="L21" s="1526"/>
      <c r="M21" s="1526"/>
      <c r="N21" s="1054"/>
    </row>
    <row r="22" spans="1:14" s="7" customFormat="1" x14ac:dyDescent="0.25">
      <c r="A22" s="219">
        <f>A20+1</f>
        <v>18</v>
      </c>
      <c r="B22" s="1045" t="s">
        <v>706</v>
      </c>
      <c r="C22" s="1046" t="s">
        <v>1325</v>
      </c>
      <c r="D22" s="1047" t="s">
        <v>1326</v>
      </c>
      <c r="E22" s="1048" t="e">
        <f t="shared" ca="1" si="1"/>
        <v>#VALUE!</v>
      </c>
      <c r="F22" s="1049" t="s">
        <v>1326</v>
      </c>
      <c r="G22" s="1050" t="s">
        <v>74</v>
      </c>
      <c r="H22" s="1051" t="s">
        <v>1326</v>
      </c>
      <c r="I22" s="1052" t="s">
        <v>1326</v>
      </c>
      <c r="J22" s="1053" t="s">
        <v>1326</v>
      </c>
      <c r="K22" s="1525" t="s">
        <v>396</v>
      </c>
      <c r="L22" s="1526" t="s">
        <v>397</v>
      </c>
      <c r="M22" s="1526" t="s">
        <v>397</v>
      </c>
      <c r="N22" s="1054" t="s">
        <v>396</v>
      </c>
    </row>
    <row r="23" spans="1:14" s="7" customFormat="1" x14ac:dyDescent="0.25">
      <c r="A23" s="219">
        <f>A21+1</f>
        <v>1</v>
      </c>
      <c r="B23" s="1045" t="s">
        <v>707</v>
      </c>
      <c r="C23" s="1046" t="s">
        <v>1327</v>
      </c>
      <c r="D23" s="1047" t="s">
        <v>1326</v>
      </c>
      <c r="E23" s="1048" t="e">
        <f t="shared" ca="1" si="1"/>
        <v>#VALUE!</v>
      </c>
      <c r="F23" s="1049" t="s">
        <v>1326</v>
      </c>
      <c r="G23" s="1050" t="s">
        <v>1328</v>
      </c>
      <c r="H23" s="1051" t="s">
        <v>581</v>
      </c>
      <c r="I23" s="1052" t="s">
        <v>758</v>
      </c>
      <c r="J23" s="1053" t="s">
        <v>1328</v>
      </c>
      <c r="K23" s="1525" t="s">
        <v>396</v>
      </c>
      <c r="L23" s="1526" t="s">
        <v>397</v>
      </c>
      <c r="M23" s="1526" t="s">
        <v>397</v>
      </c>
      <c r="N23" s="1054" t="s">
        <v>397</v>
      </c>
    </row>
    <row r="24" spans="1:14" s="7" customFormat="1" x14ac:dyDescent="0.25">
      <c r="A24" s="219"/>
      <c r="B24" s="1045"/>
      <c r="C24" s="1046"/>
      <c r="D24" s="1047"/>
      <c r="E24" s="1048"/>
      <c r="F24" s="1049"/>
      <c r="G24" s="1050"/>
      <c r="H24" s="1051"/>
      <c r="I24" s="1052"/>
      <c r="J24" s="1053"/>
      <c r="K24" s="1525"/>
      <c r="L24" s="1526"/>
      <c r="M24" s="1526"/>
      <c r="N24" s="1054"/>
    </row>
    <row r="25" spans="1:14" x14ac:dyDescent="0.25">
      <c r="A25" s="226"/>
      <c r="B25" s="103"/>
      <c r="C25" s="104"/>
      <c r="D25" s="37"/>
      <c r="E25" s="23"/>
      <c r="F25" s="162"/>
      <c r="G25" s="163"/>
      <c r="H25" s="164"/>
      <c r="I25" s="181"/>
      <c r="J25" s="187"/>
      <c r="K25" s="498"/>
      <c r="L25" s="482"/>
      <c r="M25" s="482"/>
      <c r="N25" s="483"/>
    </row>
    <row r="26" spans="1:14" x14ac:dyDescent="0.25">
      <c r="D26" s="535"/>
      <c r="E26" s="789">
        <v>19.335386721423681</v>
      </c>
    </row>
    <row r="27" spans="1:14" x14ac:dyDescent="0.25">
      <c r="D27" s="535"/>
      <c r="E27" s="788">
        <v>13.414594265723629</v>
      </c>
    </row>
    <row r="28" spans="1:14" x14ac:dyDescent="0.25">
      <c r="K28" s="796" t="s">
        <v>327</v>
      </c>
      <c r="L28" s="1985" t="s">
        <v>326</v>
      </c>
      <c r="M28" s="1985"/>
      <c r="N28" s="1985"/>
    </row>
    <row r="29" spans="1:14" x14ac:dyDescent="0.25">
      <c r="L29" s="1985" t="s">
        <v>1161</v>
      </c>
      <c r="M29" s="1985"/>
      <c r="N29" s="1985"/>
    </row>
    <row r="30" spans="1:14" x14ac:dyDescent="0.25">
      <c r="A30" s="580"/>
      <c r="L30" s="1986">
        <f ca="1">TODAY()</f>
        <v>44607</v>
      </c>
      <c r="M30" s="1985"/>
      <c r="N30" s="1985"/>
    </row>
  </sheetData>
  <sortState ref="A3:P25">
    <sortCondition descending="1" ref="E3:E25"/>
  </sortState>
  <mergeCells count="14">
    <mergeCell ref="L30:N30"/>
    <mergeCell ref="I2:I3"/>
    <mergeCell ref="J2:J3"/>
    <mergeCell ref="L29:N29"/>
    <mergeCell ref="L28:N28"/>
    <mergeCell ref="K2:N2"/>
    <mergeCell ref="F2:F3"/>
    <mergeCell ref="G2:G3"/>
    <mergeCell ref="H2:H3"/>
    <mergeCell ref="A2:A3"/>
    <mergeCell ref="B2:B3"/>
    <mergeCell ref="C2:C3"/>
    <mergeCell ref="D2:D3"/>
    <mergeCell ref="E2:E3"/>
  </mergeCells>
  <conditionalFormatting sqref="E16:E24">
    <cfRule type="cellIs" dxfId="438" priority="57" operator="between">
      <formula>6</formula>
      <formula>10</formula>
    </cfRule>
    <cfRule type="cellIs" dxfId="437" priority="58" operator="between">
      <formula>10.01</formula>
      <formula>15</formula>
    </cfRule>
  </conditionalFormatting>
  <conditionalFormatting sqref="E16:E24">
    <cfRule type="cellIs" dxfId="436" priority="59" operator="greaterThan">
      <formula>15.01</formula>
    </cfRule>
  </conditionalFormatting>
  <conditionalFormatting sqref="E4:E25">
    <cfRule type="cellIs" dxfId="435" priority="440" operator="between">
      <formula>6</formula>
      <formula>$E$27</formula>
    </cfRule>
    <cfRule type="cellIs" dxfId="434" priority="441" operator="between">
      <formula>$E$27+0.01</formula>
      <formula>$E$26</formula>
    </cfRule>
    <cfRule type="cellIs" dxfId="433" priority="442" operator="greaterThan">
      <formula>$E$26+0.01</formula>
    </cfRule>
  </conditionalFormatting>
  <pageMargins left="0.39370078740157483" right="0.39370078740157483" top="0.39370078740157483" bottom="0.39370078740157483" header="0" footer="0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92D050"/>
  </sheetPr>
  <dimension ref="A1:AT121"/>
  <sheetViews>
    <sheetView workbookViewId="0">
      <pane xSplit="1" ySplit="8" topLeftCell="E21" activePane="bottomRight" state="frozen"/>
      <selection activeCell="L43" sqref="L43:M43"/>
      <selection pane="topRight" activeCell="L43" sqref="L43:M43"/>
      <selection pane="bottomLeft" activeCell="L43" sqref="L43:M43"/>
      <selection pane="bottomRight" activeCell="L43" sqref="L43:M43"/>
    </sheetView>
  </sheetViews>
  <sheetFormatPr defaultRowHeight="15.75" x14ac:dyDescent="0.25"/>
  <cols>
    <col min="1" max="1" width="18" style="52" customWidth="1"/>
    <col min="2" max="2" width="9.37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1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16.125" style="478" customWidth="1"/>
    <col min="28" max="28" width="10.375" style="51" customWidth="1"/>
    <col min="29" max="29" width="9.125" style="478" customWidth="1"/>
    <col min="30" max="30" width="16.1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6" width="10.75" style="61" customWidth="1"/>
    <col min="37" max="38" width="9" style="1"/>
    <col min="39" max="39" width="9" style="1476"/>
    <col min="40" max="40" width="9" style="1475"/>
    <col min="41" max="41" width="9" style="1485"/>
    <col min="42" max="42" width="9" style="1466"/>
    <col min="44" max="16384" width="9" style="1"/>
  </cols>
  <sheetData>
    <row r="1" spans="1:42" s="1165" customFormat="1" ht="18.75" customHeight="1" thickTop="1" thickBot="1" x14ac:dyDescent="0.3">
      <c r="A1" s="1166" t="s">
        <v>594</v>
      </c>
      <c r="B1" s="2288" t="s">
        <v>186</v>
      </c>
      <c r="C1" s="2288"/>
      <c r="D1" s="2288"/>
      <c r="E1" s="2288"/>
      <c r="F1" s="2288"/>
      <c r="G1" s="2288"/>
      <c r="H1" s="2243" t="s">
        <v>1163</v>
      </c>
      <c r="I1" s="2244"/>
      <c r="J1" s="1572">
        <v>50647</v>
      </c>
      <c r="K1" s="1573">
        <f>J1-B4</f>
        <v>50642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90" t="s">
        <v>171</v>
      </c>
      <c r="AM1" s="1483"/>
      <c r="AN1" s="1495"/>
      <c r="AO1" s="1484"/>
      <c r="AP1" s="1490"/>
    </row>
    <row r="2" spans="1:42" s="561" customFormat="1" ht="16.5" thickTop="1" x14ac:dyDescent="0.25">
      <c r="A2" s="1167" t="s">
        <v>927</v>
      </c>
      <c r="B2" s="1251">
        <v>43558</v>
      </c>
      <c r="C2" s="1251">
        <v>43558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81"/>
      <c r="AM2" s="1478"/>
      <c r="AN2" s="1496"/>
      <c r="AO2" s="734"/>
      <c r="AP2" s="638"/>
    </row>
    <row r="3" spans="1:42" s="561" customFormat="1" x14ac:dyDescent="0.25">
      <c r="A3" s="1167" t="s">
        <v>870</v>
      </c>
      <c r="B3" s="2264">
        <v>0</v>
      </c>
      <c r="C3" s="2264"/>
      <c r="D3" s="1238" t="s">
        <v>874</v>
      </c>
      <c r="E3" s="1169"/>
      <c r="F3" s="1175">
        <f ca="1">B3/G2/12</f>
        <v>0</v>
      </c>
      <c r="G3" s="2267" t="s">
        <v>875</v>
      </c>
      <c r="H3" s="2267"/>
      <c r="I3" s="1352">
        <f ca="1">F3/(I4/((TODAY()-C2)/365.25*12))</f>
        <v>0</v>
      </c>
      <c r="J3" s="1171">
        <f ca="1">I3/$F$5</f>
        <v>0</v>
      </c>
      <c r="K3" s="1375">
        <f ca="1">(B3/G2/365.25)/(I4/(TODAY()-C2))</f>
        <v>0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2.2148394241417496E-3</v>
      </c>
      <c r="AF3" s="2270"/>
      <c r="AG3" s="2273"/>
      <c r="AH3" s="2276"/>
      <c r="AI3" s="2280"/>
      <c r="AJ3" s="2281"/>
      <c r="AM3" s="1478"/>
      <c r="AN3" s="1496"/>
      <c r="AO3" s="734"/>
      <c r="AP3" s="638"/>
    </row>
    <row r="4" spans="1:42" s="561" customFormat="1" ht="19.5" thickBot="1" x14ac:dyDescent="0.3">
      <c r="A4" s="1167" t="s">
        <v>869</v>
      </c>
      <c r="B4" s="2283">
        <v>5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54185</v>
      </c>
      <c r="G4" s="1172" t="s">
        <v>876</v>
      </c>
      <c r="H4" s="1173"/>
      <c r="I4" s="1224">
        <f>F4-B4</f>
        <v>54180</v>
      </c>
      <c r="J4" s="1227">
        <f ca="1">I3/F99</f>
        <v>0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>
        <f ca="1">AE3/$F$5</f>
        <v>6.3277816797249545E-3</v>
      </c>
      <c r="AF4" s="2270"/>
      <c r="AG4" s="2273"/>
      <c r="AH4" s="2276"/>
      <c r="AI4" s="2280"/>
      <c r="AJ4" s="2281"/>
      <c r="AM4" s="1478"/>
      <c r="AN4" s="1496"/>
      <c r="AO4" s="734"/>
      <c r="AP4" s="638"/>
    </row>
    <row r="5" spans="1:42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I3+C6+F6+I6+K6+M6+O6+Q6+S6+V6+Y6+AB6+AE6</f>
        <v>0.35001830597891626</v>
      </c>
      <c r="G5" s="1211">
        <f ca="1">J3+C7+F7+I7+K7+M7+O7+Q7+S7+V7+Y7+AB7+AE7</f>
        <v>0.99999999999999989</v>
      </c>
      <c r="H5" s="1380">
        <f>B3+C8+F8+I8+K8+M8+O8+Q8+S8+AE5</f>
        <v>18675.812000000002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120</v>
      </c>
      <c r="AF5" s="2270"/>
      <c r="AG5" s="2273"/>
      <c r="AH5" s="2276"/>
      <c r="AI5" s="2280"/>
      <c r="AJ5" s="2281"/>
      <c r="AM5" s="1478"/>
      <c r="AN5" s="1496"/>
      <c r="AO5" s="734"/>
      <c r="AP5" s="638"/>
    </row>
    <row r="6" spans="1:42" s="561" customFormat="1" x14ac:dyDescent="0.25">
      <c r="A6" s="1178" t="s">
        <v>877</v>
      </c>
      <c r="B6" s="1179"/>
      <c r="C6" s="1180">
        <f>C8/$K$1</f>
        <v>8.1452746731961595E-2</v>
      </c>
      <c r="D6" s="2252" t="s">
        <v>879</v>
      </c>
      <c r="E6" s="2246"/>
      <c r="F6" s="1180">
        <f>F8/$I$4</f>
        <v>4.4998154300479884E-3</v>
      </c>
      <c r="G6" s="2252" t="s">
        <v>881</v>
      </c>
      <c r="H6" s="2246"/>
      <c r="I6" s="1180">
        <f>I8/$I$4</f>
        <v>1.3816906607604282E-3</v>
      </c>
      <c r="J6" s="1181" t="s">
        <v>898</v>
      </c>
      <c r="K6" s="1180">
        <f>K8/$I$4</f>
        <v>9.2307124400147638E-4</v>
      </c>
      <c r="L6" s="1181" t="s">
        <v>883</v>
      </c>
      <c r="M6" s="1180">
        <f>M8/$I$4</f>
        <v>1.1329088224437048E-2</v>
      </c>
      <c r="N6" s="1181" t="s">
        <v>908</v>
      </c>
      <c r="O6" s="1180">
        <f>O8/$I$4</f>
        <v>2.7685492801771874E-3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0.24544850498338877</v>
      </c>
      <c r="T6" s="2252" t="s">
        <v>886</v>
      </c>
      <c r="U6" s="2246"/>
      <c r="V6" s="1180">
        <f>V8/$I$4</f>
        <v>0</v>
      </c>
      <c r="W6" s="2252" t="s">
        <v>912</v>
      </c>
      <c r="X6" s="2246"/>
      <c r="Y6" s="1180">
        <f>Y8/$I$4</f>
        <v>2.2148394241417496E-3</v>
      </c>
      <c r="Z6" s="2255" t="s">
        <v>889</v>
      </c>
      <c r="AA6" s="2256"/>
      <c r="AB6" s="1180">
        <f>AB8/$I$4</f>
        <v>0</v>
      </c>
      <c r="AC6" s="2252" t="s">
        <v>891</v>
      </c>
      <c r="AD6" s="2246"/>
      <c r="AE6" s="1182">
        <f>AE8/$I$4</f>
        <v>0</v>
      </c>
      <c r="AF6" s="2269"/>
      <c r="AG6" s="2273"/>
      <c r="AH6" s="2277"/>
      <c r="AI6" s="2281"/>
      <c r="AJ6" s="2281"/>
      <c r="AM6" s="1478"/>
      <c r="AN6" s="1496"/>
      <c r="AO6" s="734"/>
      <c r="AP6" s="638"/>
    </row>
    <row r="7" spans="1:42" s="561" customFormat="1" x14ac:dyDescent="0.25">
      <c r="A7" s="1192" t="s">
        <v>896</v>
      </c>
      <c r="B7" s="1193">
        <f>B8/K1*100</f>
        <v>6.3787370167055029</v>
      </c>
      <c r="C7" s="1183">
        <f ca="1">C6/$F$5</f>
        <v>0.23270996213800313</v>
      </c>
      <c r="D7" s="1184"/>
      <c r="E7" s="1185"/>
      <c r="F7" s="1183">
        <f ca="1">F6/$F$5</f>
        <v>1.28559431126412E-2</v>
      </c>
      <c r="G7" s="1184"/>
      <c r="H7" s="1185"/>
      <c r="I7" s="1183">
        <f ca="1">I6/$F$5</f>
        <v>3.9474811378684173E-3</v>
      </c>
      <c r="J7" s="1243">
        <f>COUNT(J9:J97)</f>
        <v>6</v>
      </c>
      <c r="K7" s="1183">
        <f ca="1">K6/$F$5</f>
        <v>2.6372084780533697E-3</v>
      </c>
      <c r="L7" s="1184"/>
      <c r="M7" s="1183">
        <f ca="1">M6/$F$5</f>
        <v>3.2367130606933081E-2</v>
      </c>
      <c r="N7" s="1184"/>
      <c r="O7" s="1183">
        <f ca="1">O6/$F$5</f>
        <v>7.9097270996561931E-3</v>
      </c>
      <c r="P7" s="1184"/>
      <c r="Q7" s="1183">
        <f ca="1">Q6/$F$5</f>
        <v>0</v>
      </c>
      <c r="R7" s="1223">
        <v>1543.75</v>
      </c>
      <c r="S7" s="1183">
        <f ca="1">S6/$F$5</f>
        <v>0.70124476574711958</v>
      </c>
      <c r="T7" s="1184"/>
      <c r="U7" s="1185"/>
      <c r="V7" s="1183">
        <f ca="1">V6/$F$5</f>
        <v>0</v>
      </c>
      <c r="W7" s="1184"/>
      <c r="X7" s="1185"/>
      <c r="Y7" s="1183">
        <f ca="1">Y6/$F$5</f>
        <v>6.3277816797249545E-3</v>
      </c>
      <c r="Z7" s="1184"/>
      <c r="AA7" s="1185"/>
      <c r="AB7" s="1183">
        <f ca="1">AB6/$F$5</f>
        <v>0</v>
      </c>
      <c r="AC7" s="1184"/>
      <c r="AD7" s="1185"/>
      <c r="AE7" s="1186">
        <f ca="1">AE6/$F$5</f>
        <v>0</v>
      </c>
      <c r="AF7" s="2269"/>
      <c r="AG7" s="2273"/>
      <c r="AH7" s="2277"/>
      <c r="AI7" s="2281"/>
      <c r="AJ7" s="2280"/>
      <c r="AM7" s="1478"/>
      <c r="AN7" s="1496"/>
      <c r="AO7" s="734"/>
      <c r="AP7" s="638"/>
    </row>
    <row r="8" spans="1:42" x14ac:dyDescent="0.25">
      <c r="A8" s="1191" t="s">
        <v>878</v>
      </c>
      <c r="B8" s="1220">
        <f>SUM(B9:B97)</f>
        <v>3230.3200000000011</v>
      </c>
      <c r="C8" s="1156">
        <f>SUM(C9:C97)</f>
        <v>4124.9299999999994</v>
      </c>
      <c r="D8" s="2251" t="s">
        <v>880</v>
      </c>
      <c r="E8" s="2250"/>
      <c r="F8" s="1158">
        <f>SUM(F9:F97)</f>
        <v>243.8</v>
      </c>
      <c r="G8" s="2251" t="s">
        <v>882</v>
      </c>
      <c r="H8" s="2250"/>
      <c r="I8" s="1158">
        <f>SUM(I9:I97)</f>
        <v>74.86</v>
      </c>
      <c r="J8" s="1157" t="s">
        <v>899</v>
      </c>
      <c r="K8" s="1158">
        <f>SUM(K9:K97)</f>
        <v>50.011999999999993</v>
      </c>
      <c r="L8" s="1157" t="s">
        <v>884</v>
      </c>
      <c r="M8" s="1158">
        <f>SUM(M9:M97)</f>
        <v>613.80999999999926</v>
      </c>
      <c r="N8" s="1157" t="s">
        <v>909</v>
      </c>
      <c r="O8" s="1158">
        <f>SUM(O9:O97)</f>
        <v>150</v>
      </c>
      <c r="P8" s="1157" t="s">
        <v>911</v>
      </c>
      <c r="Q8" s="1158">
        <f>SUM(Q9:Q97)</f>
        <v>0</v>
      </c>
      <c r="R8" s="1157" t="s">
        <v>907</v>
      </c>
      <c r="S8" s="1158">
        <f>SUM(S9:S97)</f>
        <v>13298.400000000003</v>
      </c>
      <c r="T8" s="2251" t="s">
        <v>887</v>
      </c>
      <c r="U8" s="2250"/>
      <c r="V8" s="1158">
        <f>SUM(V9:V97)</f>
        <v>0</v>
      </c>
      <c r="W8" s="2251" t="s">
        <v>913</v>
      </c>
      <c r="X8" s="2250"/>
      <c r="Y8" s="1158">
        <f>SUM(Y9:Y97)</f>
        <v>120</v>
      </c>
      <c r="Z8" s="2251" t="s">
        <v>890</v>
      </c>
      <c r="AA8" s="2250"/>
      <c r="AB8" s="1158">
        <f>SUM(AB9:AB97)</f>
        <v>0</v>
      </c>
      <c r="AC8" s="2251" t="s">
        <v>892</v>
      </c>
      <c r="AD8" s="2250"/>
      <c r="AE8" s="1176">
        <f>SUM(AE9:AE97)</f>
        <v>0</v>
      </c>
      <c r="AF8" s="2271"/>
      <c r="AG8" s="2274"/>
      <c r="AH8" s="2278"/>
      <c r="AI8" s="2282"/>
      <c r="AJ8" s="343">
        <f>SUM(AJ9:AJ97)</f>
        <v>0</v>
      </c>
      <c r="AK8" s="54">
        <f>SUM(C9:C97)/SUM(B9:B97)</f>
        <v>1.27694160330865</v>
      </c>
      <c r="AO8" s="1476">
        <v>120000</v>
      </c>
      <c r="AP8" s="1466">
        <f>AO8/AM57</f>
        <v>2500</v>
      </c>
    </row>
    <row r="9" spans="1:42" x14ac:dyDescent="0.25">
      <c r="A9" s="64">
        <v>43585</v>
      </c>
      <c r="B9" s="65">
        <v>150.41</v>
      </c>
      <c r="C9" s="66">
        <v>207.39</v>
      </c>
      <c r="D9" s="67"/>
      <c r="E9" s="68"/>
      <c r="F9" s="66"/>
      <c r="G9" s="67">
        <v>43939</v>
      </c>
      <c r="H9" s="68" t="s">
        <v>510</v>
      </c>
      <c r="I9" s="66">
        <f>9.5+4.4+13.4+8.8</f>
        <v>36.1</v>
      </c>
      <c r="J9" s="69">
        <v>43586</v>
      </c>
      <c r="K9" s="66">
        <v>10.99</v>
      </c>
      <c r="L9" s="1643">
        <v>43558</v>
      </c>
      <c r="M9" s="66">
        <v>331.92</v>
      </c>
      <c r="N9" s="1152">
        <v>43622</v>
      </c>
      <c r="O9" s="66">
        <v>50</v>
      </c>
      <c r="P9" s="64"/>
      <c r="Q9" s="66"/>
      <c r="R9" s="1643">
        <v>43558</v>
      </c>
      <c r="S9" s="66">
        <v>443.28</v>
      </c>
      <c r="T9" s="1152"/>
      <c r="U9" s="1198"/>
      <c r="V9" s="66"/>
      <c r="W9" s="1152">
        <v>43588</v>
      </c>
      <c r="X9" s="1198" t="s">
        <v>923</v>
      </c>
      <c r="Y9" s="66">
        <v>40</v>
      </c>
      <c r="Z9" s="1152"/>
      <c r="AA9" s="1198"/>
      <c r="AB9" s="66"/>
      <c r="AC9" s="1152"/>
      <c r="AD9" s="1198"/>
      <c r="AE9" s="66"/>
      <c r="AF9" s="1118">
        <v>0.38</v>
      </c>
      <c r="AG9" s="1119">
        <v>5.77</v>
      </c>
      <c r="AH9" s="1117">
        <v>2607</v>
      </c>
      <c r="AI9" s="237">
        <v>53</v>
      </c>
      <c r="AJ9" s="237"/>
      <c r="AK9" s="51">
        <f t="shared" ref="AK9:AK44" si="0">C9/B9</f>
        <v>1.3788311947343925</v>
      </c>
      <c r="AL9" s="51">
        <f t="shared" ref="AL9:AL44" si="1">AK9-$AK$8</f>
        <v>0.1018895914257425</v>
      </c>
      <c r="AO9" s="1476"/>
    </row>
    <row r="10" spans="1:42" x14ac:dyDescent="0.25">
      <c r="A10" s="71">
        <v>43616</v>
      </c>
      <c r="B10" s="72">
        <v>175.97</v>
      </c>
      <c r="C10" s="73">
        <v>248</v>
      </c>
      <c r="D10" s="345"/>
      <c r="E10" s="346"/>
      <c r="F10" s="347"/>
      <c r="G10" s="147">
        <v>43704</v>
      </c>
      <c r="H10" s="75" t="s">
        <v>510</v>
      </c>
      <c r="I10" s="73">
        <f>3*4.2</f>
        <v>12.600000000000001</v>
      </c>
      <c r="J10" s="234">
        <v>43769</v>
      </c>
      <c r="K10" s="73">
        <v>13.01</v>
      </c>
      <c r="L10" s="1609">
        <v>43570</v>
      </c>
      <c r="M10" s="73">
        <v>4.6900000000000004</v>
      </c>
      <c r="N10" s="894"/>
      <c r="O10" s="73"/>
      <c r="P10" s="71"/>
      <c r="Q10" s="73"/>
      <c r="R10" s="1609">
        <v>43588</v>
      </c>
      <c r="S10" s="73">
        <v>443.28</v>
      </c>
      <c r="T10" s="894"/>
      <c r="U10" s="1199"/>
      <c r="V10" s="73"/>
      <c r="W10" s="894"/>
      <c r="X10" s="1199"/>
      <c r="Y10" s="73"/>
      <c r="Z10" s="894"/>
      <c r="AA10" s="1199"/>
      <c r="AB10" s="73"/>
      <c r="AC10" s="894"/>
      <c r="AD10" s="1199"/>
      <c r="AE10" s="73"/>
      <c r="AF10" s="1112">
        <v>0.29658391473697721</v>
      </c>
      <c r="AG10" s="1113">
        <v>5.98</v>
      </c>
      <c r="AH10" s="1110">
        <v>2854</v>
      </c>
      <c r="AI10" s="238">
        <v>47</v>
      </c>
      <c r="AJ10" s="238"/>
      <c r="AK10" s="51">
        <f t="shared" si="0"/>
        <v>1.409331135989089</v>
      </c>
      <c r="AL10" s="51">
        <f t="shared" si="1"/>
        <v>0.13238953268043896</v>
      </c>
      <c r="AM10" s="1476">
        <v>1</v>
      </c>
      <c r="AN10" s="1475">
        <f>$AP$8</f>
        <v>2500</v>
      </c>
      <c r="AO10" s="1465">
        <f>SUM($AH$9:AH10)</f>
        <v>5461</v>
      </c>
      <c r="AP10" s="1466">
        <f t="shared" ref="AP10:AP57" si="2">AO10-AN10</f>
        <v>2961</v>
      </c>
    </row>
    <row r="11" spans="1:42" x14ac:dyDescent="0.25">
      <c r="A11" s="71">
        <v>43646</v>
      </c>
      <c r="B11" s="72">
        <v>240.31</v>
      </c>
      <c r="C11" s="73">
        <v>327.47000000000003</v>
      </c>
      <c r="D11" s="345"/>
      <c r="E11" s="346"/>
      <c r="F11" s="347"/>
      <c r="G11" s="147"/>
      <c r="H11" s="75"/>
      <c r="I11" s="73"/>
      <c r="J11" s="431">
        <v>43859</v>
      </c>
      <c r="K11" s="1675">
        <f>5.42*1.2</f>
        <v>6.5039999999999996</v>
      </c>
      <c r="L11" s="1609">
        <v>43617</v>
      </c>
      <c r="M11" s="73">
        <v>8.4</v>
      </c>
      <c r="N11" s="894"/>
      <c r="O11" s="73"/>
      <c r="P11" s="71"/>
      <c r="Q11" s="73"/>
      <c r="R11" s="1609">
        <v>43619</v>
      </c>
      <c r="S11" s="73">
        <v>443.28</v>
      </c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0.27</v>
      </c>
      <c r="AG11" s="1113">
        <v>6.05</v>
      </c>
      <c r="AH11" s="1110">
        <v>3911</v>
      </c>
      <c r="AI11" s="238">
        <v>50</v>
      </c>
      <c r="AJ11" s="238"/>
      <c r="AK11" s="51">
        <f t="shared" si="0"/>
        <v>1.3626981815155426</v>
      </c>
      <c r="AL11" s="51">
        <f t="shared" si="1"/>
        <v>8.5756578206892531E-2</v>
      </c>
      <c r="AM11" s="1475">
        <f t="shared" ref="AM11:AM57" si="3">AM10+1</f>
        <v>2</v>
      </c>
      <c r="AN11" s="1475">
        <f>AN10+$AP$8</f>
        <v>5000</v>
      </c>
      <c r="AO11" s="1465">
        <f>SUM($AH$9:AH11)</f>
        <v>9372</v>
      </c>
      <c r="AP11" s="1466">
        <f t="shared" si="2"/>
        <v>4372</v>
      </c>
    </row>
    <row r="12" spans="1:42" x14ac:dyDescent="0.25">
      <c r="A12" s="71">
        <v>43677</v>
      </c>
      <c r="B12" s="72">
        <v>55.3</v>
      </c>
      <c r="C12" s="73">
        <v>75.33</v>
      </c>
      <c r="D12" s="147"/>
      <c r="E12" s="75"/>
      <c r="F12" s="73"/>
      <c r="G12" s="1162"/>
      <c r="H12" s="75"/>
      <c r="I12" s="73"/>
      <c r="J12" s="234">
        <v>44084</v>
      </c>
      <c r="K12" s="1674">
        <f>5.42*1.2</f>
        <v>6.5039999999999996</v>
      </c>
      <c r="L12" s="1609">
        <v>43647</v>
      </c>
      <c r="M12" s="73">
        <v>8.4</v>
      </c>
      <c r="N12" s="894"/>
      <c r="O12" s="73"/>
      <c r="P12" s="71"/>
      <c r="Q12" s="73"/>
      <c r="R12" s="1609">
        <v>43649</v>
      </c>
      <c r="S12" s="73">
        <v>443.28</v>
      </c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0.28999999999999998</v>
      </c>
      <c r="AG12" s="1113">
        <v>6.02</v>
      </c>
      <c r="AH12" s="1110">
        <v>971</v>
      </c>
      <c r="AI12" s="238">
        <v>48</v>
      </c>
      <c r="AJ12" s="238"/>
      <c r="AK12" s="51">
        <f t="shared" si="0"/>
        <v>1.3622061482820977</v>
      </c>
      <c r="AL12" s="51">
        <f t="shared" si="1"/>
        <v>8.5264544973447709E-2</v>
      </c>
      <c r="AM12" s="1475">
        <f t="shared" si="3"/>
        <v>3</v>
      </c>
      <c r="AN12" s="1475">
        <f>AN11+$AP$8</f>
        <v>7500</v>
      </c>
      <c r="AO12" s="1465">
        <f>SUM($AH$9:AH12)</f>
        <v>10343</v>
      </c>
      <c r="AP12" s="1466">
        <f t="shared" si="2"/>
        <v>2843</v>
      </c>
    </row>
    <row r="13" spans="1:42" x14ac:dyDescent="0.25">
      <c r="A13" s="71">
        <v>43708</v>
      </c>
      <c r="B13" s="72">
        <v>25.67</v>
      </c>
      <c r="C13" s="73">
        <v>34.6</v>
      </c>
      <c r="D13" s="147"/>
      <c r="E13" s="75"/>
      <c r="F13" s="73"/>
      <c r="G13" s="1162"/>
      <c r="H13" s="75"/>
      <c r="I13" s="73"/>
      <c r="J13" s="234"/>
      <c r="K13" s="73"/>
      <c r="L13" s="1609">
        <v>43682</v>
      </c>
      <c r="M13" s="73">
        <v>8.4</v>
      </c>
      <c r="N13" s="894"/>
      <c r="O13" s="73"/>
      <c r="P13" s="71"/>
      <c r="Q13" s="73"/>
      <c r="R13" s="1609">
        <v>43680</v>
      </c>
      <c r="S13" s="73">
        <v>443.28</v>
      </c>
      <c r="T13" s="894"/>
      <c r="U13" s="1199"/>
      <c r="V13" s="73"/>
      <c r="W13" s="894"/>
      <c r="X13" s="1199"/>
      <c r="Y13" s="73"/>
      <c r="Z13" s="894"/>
      <c r="AA13" s="1199"/>
      <c r="AB13" s="73"/>
      <c r="AC13" s="894"/>
      <c r="AD13" s="1199"/>
      <c r="AE13" s="73"/>
      <c r="AF13" s="1112">
        <v>0.33</v>
      </c>
      <c r="AG13" s="1113">
        <v>6.14</v>
      </c>
      <c r="AH13" s="1110">
        <v>208</v>
      </c>
      <c r="AI13" s="238">
        <v>47</v>
      </c>
      <c r="AJ13" s="238"/>
      <c r="AK13" s="51">
        <f t="shared" si="0"/>
        <v>1.3478768991040124</v>
      </c>
      <c r="AL13" s="51">
        <f t="shared" si="1"/>
        <v>7.0935295795362396E-2</v>
      </c>
      <c r="AM13" s="1475">
        <f t="shared" si="3"/>
        <v>4</v>
      </c>
      <c r="AN13" s="1475">
        <f t="shared" ref="AN13:AN57" si="4">AN12+$AP$8</f>
        <v>10000</v>
      </c>
      <c r="AO13" s="1465">
        <f>SUM($AH$9:AH13)</f>
        <v>10551</v>
      </c>
      <c r="AP13" s="1466">
        <f t="shared" si="2"/>
        <v>551</v>
      </c>
    </row>
    <row r="14" spans="1:42" x14ac:dyDescent="0.25">
      <c r="A14" s="71">
        <v>43738</v>
      </c>
      <c r="B14" s="72">
        <v>217.61</v>
      </c>
      <c r="C14" s="73">
        <v>290.27999999999997</v>
      </c>
      <c r="D14" s="147"/>
      <c r="E14" s="75"/>
      <c r="F14" s="73"/>
      <c r="G14" s="345"/>
      <c r="H14" s="346"/>
      <c r="I14" s="347"/>
      <c r="J14" s="234"/>
      <c r="K14" s="73"/>
      <c r="L14" s="1609">
        <v>43713</v>
      </c>
      <c r="M14" s="73">
        <v>8.4</v>
      </c>
      <c r="N14" s="894"/>
      <c r="O14" s="73"/>
      <c r="P14" s="71"/>
      <c r="Q14" s="73"/>
      <c r="R14" s="1609">
        <v>43711</v>
      </c>
      <c r="S14" s="73">
        <v>443.28</v>
      </c>
      <c r="T14" s="894"/>
      <c r="U14" s="1199"/>
      <c r="V14" s="73"/>
      <c r="W14" s="894"/>
      <c r="X14" s="1199"/>
      <c r="Y14" s="73"/>
      <c r="Z14" s="894"/>
      <c r="AA14" s="1199"/>
      <c r="AB14" s="73"/>
      <c r="AC14" s="894"/>
      <c r="AD14" s="1199"/>
      <c r="AE14" s="73"/>
      <c r="AF14" s="1112">
        <v>0.28999999999999998</v>
      </c>
      <c r="AG14" s="1113">
        <v>5.99</v>
      </c>
      <c r="AH14" s="1110">
        <v>3899</v>
      </c>
      <c r="AI14" s="238">
        <v>47</v>
      </c>
      <c r="AJ14" s="238"/>
      <c r="AK14" s="51">
        <f t="shared" si="0"/>
        <v>1.3339460502734248</v>
      </c>
      <c r="AL14" s="51">
        <f t="shared" si="1"/>
        <v>5.7004446964774802E-2</v>
      </c>
      <c r="AM14" s="1475">
        <f t="shared" si="3"/>
        <v>5</v>
      </c>
      <c r="AN14" s="1475">
        <f t="shared" si="4"/>
        <v>12500</v>
      </c>
      <c r="AO14" s="1465">
        <f>SUM($AH$9:AH14)</f>
        <v>14450</v>
      </c>
      <c r="AP14" s="1466">
        <f t="shared" si="2"/>
        <v>1950</v>
      </c>
    </row>
    <row r="15" spans="1:42" x14ac:dyDescent="0.25">
      <c r="A15" s="71">
        <v>43769</v>
      </c>
      <c r="B15" s="72">
        <v>195.77</v>
      </c>
      <c r="C15" s="73">
        <v>259.39999999999998</v>
      </c>
      <c r="D15" s="147"/>
      <c r="E15" s="75"/>
      <c r="F15" s="73"/>
      <c r="G15" s="147"/>
      <c r="H15" s="75"/>
      <c r="I15" s="73"/>
      <c r="J15" s="234"/>
      <c r="K15" s="73"/>
      <c r="L15" s="1609">
        <v>43746</v>
      </c>
      <c r="M15" s="73">
        <v>8.4</v>
      </c>
      <c r="N15" s="894"/>
      <c r="O15" s="73"/>
      <c r="P15" s="71"/>
      <c r="Q15" s="73"/>
      <c r="R15" s="1609">
        <v>43741</v>
      </c>
      <c r="S15" s="73">
        <v>443.28</v>
      </c>
      <c r="T15" s="894"/>
      <c r="U15" s="1199"/>
      <c r="V15" s="73"/>
      <c r="W15" s="894"/>
      <c r="X15" s="1199"/>
      <c r="Y15" s="73"/>
      <c r="Z15" s="894"/>
      <c r="AA15" s="1199"/>
      <c r="AB15" s="73"/>
      <c r="AC15" s="894"/>
      <c r="AD15" s="1199"/>
      <c r="AE15" s="73"/>
      <c r="AF15" s="1112">
        <v>0.28000000000000003</v>
      </c>
      <c r="AG15" s="1113">
        <v>6</v>
      </c>
      <c r="AH15" s="1110">
        <v>3247</v>
      </c>
      <c r="AI15" s="238">
        <v>47</v>
      </c>
      <c r="AJ15" s="238"/>
      <c r="AK15" s="51">
        <f t="shared" si="0"/>
        <v>1.3250242631659599</v>
      </c>
      <c r="AL15" s="51">
        <f t="shared" si="1"/>
        <v>4.8082659857309862E-2</v>
      </c>
      <c r="AM15" s="1475">
        <f t="shared" si="3"/>
        <v>6</v>
      </c>
      <c r="AN15" s="1475">
        <f t="shared" si="4"/>
        <v>15000</v>
      </c>
      <c r="AO15" s="1465">
        <f>SUM($AH$9:AH15)</f>
        <v>17697</v>
      </c>
      <c r="AP15" s="1466">
        <f t="shared" si="2"/>
        <v>2697</v>
      </c>
    </row>
    <row r="16" spans="1:42" x14ac:dyDescent="0.25">
      <c r="A16" s="71">
        <v>43799</v>
      </c>
      <c r="B16" s="72">
        <v>163.41999999999999</v>
      </c>
      <c r="C16" s="73">
        <v>217.13</v>
      </c>
      <c r="D16" s="147"/>
      <c r="E16" s="75"/>
      <c r="F16" s="73"/>
      <c r="G16" s="147"/>
      <c r="H16" s="75"/>
      <c r="I16" s="73"/>
      <c r="J16" s="836"/>
      <c r="K16" s="835"/>
      <c r="L16" s="1644">
        <v>43788</v>
      </c>
      <c r="M16" s="835">
        <v>8.4</v>
      </c>
      <c r="N16" s="1153"/>
      <c r="O16" s="835"/>
      <c r="P16" s="834"/>
      <c r="Q16" s="835"/>
      <c r="R16" s="1644">
        <v>43772</v>
      </c>
      <c r="S16" s="73">
        <v>443.28</v>
      </c>
      <c r="T16" s="894"/>
      <c r="U16" s="1199"/>
      <c r="V16" s="73"/>
      <c r="W16" s="1153"/>
      <c r="X16" s="1200"/>
      <c r="Y16" s="835"/>
      <c r="Z16" s="894"/>
      <c r="AA16" s="1199"/>
      <c r="AB16" s="73"/>
      <c r="AC16" s="1153"/>
      <c r="AD16" s="1200"/>
      <c r="AE16" s="835"/>
      <c r="AF16" s="1112">
        <v>0.28000000000000003</v>
      </c>
      <c r="AG16" s="1113">
        <v>5.97</v>
      </c>
      <c r="AH16" s="1110">
        <v>2813</v>
      </c>
      <c r="AI16" s="238">
        <v>47</v>
      </c>
      <c r="AJ16" s="238"/>
      <c r="AK16" s="51">
        <f t="shared" si="0"/>
        <v>1.328662342430547</v>
      </c>
      <c r="AL16" s="51">
        <f t="shared" si="1"/>
        <v>5.1720739121897008E-2</v>
      </c>
      <c r="AM16" s="1475">
        <f t="shared" si="3"/>
        <v>7</v>
      </c>
      <c r="AN16" s="1475">
        <f t="shared" si="4"/>
        <v>17500</v>
      </c>
      <c r="AO16" s="1465">
        <f>SUM($AH$9:AH16)</f>
        <v>20510</v>
      </c>
      <c r="AP16" s="1466">
        <f t="shared" si="2"/>
        <v>3010</v>
      </c>
    </row>
    <row r="17" spans="1:42" x14ac:dyDescent="0.25">
      <c r="A17" s="71">
        <v>43830</v>
      </c>
      <c r="B17" s="72">
        <v>95.37</v>
      </c>
      <c r="C17" s="73">
        <v>126.99</v>
      </c>
      <c r="D17" s="147"/>
      <c r="E17" s="75"/>
      <c r="F17" s="73"/>
      <c r="G17" s="147"/>
      <c r="H17" s="75"/>
      <c r="I17" s="73"/>
      <c r="J17" s="234"/>
      <c r="K17" s="73"/>
      <c r="L17" s="1609">
        <v>43818</v>
      </c>
      <c r="M17" s="73">
        <v>8.4</v>
      </c>
      <c r="N17" s="894"/>
      <c r="O17" s="73"/>
      <c r="P17" s="71"/>
      <c r="Q17" s="73"/>
      <c r="R17" s="1609">
        <v>43802</v>
      </c>
      <c r="S17" s="73">
        <v>443.28</v>
      </c>
      <c r="T17" s="894"/>
      <c r="U17" s="1199"/>
      <c r="V17" s="73"/>
      <c r="W17" s="894"/>
      <c r="X17" s="1199"/>
      <c r="Y17" s="73"/>
      <c r="Z17" s="894"/>
      <c r="AA17" s="1199"/>
      <c r="AB17" s="73"/>
      <c r="AC17" s="894"/>
      <c r="AD17" s="1199"/>
      <c r="AE17" s="73"/>
      <c r="AF17" s="1112">
        <v>0.28999999999999998</v>
      </c>
      <c r="AG17" s="1113">
        <v>6.03</v>
      </c>
      <c r="AH17" s="1110">
        <v>1397</v>
      </c>
      <c r="AI17" s="238">
        <v>47</v>
      </c>
      <c r="AJ17" s="238"/>
      <c r="AK17" s="51">
        <f t="shared" si="0"/>
        <v>1.3315508021390374</v>
      </c>
      <c r="AL17" s="51">
        <f t="shared" si="1"/>
        <v>5.4609198830387395E-2</v>
      </c>
      <c r="AM17" s="1475">
        <f t="shared" si="3"/>
        <v>8</v>
      </c>
      <c r="AN17" s="1475">
        <f t="shared" si="4"/>
        <v>20000</v>
      </c>
      <c r="AO17" s="1465">
        <f>SUM($AH$9:AH17)</f>
        <v>21907</v>
      </c>
      <c r="AP17" s="1466">
        <f t="shared" si="2"/>
        <v>1907</v>
      </c>
    </row>
    <row r="18" spans="1:42" x14ac:dyDescent="0.25">
      <c r="A18" s="71">
        <v>43861</v>
      </c>
      <c r="B18" s="72">
        <v>101.34</v>
      </c>
      <c r="C18" s="73">
        <v>134.63</v>
      </c>
      <c r="D18" s="147">
        <v>43865</v>
      </c>
      <c r="E18" s="75" t="s">
        <v>1095</v>
      </c>
      <c r="F18" s="73">
        <v>15.66</v>
      </c>
      <c r="G18" s="147">
        <v>44043</v>
      </c>
      <c r="H18" s="75" t="s">
        <v>510</v>
      </c>
      <c r="I18" s="73">
        <f>17.04+4.62</f>
        <v>21.66</v>
      </c>
      <c r="J18" s="431"/>
      <c r="K18" s="347"/>
      <c r="L18" s="1642">
        <v>43861</v>
      </c>
      <c r="M18" s="347">
        <v>8.4</v>
      </c>
      <c r="N18" s="945">
        <v>43845</v>
      </c>
      <c r="O18" s="347">
        <v>50</v>
      </c>
      <c r="P18" s="1160"/>
      <c r="Q18" s="347"/>
      <c r="R18" s="1642">
        <v>43833</v>
      </c>
      <c r="S18" s="73">
        <v>443.28</v>
      </c>
      <c r="T18" s="894"/>
      <c r="U18" s="1199"/>
      <c r="V18" s="73"/>
      <c r="W18" s="894">
        <v>43942</v>
      </c>
      <c r="X18" s="1199" t="s">
        <v>1079</v>
      </c>
      <c r="Y18" s="73">
        <v>40</v>
      </c>
      <c r="Z18" s="894"/>
      <c r="AA18" s="1199"/>
      <c r="AB18" s="73"/>
      <c r="AC18" s="945"/>
      <c r="AD18" s="1201"/>
      <c r="AE18" s="347"/>
      <c r="AF18" s="1112">
        <v>0.3</v>
      </c>
      <c r="AG18" s="1113">
        <v>6.08</v>
      </c>
      <c r="AH18" s="1110">
        <v>1461</v>
      </c>
      <c r="AI18" s="238">
        <v>47</v>
      </c>
      <c r="AJ18" s="238"/>
      <c r="AK18" s="51">
        <f t="shared" si="0"/>
        <v>1.328498125123347</v>
      </c>
      <c r="AL18" s="51">
        <f t="shared" si="1"/>
        <v>5.1556521814696943E-2</v>
      </c>
      <c r="AM18" s="1475">
        <f t="shared" si="3"/>
        <v>9</v>
      </c>
      <c r="AN18" s="1475">
        <f t="shared" si="4"/>
        <v>22500</v>
      </c>
      <c r="AO18" s="1465">
        <f>SUM($AH$9:AH18)</f>
        <v>23368</v>
      </c>
      <c r="AP18" s="1466">
        <f t="shared" si="2"/>
        <v>868</v>
      </c>
    </row>
    <row r="19" spans="1:42" x14ac:dyDescent="0.25">
      <c r="A19" s="71">
        <v>43890</v>
      </c>
      <c r="B19" s="72">
        <v>184.19</v>
      </c>
      <c r="C19" s="73">
        <v>241.97</v>
      </c>
      <c r="D19" s="345">
        <v>43950</v>
      </c>
      <c r="E19" s="346" t="s">
        <v>1094</v>
      </c>
      <c r="F19" s="347">
        <v>83.87</v>
      </c>
      <c r="G19" s="147">
        <v>44196</v>
      </c>
      <c r="H19" s="75" t="s">
        <v>510</v>
      </c>
      <c r="I19" s="73">
        <v>4.5</v>
      </c>
      <c r="J19" s="234"/>
      <c r="K19" s="73"/>
      <c r="L19" s="1609">
        <v>43873</v>
      </c>
      <c r="M19" s="73">
        <v>8.4</v>
      </c>
      <c r="N19" s="894"/>
      <c r="O19" s="73"/>
      <c r="P19" s="71"/>
      <c r="Q19" s="73"/>
      <c r="R19" s="1609">
        <v>43864</v>
      </c>
      <c r="S19" s="73">
        <v>443.28</v>
      </c>
      <c r="T19" s="894"/>
      <c r="U19" s="1199"/>
      <c r="V19" s="73"/>
      <c r="W19" s="894"/>
      <c r="X19" s="1199"/>
      <c r="Y19" s="73"/>
      <c r="Z19" s="894"/>
      <c r="AA19" s="1199"/>
      <c r="AB19" s="73"/>
      <c r="AC19" s="894"/>
      <c r="AD19" s="1199"/>
      <c r="AE19" s="73"/>
      <c r="AF19" s="1112">
        <v>0.28999999999999998</v>
      </c>
      <c r="AG19" s="1113">
        <v>6.06</v>
      </c>
      <c r="AH19" s="1110">
        <v>3123</v>
      </c>
      <c r="AI19" s="238">
        <v>47</v>
      </c>
      <c r="AJ19" s="238"/>
      <c r="AK19" s="51">
        <f t="shared" si="0"/>
        <v>1.3136978120419132</v>
      </c>
      <c r="AL19" s="51">
        <f t="shared" si="1"/>
        <v>3.6756208733263129E-2</v>
      </c>
      <c r="AM19" s="1475">
        <f t="shared" si="3"/>
        <v>10</v>
      </c>
      <c r="AN19" s="1475">
        <f t="shared" si="4"/>
        <v>25000</v>
      </c>
      <c r="AO19" s="1465">
        <f>SUM($AH$9:AH19)</f>
        <v>26491</v>
      </c>
      <c r="AP19" s="1466">
        <f t="shared" si="2"/>
        <v>1491</v>
      </c>
    </row>
    <row r="20" spans="1:42" x14ac:dyDescent="0.25">
      <c r="A20" s="71">
        <v>43921</v>
      </c>
      <c r="B20" s="72">
        <v>24</v>
      </c>
      <c r="C20" s="73">
        <v>31.53</v>
      </c>
      <c r="D20" s="345">
        <v>44491</v>
      </c>
      <c r="E20" s="346" t="s">
        <v>1297</v>
      </c>
      <c r="F20" s="347">
        <v>74.709999999999994</v>
      </c>
      <c r="G20" s="147"/>
      <c r="H20" s="75"/>
      <c r="I20" s="73"/>
      <c r="J20" s="234"/>
      <c r="K20" s="73"/>
      <c r="L20" s="1609">
        <v>43899</v>
      </c>
      <c r="M20" s="73">
        <v>8.4</v>
      </c>
      <c r="N20" s="894"/>
      <c r="O20" s="73"/>
      <c r="P20" s="71"/>
      <c r="Q20" s="73"/>
      <c r="R20" s="1609">
        <v>43893</v>
      </c>
      <c r="S20" s="73">
        <v>443.28</v>
      </c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0.28999999999999998</v>
      </c>
      <c r="AG20" s="1113">
        <v>6.08</v>
      </c>
      <c r="AH20" s="1110">
        <v>299</v>
      </c>
      <c r="AI20" s="238">
        <v>23</v>
      </c>
      <c r="AJ20" s="238"/>
      <c r="AK20" s="51">
        <f t="shared" si="0"/>
        <v>1.31375</v>
      </c>
      <c r="AL20" s="51">
        <f t="shared" si="1"/>
        <v>3.6808396691349943E-2</v>
      </c>
      <c r="AM20" s="1475">
        <f t="shared" si="3"/>
        <v>11</v>
      </c>
      <c r="AN20" s="1475">
        <f t="shared" si="4"/>
        <v>27500</v>
      </c>
      <c r="AO20" s="1465">
        <f>SUM($AH$9:AH20)</f>
        <v>26790</v>
      </c>
      <c r="AP20" s="1466">
        <f t="shared" si="2"/>
        <v>-710</v>
      </c>
    </row>
    <row r="21" spans="1:42" x14ac:dyDescent="0.25">
      <c r="A21" s="71">
        <v>43951</v>
      </c>
      <c r="B21" s="72">
        <v>124.17</v>
      </c>
      <c r="C21" s="73">
        <v>141.72</v>
      </c>
      <c r="D21" s="147"/>
      <c r="E21" s="75"/>
      <c r="F21" s="73"/>
      <c r="G21" s="147"/>
      <c r="H21" s="75"/>
      <c r="I21" s="73"/>
      <c r="J21" s="234"/>
      <c r="K21" s="73"/>
      <c r="L21" s="1609">
        <v>43929</v>
      </c>
      <c r="M21" s="73">
        <v>8.4</v>
      </c>
      <c r="N21" s="894"/>
      <c r="O21" s="73"/>
      <c r="P21" s="71"/>
      <c r="Q21" s="73"/>
      <c r="R21" s="1609">
        <v>43924</v>
      </c>
      <c r="S21" s="73">
        <v>443.28</v>
      </c>
      <c r="T21" s="894"/>
      <c r="U21" s="1199"/>
      <c r="V21" s="73"/>
      <c r="W21" s="894"/>
      <c r="X21" s="1199"/>
      <c r="Y21" s="73"/>
      <c r="Z21" s="894"/>
      <c r="AA21" s="1199"/>
      <c r="AB21" s="73"/>
      <c r="AC21" s="894"/>
      <c r="AD21" s="1199"/>
      <c r="AE21" s="73"/>
      <c r="AF21" s="1112">
        <v>0.31</v>
      </c>
      <c r="AG21" s="1113">
        <v>6.1</v>
      </c>
      <c r="AH21" s="1110">
        <v>1980</v>
      </c>
      <c r="AI21" s="238">
        <v>47</v>
      </c>
      <c r="AJ21" s="238"/>
      <c r="AK21" s="51">
        <f t="shared" si="0"/>
        <v>1.1413384875573809</v>
      </c>
      <c r="AL21" s="51">
        <f t="shared" si="1"/>
        <v>-0.13560311575126915</v>
      </c>
      <c r="AM21" s="1467">
        <f t="shared" si="3"/>
        <v>12</v>
      </c>
      <c r="AN21" s="1467">
        <f t="shared" si="4"/>
        <v>30000</v>
      </c>
      <c r="AO21" s="1489">
        <f>SUM($AH$9:AH21)</f>
        <v>28770</v>
      </c>
      <c r="AP21" s="1489">
        <f t="shared" si="2"/>
        <v>-1230</v>
      </c>
    </row>
    <row r="22" spans="1:42" x14ac:dyDescent="0.25">
      <c r="A22" s="71">
        <v>43982</v>
      </c>
      <c r="B22" s="72">
        <v>171.76</v>
      </c>
      <c r="C22" s="73">
        <v>189.91</v>
      </c>
      <c r="D22" s="147"/>
      <c r="E22" s="75"/>
      <c r="F22" s="73"/>
      <c r="G22" s="147"/>
      <c r="H22" s="75"/>
      <c r="I22" s="73"/>
      <c r="J22" s="234"/>
      <c r="K22" s="73"/>
      <c r="L22" s="1609">
        <v>43958</v>
      </c>
      <c r="M22" s="73">
        <v>8.4</v>
      </c>
      <c r="N22" s="894"/>
      <c r="O22" s="73"/>
      <c r="P22" s="71"/>
      <c r="Q22" s="73"/>
      <c r="R22" s="1609">
        <v>43954</v>
      </c>
      <c r="S22" s="73">
        <v>443.28</v>
      </c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>
        <v>0.3</v>
      </c>
      <c r="AG22" s="1113">
        <v>6.07</v>
      </c>
      <c r="AH22" s="1110">
        <v>2946</v>
      </c>
      <c r="AI22" s="238">
        <v>29</v>
      </c>
      <c r="AJ22" s="238"/>
      <c r="AK22" s="51">
        <f t="shared" si="0"/>
        <v>1.10567070330694</v>
      </c>
      <c r="AL22" s="51">
        <f t="shared" si="1"/>
        <v>-0.17127090000171008</v>
      </c>
      <c r="AM22" s="1475">
        <f t="shared" si="3"/>
        <v>13</v>
      </c>
      <c r="AN22" s="1475">
        <f t="shared" si="4"/>
        <v>32500</v>
      </c>
      <c r="AO22" s="1465">
        <f>SUM($AH$9:AH22)</f>
        <v>31716</v>
      </c>
      <c r="AP22" s="1466">
        <f t="shared" si="2"/>
        <v>-784</v>
      </c>
    </row>
    <row r="23" spans="1:42" x14ac:dyDescent="0.25">
      <c r="A23" s="71">
        <v>44012</v>
      </c>
      <c r="B23" s="72">
        <v>177.9</v>
      </c>
      <c r="C23" s="73">
        <v>198.51</v>
      </c>
      <c r="D23" s="147"/>
      <c r="E23" s="75"/>
      <c r="F23" s="73"/>
      <c r="G23" s="147"/>
      <c r="H23" s="75"/>
      <c r="I23" s="73"/>
      <c r="J23" s="431"/>
      <c r="K23" s="347"/>
      <c r="L23" s="1609">
        <v>43983</v>
      </c>
      <c r="M23" s="73">
        <v>8.4</v>
      </c>
      <c r="N23" s="945"/>
      <c r="O23" s="347"/>
      <c r="P23" s="1160"/>
      <c r="Q23" s="347"/>
      <c r="R23" s="1642">
        <v>43985</v>
      </c>
      <c r="S23" s="73">
        <v>443.28</v>
      </c>
      <c r="T23" s="894"/>
      <c r="U23" s="1199"/>
      <c r="V23" s="73"/>
      <c r="W23" s="945"/>
      <c r="X23" s="1201"/>
      <c r="Y23" s="347"/>
      <c r="Z23" s="894"/>
      <c r="AA23" s="1199"/>
      <c r="AB23" s="73"/>
      <c r="AC23" s="945"/>
      <c r="AD23" s="1201"/>
      <c r="AE23" s="347"/>
      <c r="AF23" s="1112">
        <v>0.28000000000000003</v>
      </c>
      <c r="AG23" s="1113">
        <v>6.03</v>
      </c>
      <c r="AH23" s="1110">
        <v>3175</v>
      </c>
      <c r="AI23" s="238">
        <v>47</v>
      </c>
      <c r="AJ23" s="238"/>
      <c r="AK23" s="51">
        <f t="shared" si="0"/>
        <v>1.1158516020236087</v>
      </c>
      <c r="AL23" s="51">
        <f t="shared" si="1"/>
        <v>-0.16109000128504136</v>
      </c>
      <c r="AM23" s="1475">
        <f t="shared" si="3"/>
        <v>14</v>
      </c>
      <c r="AN23" s="1475">
        <f t="shared" si="4"/>
        <v>35000</v>
      </c>
      <c r="AO23" s="1465">
        <f>SUM($AH$9:AH23)</f>
        <v>34891</v>
      </c>
      <c r="AP23" s="1466">
        <f t="shared" si="2"/>
        <v>-109</v>
      </c>
    </row>
    <row r="24" spans="1:42" x14ac:dyDescent="0.25">
      <c r="A24" s="71">
        <v>44043</v>
      </c>
      <c r="B24" s="72">
        <v>85.27</v>
      </c>
      <c r="C24" s="73">
        <v>98.43</v>
      </c>
      <c r="D24" s="147"/>
      <c r="E24" s="75"/>
      <c r="F24" s="73"/>
      <c r="G24" s="147"/>
      <c r="H24" s="75"/>
      <c r="I24" s="73"/>
      <c r="J24" s="234"/>
      <c r="K24" s="73"/>
      <c r="L24" s="1609">
        <v>44025</v>
      </c>
      <c r="M24" s="73">
        <v>8.4</v>
      </c>
      <c r="N24" s="894"/>
      <c r="O24" s="73"/>
      <c r="P24" s="71"/>
      <c r="Q24" s="73"/>
      <c r="R24" s="1609">
        <v>44015</v>
      </c>
      <c r="S24" s="73">
        <v>443.28</v>
      </c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>
        <v>0.28999999999999998</v>
      </c>
      <c r="AG24" s="1113">
        <v>5.84</v>
      </c>
      <c r="AH24" s="1110">
        <v>1346</v>
      </c>
      <c r="AI24" s="238">
        <v>47</v>
      </c>
      <c r="AJ24" s="238"/>
      <c r="AK24" s="51">
        <f t="shared" si="0"/>
        <v>1.1543332942418203</v>
      </c>
      <c r="AL24" s="51">
        <f t="shared" si="1"/>
        <v>-0.12260830906682973</v>
      </c>
      <c r="AM24" s="1475">
        <f t="shared" si="3"/>
        <v>15</v>
      </c>
      <c r="AN24" s="1475">
        <f t="shared" si="4"/>
        <v>37500</v>
      </c>
      <c r="AO24" s="1465">
        <f>SUM($AH$9:AH24)</f>
        <v>36237</v>
      </c>
      <c r="AP24" s="1466">
        <f t="shared" si="2"/>
        <v>-1263</v>
      </c>
    </row>
    <row r="25" spans="1:42" x14ac:dyDescent="0.25">
      <c r="A25" s="71">
        <v>44074</v>
      </c>
      <c r="B25" s="72">
        <v>103.52</v>
      </c>
      <c r="C25" s="73">
        <v>119.57</v>
      </c>
      <c r="D25" s="528"/>
      <c r="E25" s="516"/>
      <c r="F25" s="380"/>
      <c r="G25" s="147"/>
      <c r="H25" s="75"/>
      <c r="I25" s="73"/>
      <c r="J25" s="234"/>
      <c r="K25" s="73"/>
      <c r="L25" s="1609">
        <v>44053</v>
      </c>
      <c r="M25" s="73">
        <v>8.4</v>
      </c>
      <c r="N25" s="894"/>
      <c r="O25" s="73"/>
      <c r="P25" s="71"/>
      <c r="Q25" s="73"/>
      <c r="R25" s="1609">
        <v>44046</v>
      </c>
      <c r="S25" s="73">
        <v>443.28</v>
      </c>
      <c r="T25" s="894"/>
      <c r="U25" s="1199"/>
      <c r="V25" s="73"/>
      <c r="W25" s="894"/>
      <c r="X25" s="1199"/>
      <c r="Y25" s="73"/>
      <c r="Z25" s="894"/>
      <c r="AA25" s="1199"/>
      <c r="AB25" s="73"/>
      <c r="AC25" s="894"/>
      <c r="AD25" s="1199"/>
      <c r="AE25" s="73"/>
      <c r="AF25" s="1112">
        <v>0.28999999999999998</v>
      </c>
      <c r="AG25" s="1113">
        <v>5.87</v>
      </c>
      <c r="AH25" s="1110">
        <v>1557</v>
      </c>
      <c r="AI25" s="238">
        <v>47</v>
      </c>
      <c r="AJ25" s="238"/>
      <c r="AK25" s="51">
        <f t="shared" si="0"/>
        <v>1.1550425038639875</v>
      </c>
      <c r="AL25" s="51">
        <f t="shared" si="1"/>
        <v>-0.12189909944466248</v>
      </c>
      <c r="AM25" s="1475">
        <f t="shared" si="3"/>
        <v>16</v>
      </c>
      <c r="AN25" s="1475">
        <f t="shared" si="4"/>
        <v>40000</v>
      </c>
      <c r="AO25" s="1465">
        <f>SUM($AH$9:AH25)</f>
        <v>37794</v>
      </c>
      <c r="AP25" s="1466">
        <f t="shared" si="2"/>
        <v>-2206</v>
      </c>
    </row>
    <row r="26" spans="1:42" x14ac:dyDescent="0.25">
      <c r="A26" s="71">
        <v>44104</v>
      </c>
      <c r="B26" s="72">
        <v>155.77000000000001</v>
      </c>
      <c r="C26" s="73">
        <v>179.22</v>
      </c>
      <c r="D26" s="147"/>
      <c r="E26" s="75"/>
      <c r="F26" s="73"/>
      <c r="G26" s="147"/>
      <c r="H26" s="75"/>
      <c r="I26" s="73"/>
      <c r="J26" s="234"/>
      <c r="K26" s="73"/>
      <c r="L26" s="1609">
        <v>44084</v>
      </c>
      <c r="M26" s="73">
        <v>8.4</v>
      </c>
      <c r="N26" s="894"/>
      <c r="O26" s="73"/>
      <c r="P26" s="71"/>
      <c r="Q26" s="73"/>
      <c r="R26" s="1609">
        <v>44077</v>
      </c>
      <c r="S26" s="73">
        <v>443.28</v>
      </c>
      <c r="T26" s="894"/>
      <c r="U26" s="1199"/>
      <c r="V26" s="73"/>
      <c r="W26" s="894"/>
      <c r="X26" s="1199"/>
      <c r="Y26" s="73"/>
      <c r="Z26" s="894"/>
      <c r="AA26" s="1199"/>
      <c r="AB26" s="73"/>
      <c r="AC26" s="894"/>
      <c r="AD26" s="1199"/>
      <c r="AE26" s="73"/>
      <c r="AF26" s="1112">
        <v>0.28999999999999998</v>
      </c>
      <c r="AG26" s="1113">
        <v>5.75</v>
      </c>
      <c r="AH26" s="1110">
        <v>2501</v>
      </c>
      <c r="AI26" s="238">
        <v>47</v>
      </c>
      <c r="AJ26" s="238"/>
      <c r="AK26" s="51">
        <f t="shared" si="0"/>
        <v>1.1505424664569557</v>
      </c>
      <c r="AL26" s="51">
        <f t="shared" si="1"/>
        <v>-0.12639913685169435</v>
      </c>
      <c r="AM26" s="1475">
        <f t="shared" si="3"/>
        <v>17</v>
      </c>
      <c r="AN26" s="1475">
        <f t="shared" si="4"/>
        <v>42500</v>
      </c>
      <c r="AO26" s="1465">
        <f>SUM($AH$9:AH26)</f>
        <v>40295</v>
      </c>
      <c r="AP26" s="1466">
        <f t="shared" si="2"/>
        <v>-2205</v>
      </c>
    </row>
    <row r="27" spans="1:42" x14ac:dyDescent="0.25">
      <c r="A27" s="71">
        <v>44135</v>
      </c>
      <c r="B27" s="72">
        <v>176.76</v>
      </c>
      <c r="C27" s="73">
        <v>207.84</v>
      </c>
      <c r="D27" s="147"/>
      <c r="E27" s="75"/>
      <c r="F27" s="73"/>
      <c r="G27" s="147"/>
      <c r="H27" s="75"/>
      <c r="I27" s="73"/>
      <c r="J27" s="234"/>
      <c r="K27" s="73"/>
      <c r="L27" s="1609">
        <v>44119</v>
      </c>
      <c r="M27" s="73">
        <v>8.4</v>
      </c>
      <c r="N27" s="894"/>
      <c r="O27" s="73"/>
      <c r="P27" s="71"/>
      <c r="Q27" s="73"/>
      <c r="R27" s="1609">
        <v>44107</v>
      </c>
      <c r="S27" s="73">
        <v>443.28</v>
      </c>
      <c r="T27" s="894"/>
      <c r="U27" s="1199"/>
      <c r="V27" s="73"/>
      <c r="W27" s="894"/>
      <c r="X27" s="1199"/>
      <c r="Y27" s="73"/>
      <c r="Z27" s="894"/>
      <c r="AA27" s="1199"/>
      <c r="AB27" s="73"/>
      <c r="AC27" s="894"/>
      <c r="AD27" s="1199"/>
      <c r="AE27" s="73"/>
      <c r="AF27" s="1112">
        <v>0.28999999999999998</v>
      </c>
      <c r="AG27" s="1113">
        <v>5.93</v>
      </c>
      <c r="AH27" s="1110">
        <v>2974</v>
      </c>
      <c r="AI27" s="238">
        <v>26</v>
      </c>
      <c r="AJ27" s="238"/>
      <c r="AK27" s="51">
        <f t="shared" si="0"/>
        <v>1.1758316361167687</v>
      </c>
      <c r="AL27" s="51">
        <f t="shared" si="1"/>
        <v>-0.10110996719188137</v>
      </c>
      <c r="AM27" s="1475">
        <f t="shared" si="3"/>
        <v>18</v>
      </c>
      <c r="AN27" s="1475">
        <f t="shared" si="4"/>
        <v>45000</v>
      </c>
      <c r="AO27" s="1465">
        <f>SUM($AH$9:AH27)</f>
        <v>43269</v>
      </c>
      <c r="AP27" s="1466">
        <f t="shared" si="2"/>
        <v>-1731</v>
      </c>
    </row>
    <row r="28" spans="1:42" x14ac:dyDescent="0.25">
      <c r="A28" s="71">
        <v>44165</v>
      </c>
      <c r="B28" s="72">
        <v>48.76</v>
      </c>
      <c r="C28" s="73">
        <v>56.97</v>
      </c>
      <c r="D28" s="147"/>
      <c r="E28" s="75"/>
      <c r="F28" s="73"/>
      <c r="G28" s="147"/>
      <c r="H28" s="75"/>
      <c r="I28" s="73"/>
      <c r="J28" s="234"/>
      <c r="K28" s="73"/>
      <c r="L28" s="1609">
        <v>44145</v>
      </c>
      <c r="M28" s="73">
        <v>8.4</v>
      </c>
      <c r="N28" s="894"/>
      <c r="O28" s="73"/>
      <c r="P28" s="71"/>
      <c r="Q28" s="73"/>
      <c r="R28" s="1609">
        <v>44138</v>
      </c>
      <c r="S28" s="73">
        <v>443.28</v>
      </c>
      <c r="T28" s="894"/>
      <c r="U28" s="1199"/>
      <c r="V28" s="73"/>
      <c r="W28" s="894"/>
      <c r="X28" s="1199"/>
      <c r="Y28" s="73"/>
      <c r="Z28" s="894"/>
      <c r="AA28" s="1199"/>
      <c r="AB28" s="73"/>
      <c r="AC28" s="894"/>
      <c r="AD28" s="1199"/>
      <c r="AE28" s="73"/>
      <c r="AF28" s="1112">
        <v>0.28999999999999998</v>
      </c>
      <c r="AG28" s="1113">
        <v>5.88</v>
      </c>
      <c r="AH28" s="1110">
        <v>595</v>
      </c>
      <c r="AI28" s="238">
        <v>41</v>
      </c>
      <c r="AJ28" s="238"/>
      <c r="AK28" s="51">
        <f t="shared" si="0"/>
        <v>1.1683757178014766</v>
      </c>
      <c r="AL28" s="51">
        <f t="shared" si="1"/>
        <v>-0.10856588550717339</v>
      </c>
      <c r="AM28" s="1475">
        <f t="shared" si="3"/>
        <v>19</v>
      </c>
      <c r="AN28" s="1475">
        <f t="shared" si="4"/>
        <v>47500</v>
      </c>
      <c r="AO28" s="1465">
        <f>SUM($AH$9:AH28)</f>
        <v>43864</v>
      </c>
      <c r="AP28" s="1466">
        <f t="shared" si="2"/>
        <v>-3636</v>
      </c>
    </row>
    <row r="29" spans="1:42" x14ac:dyDescent="0.25">
      <c r="A29" s="71">
        <v>44196</v>
      </c>
      <c r="B29" s="72">
        <v>82.15</v>
      </c>
      <c r="C29" s="73">
        <v>97.11</v>
      </c>
      <c r="D29" s="147"/>
      <c r="E29" s="75"/>
      <c r="F29" s="73"/>
      <c r="G29" s="147"/>
      <c r="H29" s="75"/>
      <c r="I29" s="73"/>
      <c r="J29" s="234"/>
      <c r="K29" s="73"/>
      <c r="L29" s="1609">
        <v>44196</v>
      </c>
      <c r="M29" s="73">
        <v>8.4</v>
      </c>
      <c r="N29" s="894"/>
      <c r="O29" s="73"/>
      <c r="P29" s="71"/>
      <c r="Q29" s="73"/>
      <c r="R29" s="1609">
        <v>44533</v>
      </c>
      <c r="S29" s="73">
        <v>443.28</v>
      </c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>
        <v>0.3</v>
      </c>
      <c r="AG29" s="1113">
        <v>5.9</v>
      </c>
      <c r="AH29" s="1110">
        <v>949</v>
      </c>
      <c r="AI29" s="238">
        <v>47</v>
      </c>
      <c r="AJ29" s="238"/>
      <c r="AK29" s="51">
        <f t="shared" si="0"/>
        <v>1.182105903834449</v>
      </c>
      <c r="AL29" s="51">
        <f t="shared" si="1"/>
        <v>-9.4835699474201007E-2</v>
      </c>
      <c r="AM29" s="1475">
        <f t="shared" si="3"/>
        <v>20</v>
      </c>
      <c r="AN29" s="1475">
        <f t="shared" si="4"/>
        <v>50000</v>
      </c>
      <c r="AO29" s="1465">
        <f>SUM($AH$9:AH29)</f>
        <v>44813</v>
      </c>
      <c r="AP29" s="1466">
        <f t="shared" si="2"/>
        <v>-5187</v>
      </c>
    </row>
    <row r="30" spans="1:42" x14ac:dyDescent="0.25">
      <c r="A30" s="71">
        <v>44227</v>
      </c>
      <c r="B30" s="72">
        <v>39.19</v>
      </c>
      <c r="C30" s="73">
        <v>47.63</v>
      </c>
      <c r="D30" s="528">
        <v>44307</v>
      </c>
      <c r="E30" s="516" t="s">
        <v>1323</v>
      </c>
      <c r="F30" s="380">
        <v>69.56</v>
      </c>
      <c r="G30" s="147"/>
      <c r="H30" s="75"/>
      <c r="I30" s="73"/>
      <c r="J30" s="234">
        <v>44491</v>
      </c>
      <c r="K30" s="73">
        <f>5.42*1.2</f>
        <v>6.5039999999999996</v>
      </c>
      <c r="L30" s="1609">
        <v>44225</v>
      </c>
      <c r="M30" s="73">
        <v>8.4</v>
      </c>
      <c r="N30" s="894">
        <v>44223</v>
      </c>
      <c r="O30" s="73">
        <v>50</v>
      </c>
      <c r="P30" s="71"/>
      <c r="Q30" s="73"/>
      <c r="R30" s="1609">
        <v>44199</v>
      </c>
      <c r="S30" s="73">
        <v>443.28</v>
      </c>
      <c r="T30" s="894"/>
      <c r="U30" s="1199"/>
      <c r="V30" s="73"/>
      <c r="W30" s="894">
        <v>44312</v>
      </c>
      <c r="X30" s="1199" t="s">
        <v>1329</v>
      </c>
      <c r="Y30" s="73">
        <v>40</v>
      </c>
      <c r="Z30" s="894"/>
      <c r="AA30" s="1199"/>
      <c r="AB30" s="73"/>
      <c r="AC30" s="894"/>
      <c r="AD30" s="1199"/>
      <c r="AE30" s="73"/>
      <c r="AF30" s="1112">
        <v>0.31</v>
      </c>
      <c r="AG30" s="1113">
        <v>5.98</v>
      </c>
      <c r="AH30" s="1110">
        <v>323</v>
      </c>
      <c r="AI30" s="238">
        <v>47</v>
      </c>
      <c r="AJ30" s="238"/>
      <c r="AK30" s="51">
        <f t="shared" si="0"/>
        <v>1.2153610614952794</v>
      </c>
      <c r="AL30" s="51">
        <f t="shared" si="1"/>
        <v>-6.1580541813370582E-2</v>
      </c>
      <c r="AM30" s="1475">
        <f t="shared" si="3"/>
        <v>21</v>
      </c>
      <c r="AN30" s="1475">
        <f t="shared" si="4"/>
        <v>52500</v>
      </c>
      <c r="AO30" s="1465">
        <f>SUM($AH$9:AH30)</f>
        <v>45136</v>
      </c>
      <c r="AP30" s="1466">
        <f t="shared" si="2"/>
        <v>-7364</v>
      </c>
    </row>
    <row r="31" spans="1:42" x14ac:dyDescent="0.25">
      <c r="A31" s="71">
        <v>44255</v>
      </c>
      <c r="B31" s="72">
        <v>33</v>
      </c>
      <c r="C31" s="73">
        <v>40.11</v>
      </c>
      <c r="D31" s="147"/>
      <c r="E31" s="75"/>
      <c r="F31" s="73"/>
      <c r="G31" s="147"/>
      <c r="H31" s="75"/>
      <c r="I31" s="73"/>
      <c r="J31" s="234"/>
      <c r="K31" s="73"/>
      <c r="L31" s="1609">
        <v>44231</v>
      </c>
      <c r="M31" s="73">
        <v>8.4</v>
      </c>
      <c r="N31" s="894"/>
      <c r="O31" s="73"/>
      <c r="P31" s="71"/>
      <c r="Q31" s="73"/>
      <c r="R31" s="1609">
        <v>44230</v>
      </c>
      <c r="S31" s="73">
        <v>443.28</v>
      </c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>
        <v>0.32</v>
      </c>
      <c r="AG31" s="1113">
        <v>6.05</v>
      </c>
      <c r="AH31" s="1110">
        <v>375</v>
      </c>
      <c r="AI31" s="238">
        <v>14</v>
      </c>
      <c r="AJ31" s="238"/>
      <c r="AK31" s="51">
        <f t="shared" si="0"/>
        <v>1.2154545454545453</v>
      </c>
      <c r="AL31" s="51">
        <f t="shared" si="1"/>
        <v>-6.1487057854104687E-2</v>
      </c>
      <c r="AM31" s="1475">
        <f t="shared" si="3"/>
        <v>22</v>
      </c>
      <c r="AN31" s="1475">
        <f t="shared" si="4"/>
        <v>55000</v>
      </c>
      <c r="AO31" s="1465">
        <f>SUM($AH$9:AH31)</f>
        <v>45511</v>
      </c>
      <c r="AP31" s="1466">
        <f t="shared" si="2"/>
        <v>-9489</v>
      </c>
    </row>
    <row r="32" spans="1:42" x14ac:dyDescent="0.25">
      <c r="A32" s="71">
        <v>44286</v>
      </c>
      <c r="B32" s="72">
        <v>5</v>
      </c>
      <c r="C32" s="73">
        <v>6.08</v>
      </c>
      <c r="D32" s="528"/>
      <c r="E32" s="516"/>
      <c r="F32" s="380"/>
      <c r="G32" s="147"/>
      <c r="H32" s="75"/>
      <c r="I32" s="73"/>
      <c r="J32" s="234"/>
      <c r="K32" s="73"/>
      <c r="L32" s="1609">
        <v>44264</v>
      </c>
      <c r="M32" s="73">
        <v>8.4</v>
      </c>
      <c r="N32" s="894"/>
      <c r="O32" s="73"/>
      <c r="P32" s="71"/>
      <c r="Q32" s="73"/>
      <c r="R32" s="1609">
        <v>44258</v>
      </c>
      <c r="S32" s="73">
        <v>443.28</v>
      </c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>
        <v>0.33</v>
      </c>
      <c r="AG32" s="1113">
        <v>6.05</v>
      </c>
      <c r="AH32" s="1110">
        <v>18</v>
      </c>
      <c r="AI32" s="238">
        <v>9</v>
      </c>
      <c r="AJ32" s="238"/>
      <c r="AK32" s="51">
        <f t="shared" si="0"/>
        <v>1.216</v>
      </c>
      <c r="AL32" s="51">
        <f t="shared" si="1"/>
        <v>-6.0941603308650061E-2</v>
      </c>
      <c r="AM32" s="1475">
        <f t="shared" si="3"/>
        <v>23</v>
      </c>
      <c r="AN32" s="1475">
        <f t="shared" si="4"/>
        <v>57500</v>
      </c>
      <c r="AO32" s="1465">
        <f>SUM($AH$9:AH32)</f>
        <v>45529</v>
      </c>
      <c r="AP32" s="1466">
        <f t="shared" si="2"/>
        <v>-11971</v>
      </c>
    </row>
    <row r="33" spans="1:42" x14ac:dyDescent="0.25">
      <c r="A33" s="71">
        <v>44316</v>
      </c>
      <c r="B33" s="72">
        <v>92.63</v>
      </c>
      <c r="C33" s="73">
        <v>124.55</v>
      </c>
      <c r="D33" s="147"/>
      <c r="E33" s="75"/>
      <c r="F33" s="73"/>
      <c r="G33" s="147"/>
      <c r="H33" s="75"/>
      <c r="I33" s="73"/>
      <c r="J33" s="234"/>
      <c r="K33" s="73"/>
      <c r="L33" s="1609">
        <v>44295</v>
      </c>
      <c r="M33" s="73">
        <v>8.4</v>
      </c>
      <c r="N33" s="894"/>
      <c r="O33" s="73"/>
      <c r="P33" s="71"/>
      <c r="Q33" s="73"/>
      <c r="R33" s="1609">
        <v>44289</v>
      </c>
      <c r="S33" s="73">
        <v>443.28</v>
      </c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>
        <v>0.34</v>
      </c>
      <c r="AG33" s="1113">
        <v>6.23</v>
      </c>
      <c r="AH33" s="1110">
        <v>1171</v>
      </c>
      <c r="AI33" s="238">
        <v>24</v>
      </c>
      <c r="AJ33" s="238"/>
      <c r="AK33" s="51">
        <f t="shared" si="0"/>
        <v>1.3445967828997085</v>
      </c>
      <c r="AL33" s="51">
        <f t="shared" si="1"/>
        <v>6.765517959105849E-2</v>
      </c>
      <c r="AM33" s="1467">
        <f t="shared" si="3"/>
        <v>24</v>
      </c>
      <c r="AN33" s="1467">
        <f t="shared" si="4"/>
        <v>60000</v>
      </c>
      <c r="AO33" s="1489">
        <f>SUM($AH$9:AH33)</f>
        <v>46700</v>
      </c>
      <c r="AP33" s="1489">
        <f t="shared" si="2"/>
        <v>-13300</v>
      </c>
    </row>
    <row r="34" spans="1:42" x14ac:dyDescent="0.25">
      <c r="A34" s="71">
        <v>44347</v>
      </c>
      <c r="B34" s="72">
        <v>41.54</v>
      </c>
      <c r="C34" s="73">
        <v>56.18</v>
      </c>
      <c r="D34" s="147"/>
      <c r="E34" s="75"/>
      <c r="F34" s="73"/>
      <c r="G34" s="147"/>
      <c r="H34" s="75"/>
      <c r="I34" s="73"/>
      <c r="J34" s="234"/>
      <c r="K34" s="73"/>
      <c r="L34" s="1609">
        <v>44320</v>
      </c>
      <c r="M34" s="73">
        <v>8.4</v>
      </c>
      <c r="N34" s="894"/>
      <c r="O34" s="73"/>
      <c r="P34" s="71"/>
      <c r="Q34" s="73"/>
      <c r="R34" s="1609">
        <v>44319</v>
      </c>
      <c r="S34" s="73">
        <v>443.28</v>
      </c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>
        <v>0.34</v>
      </c>
      <c r="AG34" s="1113">
        <v>6.07</v>
      </c>
      <c r="AH34" s="1110">
        <v>411</v>
      </c>
      <c r="AI34" s="238">
        <v>47</v>
      </c>
      <c r="AJ34" s="238"/>
      <c r="AK34" s="51">
        <f t="shared" si="0"/>
        <v>1.3524313914299471</v>
      </c>
      <c r="AL34" s="51">
        <f t="shared" si="1"/>
        <v>7.548978812129703E-2</v>
      </c>
      <c r="AM34" s="1475">
        <f t="shared" si="3"/>
        <v>25</v>
      </c>
      <c r="AN34" s="1475">
        <f t="shared" si="4"/>
        <v>62500</v>
      </c>
      <c r="AO34" s="1465">
        <f>SUM($AH$9:AH34)</f>
        <v>47111</v>
      </c>
      <c r="AP34" s="1466">
        <f t="shared" si="2"/>
        <v>-15389</v>
      </c>
    </row>
    <row r="35" spans="1:42" x14ac:dyDescent="0.25">
      <c r="A35" s="71">
        <v>44377</v>
      </c>
      <c r="B35" s="72">
        <v>110.53</v>
      </c>
      <c r="C35" s="73">
        <v>150.66999999999999</v>
      </c>
      <c r="D35" s="147"/>
      <c r="E35" s="75"/>
      <c r="F35" s="73"/>
      <c r="G35" s="147"/>
      <c r="H35" s="75"/>
      <c r="I35" s="73"/>
      <c r="J35" s="234"/>
      <c r="K35" s="73"/>
      <c r="L35" s="1785">
        <v>44351</v>
      </c>
      <c r="M35" s="73">
        <v>8.4</v>
      </c>
      <c r="N35" s="894"/>
      <c r="O35" s="73"/>
      <c r="P35" s="71"/>
      <c r="Q35" s="73"/>
      <c r="R35" s="1609">
        <v>44350</v>
      </c>
      <c r="S35" s="73">
        <v>443.28</v>
      </c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>
        <v>0.35</v>
      </c>
      <c r="AG35" s="1113">
        <v>6.31</v>
      </c>
      <c r="AH35" s="1110">
        <v>1642</v>
      </c>
      <c r="AI35" s="238">
        <v>32</v>
      </c>
      <c r="AJ35" s="238"/>
      <c r="AK35" s="51">
        <f t="shared" si="0"/>
        <v>1.3631593232606531</v>
      </c>
      <c r="AL35" s="51">
        <f t="shared" si="1"/>
        <v>8.6217719952003113E-2</v>
      </c>
      <c r="AM35" s="1475">
        <f t="shared" si="3"/>
        <v>26</v>
      </c>
      <c r="AN35" s="1475">
        <f t="shared" si="4"/>
        <v>65000</v>
      </c>
      <c r="AO35" s="1465">
        <f>SUM($AH$9:AH35)</f>
        <v>48753</v>
      </c>
      <c r="AP35" s="1466">
        <f t="shared" si="2"/>
        <v>-16247</v>
      </c>
    </row>
    <row r="36" spans="1:42" x14ac:dyDescent="0.25">
      <c r="A36" s="71">
        <v>44408</v>
      </c>
      <c r="B36" s="72">
        <v>23.42</v>
      </c>
      <c r="C36" s="73">
        <v>32.590000000000003</v>
      </c>
      <c r="D36" s="147"/>
      <c r="E36" s="75"/>
      <c r="F36" s="73"/>
      <c r="G36" s="147"/>
      <c r="H36" s="75"/>
      <c r="I36" s="73"/>
      <c r="J36" s="234"/>
      <c r="K36" s="73"/>
      <c r="L36" s="1609">
        <v>44383</v>
      </c>
      <c r="M36" s="73">
        <v>8.4</v>
      </c>
      <c r="N36" s="894"/>
      <c r="O36" s="73"/>
      <c r="P36" s="71"/>
      <c r="Q36" s="73"/>
      <c r="R36" s="1609">
        <v>44380</v>
      </c>
      <c r="S36" s="73">
        <v>443.28</v>
      </c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>
        <v>0.36</v>
      </c>
      <c r="AG36" s="1113">
        <v>6.18</v>
      </c>
      <c r="AH36" s="1110">
        <v>158</v>
      </c>
      <c r="AI36" s="238">
        <v>47</v>
      </c>
      <c r="AJ36" s="238"/>
      <c r="AK36" s="51">
        <f t="shared" si="0"/>
        <v>1.3915456874466268</v>
      </c>
      <c r="AL36" s="51">
        <f t="shared" si="1"/>
        <v>0.11460408413797674</v>
      </c>
      <c r="AM36" s="1475">
        <f t="shared" si="3"/>
        <v>27</v>
      </c>
      <c r="AN36" s="1475">
        <f t="shared" si="4"/>
        <v>67500</v>
      </c>
      <c r="AO36" s="1465">
        <f>SUM($AH$9:AH36)</f>
        <v>48911</v>
      </c>
      <c r="AP36" s="1466">
        <f t="shared" si="2"/>
        <v>-18589</v>
      </c>
    </row>
    <row r="37" spans="1:42" x14ac:dyDescent="0.25">
      <c r="A37" s="71">
        <v>44439</v>
      </c>
      <c r="B37" s="72">
        <v>27.51</v>
      </c>
      <c r="C37" s="73">
        <v>38.409999999999997</v>
      </c>
      <c r="D37" s="147"/>
      <c r="E37" s="75"/>
      <c r="F37" s="73"/>
      <c r="G37" s="147"/>
      <c r="H37" s="75"/>
      <c r="I37" s="73"/>
      <c r="J37" s="234"/>
      <c r="K37" s="73"/>
      <c r="L37" s="1785">
        <v>44415</v>
      </c>
      <c r="M37" s="73">
        <v>8.4</v>
      </c>
      <c r="N37" s="894"/>
      <c r="O37" s="73"/>
      <c r="P37" s="71"/>
      <c r="Q37" s="73"/>
      <c r="R37" s="1609">
        <v>44411</v>
      </c>
      <c r="S37" s="73">
        <v>443.28</v>
      </c>
      <c r="T37" s="894"/>
      <c r="U37" s="1199"/>
      <c r="V37" s="73"/>
      <c r="W37" s="894"/>
      <c r="X37" s="1199"/>
      <c r="Y37" s="73"/>
      <c r="Z37" s="894"/>
      <c r="AA37" s="1199"/>
      <c r="AB37" s="73"/>
      <c r="AC37" s="894"/>
      <c r="AD37" s="1199"/>
      <c r="AE37" s="73"/>
      <c r="AF37" s="1112">
        <v>0.36</v>
      </c>
      <c r="AG37" s="1113">
        <v>6.18</v>
      </c>
      <c r="AH37" s="1110">
        <v>408</v>
      </c>
      <c r="AI37" s="238">
        <v>42</v>
      </c>
      <c r="AJ37" s="238"/>
      <c r="AK37" s="51">
        <f t="shared" si="0"/>
        <v>1.3962195565248998</v>
      </c>
      <c r="AL37" s="51">
        <f t="shared" si="1"/>
        <v>0.11927795321624979</v>
      </c>
      <c r="AM37" s="1475">
        <f t="shared" si="3"/>
        <v>28</v>
      </c>
      <c r="AN37" s="1475">
        <f t="shared" si="4"/>
        <v>70000</v>
      </c>
      <c r="AO37" s="1465">
        <f>SUM($AH$9:AH37)</f>
        <v>49319</v>
      </c>
      <c r="AP37" s="1466">
        <f t="shared" si="2"/>
        <v>-20681</v>
      </c>
    </row>
    <row r="38" spans="1:42" x14ac:dyDescent="0.25">
      <c r="A38" s="71">
        <v>44469</v>
      </c>
      <c r="B38" s="72">
        <v>102.08</v>
      </c>
      <c r="C38" s="73">
        <v>144.71</v>
      </c>
      <c r="D38" s="147"/>
      <c r="E38" s="75"/>
      <c r="F38" s="73"/>
      <c r="G38" s="147"/>
      <c r="H38" s="75"/>
      <c r="I38" s="73"/>
      <c r="J38" s="234"/>
      <c r="K38" s="73"/>
      <c r="L38" s="1609">
        <v>44446</v>
      </c>
      <c r="M38" s="73">
        <v>8.4</v>
      </c>
      <c r="N38" s="894"/>
      <c r="O38" s="73"/>
      <c r="P38" s="71"/>
      <c r="Q38" s="73"/>
      <c r="R38" s="1609">
        <v>44442</v>
      </c>
      <c r="S38" s="73">
        <v>443.28</v>
      </c>
      <c r="T38" s="894"/>
      <c r="U38" s="1199"/>
      <c r="V38" s="73"/>
      <c r="W38" s="894"/>
      <c r="X38" s="1199"/>
      <c r="Y38" s="73"/>
      <c r="Z38" s="894"/>
      <c r="AA38" s="1199"/>
      <c r="AB38" s="73"/>
      <c r="AC38" s="894"/>
      <c r="AD38" s="1199"/>
      <c r="AE38" s="73"/>
      <c r="AF38" s="1112">
        <v>0.36</v>
      </c>
      <c r="AG38" s="1113">
        <v>6.38</v>
      </c>
      <c r="AH38" s="1110">
        <v>1328</v>
      </c>
      <c r="AI38" s="238">
        <v>47</v>
      </c>
      <c r="AJ38" s="238"/>
      <c r="AK38" s="51">
        <f t="shared" si="0"/>
        <v>1.4176136363636365</v>
      </c>
      <c r="AL38" s="51">
        <f t="shared" si="1"/>
        <v>0.14067203305498643</v>
      </c>
      <c r="AM38" s="1475">
        <f t="shared" si="3"/>
        <v>29</v>
      </c>
      <c r="AN38" s="1475">
        <f t="shared" si="4"/>
        <v>72500</v>
      </c>
      <c r="AO38" s="1465">
        <f>SUM($AH$9:AH38)</f>
        <v>50647</v>
      </c>
      <c r="AP38" s="1466">
        <f t="shared" si="2"/>
        <v>-21853</v>
      </c>
    </row>
    <row r="39" spans="1:42" x14ac:dyDescent="0.25">
      <c r="A39" s="71"/>
      <c r="B39" s="72"/>
      <c r="C39" s="73"/>
      <c r="D39" s="147"/>
      <c r="E39" s="75"/>
      <c r="F39" s="73"/>
      <c r="G39" s="147"/>
      <c r="H39" s="75"/>
      <c r="I39" s="73"/>
      <c r="J39" s="234"/>
      <c r="K39" s="73"/>
      <c r="L39" s="1609">
        <v>44470</v>
      </c>
      <c r="M39" s="73">
        <v>8.4</v>
      </c>
      <c r="N39" s="894"/>
      <c r="O39" s="73"/>
      <c r="P39" s="71"/>
      <c r="Q39" s="73"/>
      <c r="R39" s="1609"/>
      <c r="S39" s="73"/>
      <c r="T39" s="894"/>
      <c r="U39" s="1199"/>
      <c r="V39" s="73"/>
      <c r="W39" s="894"/>
      <c r="X39" s="1199"/>
      <c r="Y39" s="73"/>
      <c r="Z39" s="894"/>
      <c r="AA39" s="1199"/>
      <c r="AB39" s="73"/>
      <c r="AC39" s="894"/>
      <c r="AD39" s="1199"/>
      <c r="AE39" s="73"/>
      <c r="AF39" s="1112">
        <f t="shared" ref="AF39:AF96" ca="1" si="5">$F$5</f>
        <v>0.35001830597891626</v>
      </c>
      <c r="AG39" s="1113">
        <f>SUM($B$9:B39)/($J$1-$B$4)*100</f>
        <v>6.3787370167055029</v>
      </c>
      <c r="AH39" s="1110"/>
      <c r="AI39" s="238"/>
      <c r="AJ39" s="238"/>
      <c r="AK39" s="51" t="e">
        <f t="shared" si="0"/>
        <v>#DIV/0!</v>
      </c>
      <c r="AL39" s="51" t="e">
        <f t="shared" si="1"/>
        <v>#DIV/0!</v>
      </c>
      <c r="AM39" s="1475">
        <f t="shared" si="3"/>
        <v>30</v>
      </c>
      <c r="AN39" s="1475">
        <f t="shared" si="4"/>
        <v>75000</v>
      </c>
      <c r="AO39" s="1465">
        <f>SUM($AH$9:AH39)</f>
        <v>50647</v>
      </c>
      <c r="AP39" s="1466">
        <f t="shared" si="2"/>
        <v>-24353</v>
      </c>
    </row>
    <row r="40" spans="1:42" x14ac:dyDescent="0.25">
      <c r="A40" s="71"/>
      <c r="B40" s="72"/>
      <c r="C40" s="73"/>
      <c r="D40" s="147"/>
      <c r="E40" s="75"/>
      <c r="F40" s="73"/>
      <c r="G40" s="147"/>
      <c r="H40" s="75"/>
      <c r="I40" s="73"/>
      <c r="J40" s="234"/>
      <c r="K40" s="73"/>
      <c r="L40" s="1609">
        <v>44504</v>
      </c>
      <c r="M40" s="73">
        <v>8.4</v>
      </c>
      <c r="N40" s="894"/>
      <c r="O40" s="73"/>
      <c r="P40" s="71"/>
      <c r="Q40" s="73"/>
      <c r="R40" s="1609"/>
      <c r="S40" s="73"/>
      <c r="T40" s="894"/>
      <c r="U40" s="1199"/>
      <c r="V40" s="73"/>
      <c r="W40" s="894"/>
      <c r="X40" s="1199"/>
      <c r="Y40" s="73"/>
      <c r="Z40" s="894"/>
      <c r="AA40" s="1199"/>
      <c r="AB40" s="73"/>
      <c r="AC40" s="894"/>
      <c r="AD40" s="1199"/>
      <c r="AE40" s="73"/>
      <c r="AF40" s="1112">
        <f t="shared" ca="1" si="5"/>
        <v>0.35001830597891626</v>
      </c>
      <c r="AG40" s="1113">
        <f>SUM($B$9:B40)/($J$1-$B$4)*100</f>
        <v>6.3787370167055029</v>
      </c>
      <c r="AH40" s="1110"/>
      <c r="AI40" s="238"/>
      <c r="AJ40" s="238"/>
      <c r="AK40" s="51" t="e">
        <f t="shared" si="0"/>
        <v>#DIV/0!</v>
      </c>
      <c r="AL40" s="51" t="e">
        <f t="shared" si="1"/>
        <v>#DIV/0!</v>
      </c>
      <c r="AM40" s="1475">
        <f t="shared" si="3"/>
        <v>31</v>
      </c>
      <c r="AN40" s="1475">
        <f t="shared" si="4"/>
        <v>77500</v>
      </c>
      <c r="AO40" s="1465">
        <f>SUM($AH$9:AH40)</f>
        <v>50647</v>
      </c>
      <c r="AP40" s="1466">
        <f t="shared" si="2"/>
        <v>-26853</v>
      </c>
    </row>
    <row r="41" spans="1:42" x14ac:dyDescent="0.25">
      <c r="A41" s="71"/>
      <c r="B41" s="72"/>
      <c r="C41" s="73"/>
      <c r="D41" s="147"/>
      <c r="E41" s="75"/>
      <c r="F41" s="73"/>
      <c r="G41" s="147"/>
      <c r="H41" s="75"/>
      <c r="I41" s="73"/>
      <c r="J41" s="234"/>
      <c r="K41" s="73"/>
      <c r="L41" s="1609">
        <v>44531</v>
      </c>
      <c r="M41" s="73">
        <v>8.4</v>
      </c>
      <c r="N41" s="894"/>
      <c r="O41" s="73"/>
      <c r="P41" s="71"/>
      <c r="Q41" s="73"/>
      <c r="R41" s="1609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>
        <f t="shared" ca="1" si="5"/>
        <v>0.35001830597891626</v>
      </c>
      <c r="AG41" s="1113">
        <f>SUM($B$9:B41)/($J$1-$B$4)*100</f>
        <v>6.3787370167055029</v>
      </c>
      <c r="AH41" s="1110"/>
      <c r="AI41" s="238"/>
      <c r="AJ41" s="238"/>
      <c r="AK41" s="51" t="e">
        <f t="shared" si="0"/>
        <v>#DIV/0!</v>
      </c>
      <c r="AL41" s="51" t="e">
        <f t="shared" si="1"/>
        <v>#DIV/0!</v>
      </c>
      <c r="AM41" s="1475">
        <f t="shared" si="3"/>
        <v>32</v>
      </c>
      <c r="AN41" s="1475">
        <f t="shared" si="4"/>
        <v>80000</v>
      </c>
      <c r="AO41" s="1465">
        <f>SUM($AH$9:AH41)</f>
        <v>50647</v>
      </c>
      <c r="AP41" s="1466">
        <f t="shared" si="2"/>
        <v>-29353</v>
      </c>
    </row>
    <row r="42" spans="1:42" x14ac:dyDescent="0.25">
      <c r="A42" s="71"/>
      <c r="B42" s="72"/>
      <c r="C42" s="73"/>
      <c r="D42" s="147"/>
      <c r="E42" s="75"/>
      <c r="F42" s="73"/>
      <c r="G42" s="147"/>
      <c r="H42" s="75"/>
      <c r="I42" s="73"/>
      <c r="J42" s="1978">
        <v>44585</v>
      </c>
      <c r="K42" s="1979">
        <v>6.5</v>
      </c>
      <c r="L42" s="1609">
        <v>44565</v>
      </c>
      <c r="M42" s="73">
        <v>8.4</v>
      </c>
      <c r="N42" s="894"/>
      <c r="O42" s="73"/>
      <c r="P42" s="71"/>
      <c r="Q42" s="73"/>
      <c r="R42" s="1609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>
        <f t="shared" ca="1" si="5"/>
        <v>0.35001830597891626</v>
      </c>
      <c r="AG42" s="1113">
        <f>SUM($B$9:B42)/($J$1-$B$4)*100</f>
        <v>6.3787370167055029</v>
      </c>
      <c r="AH42" s="1110"/>
      <c r="AI42" s="238"/>
      <c r="AJ42" s="238"/>
      <c r="AK42" s="51" t="e">
        <f t="shared" si="0"/>
        <v>#DIV/0!</v>
      </c>
      <c r="AL42" s="51" t="e">
        <f t="shared" si="1"/>
        <v>#DIV/0!</v>
      </c>
      <c r="AM42" s="1475">
        <f t="shared" si="3"/>
        <v>33</v>
      </c>
      <c r="AN42" s="1475">
        <f t="shared" si="4"/>
        <v>82500</v>
      </c>
      <c r="AO42" s="1465">
        <f>SUM($AH$9:AH42)</f>
        <v>50647</v>
      </c>
      <c r="AP42" s="1466">
        <f t="shared" si="2"/>
        <v>-31853</v>
      </c>
    </row>
    <row r="43" spans="1:42" x14ac:dyDescent="0.25">
      <c r="A43" s="71"/>
      <c r="B43" s="72"/>
      <c r="C43" s="73"/>
      <c r="D43" s="147"/>
      <c r="E43" s="75"/>
      <c r="F43" s="73"/>
      <c r="G43" s="147"/>
      <c r="H43" s="75"/>
      <c r="I43" s="73"/>
      <c r="J43" s="234"/>
      <c r="K43" s="73"/>
      <c r="L43" s="1609">
        <v>44594</v>
      </c>
      <c r="M43" s="73">
        <v>8.4</v>
      </c>
      <c r="N43" s="894"/>
      <c r="O43" s="73"/>
      <c r="P43" s="71"/>
      <c r="Q43" s="73"/>
      <c r="R43" s="1609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>
        <f t="shared" ca="1" si="5"/>
        <v>0.35001830597891626</v>
      </c>
      <c r="AG43" s="1113">
        <f>SUM($B$9:B43)/($J$1-$B$4)*100</f>
        <v>6.3787370167055029</v>
      </c>
      <c r="AH43" s="1110"/>
      <c r="AI43" s="238"/>
      <c r="AJ43" s="238"/>
      <c r="AK43" s="51" t="e">
        <f t="shared" si="0"/>
        <v>#DIV/0!</v>
      </c>
      <c r="AL43" s="51" t="e">
        <f t="shared" si="1"/>
        <v>#DIV/0!</v>
      </c>
      <c r="AM43" s="1475">
        <f t="shared" si="3"/>
        <v>34</v>
      </c>
      <c r="AN43" s="1475">
        <f t="shared" si="4"/>
        <v>85000</v>
      </c>
      <c r="AO43" s="1465">
        <f>SUM($AH$9:AH43)</f>
        <v>50647</v>
      </c>
      <c r="AP43" s="1466">
        <f t="shared" si="2"/>
        <v>-34353</v>
      </c>
    </row>
    <row r="44" spans="1:42" x14ac:dyDescent="0.25">
      <c r="A44" s="71"/>
      <c r="B44" s="72"/>
      <c r="C44" s="73"/>
      <c r="D44" s="147"/>
      <c r="E44" s="75"/>
      <c r="F44" s="73"/>
      <c r="G44" s="147"/>
      <c r="H44" s="75"/>
      <c r="I44" s="73"/>
      <c r="J44" s="234"/>
      <c r="K44" s="73"/>
      <c r="L44" s="1609"/>
      <c r="M44" s="73"/>
      <c r="N44" s="894"/>
      <c r="O44" s="73"/>
      <c r="P44" s="71"/>
      <c r="Q44" s="73"/>
      <c r="R44" s="1609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>
        <f t="shared" ca="1" si="5"/>
        <v>0.35001830597891626</v>
      </c>
      <c r="AG44" s="1113">
        <f>SUM($B$9:B44)/($J$1-$B$4)*100</f>
        <v>6.3787370167055029</v>
      </c>
      <c r="AH44" s="1110"/>
      <c r="AI44" s="238"/>
      <c r="AJ44" s="238"/>
      <c r="AK44" s="51" t="e">
        <f t="shared" si="0"/>
        <v>#DIV/0!</v>
      </c>
      <c r="AL44" s="51" t="e">
        <f t="shared" si="1"/>
        <v>#DIV/0!</v>
      </c>
      <c r="AM44" s="1475">
        <f t="shared" si="3"/>
        <v>35</v>
      </c>
      <c r="AN44" s="1475">
        <f t="shared" si="4"/>
        <v>87500</v>
      </c>
      <c r="AO44" s="1465">
        <f>SUM($AH$9:AH44)</f>
        <v>50647</v>
      </c>
      <c r="AP44" s="1466">
        <f t="shared" si="2"/>
        <v>-36853</v>
      </c>
    </row>
    <row r="45" spans="1:42" x14ac:dyDescent="0.25">
      <c r="A45" s="71"/>
      <c r="B45" s="72"/>
      <c r="C45" s="73"/>
      <c r="D45" s="147"/>
      <c r="E45" s="75"/>
      <c r="F45" s="73"/>
      <c r="G45" s="147"/>
      <c r="H45" s="75"/>
      <c r="I45" s="73"/>
      <c r="J45" s="234"/>
      <c r="K45" s="73"/>
      <c r="L45" s="1609"/>
      <c r="M45" s="73"/>
      <c r="N45" s="894"/>
      <c r="O45" s="73"/>
      <c r="P45" s="71"/>
      <c r="Q45" s="73"/>
      <c r="R45" s="1609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>
        <f t="shared" ca="1" si="5"/>
        <v>0.35001830597891626</v>
      </c>
      <c r="AG45" s="1113">
        <f>SUM($B$9:B45)/($J$1-$B$4)*100</f>
        <v>6.3787370167055029</v>
      </c>
      <c r="AH45" s="1110"/>
      <c r="AI45" s="238"/>
      <c r="AJ45" s="238"/>
      <c r="AK45" s="51" t="e">
        <f t="shared" ref="AK45:AK96" si="6">C45/B45</f>
        <v>#DIV/0!</v>
      </c>
      <c r="AL45" s="51" t="e">
        <f t="shared" ref="AL45:AL96" si="7">AK45-$AK$8</f>
        <v>#DIV/0!</v>
      </c>
      <c r="AM45" s="1467">
        <f t="shared" si="3"/>
        <v>36</v>
      </c>
      <c r="AN45" s="1467">
        <f t="shared" si="4"/>
        <v>90000</v>
      </c>
      <c r="AO45" s="1489">
        <f>SUM($AH$9:AH45)</f>
        <v>50647</v>
      </c>
      <c r="AP45" s="1489">
        <f t="shared" si="2"/>
        <v>-39353</v>
      </c>
    </row>
    <row r="46" spans="1:42" x14ac:dyDescent="0.25">
      <c r="A46" s="71"/>
      <c r="B46" s="72"/>
      <c r="C46" s="73"/>
      <c r="D46" s="147"/>
      <c r="E46" s="75"/>
      <c r="F46" s="73"/>
      <c r="G46" s="147"/>
      <c r="H46" s="75"/>
      <c r="I46" s="73"/>
      <c r="J46" s="234"/>
      <c r="K46" s="73"/>
      <c r="L46" s="1609"/>
      <c r="M46" s="73"/>
      <c r="N46" s="894"/>
      <c r="O46" s="73"/>
      <c r="P46" s="71"/>
      <c r="Q46" s="73"/>
      <c r="R46" s="1609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>
        <f t="shared" ca="1" si="5"/>
        <v>0.35001830597891626</v>
      </c>
      <c r="AG46" s="1113">
        <f>SUM($B$9:B46)/($J$1-$B$4)*100</f>
        <v>6.3787370167055029</v>
      </c>
      <c r="AH46" s="1110"/>
      <c r="AI46" s="238"/>
      <c r="AJ46" s="238"/>
      <c r="AK46" s="51" t="e">
        <f t="shared" si="6"/>
        <v>#DIV/0!</v>
      </c>
      <c r="AL46" s="51" t="e">
        <f t="shared" si="7"/>
        <v>#DIV/0!</v>
      </c>
      <c r="AM46" s="1475">
        <f t="shared" si="3"/>
        <v>37</v>
      </c>
      <c r="AN46" s="1475">
        <f t="shared" si="4"/>
        <v>92500</v>
      </c>
      <c r="AO46" s="1465">
        <f>SUM($AH$9:AH46)</f>
        <v>50647</v>
      </c>
      <c r="AP46" s="1466">
        <f t="shared" si="2"/>
        <v>-41853</v>
      </c>
    </row>
    <row r="47" spans="1:42" x14ac:dyDescent="0.25">
      <c r="A47" s="71"/>
      <c r="B47" s="72"/>
      <c r="C47" s="73"/>
      <c r="D47" s="147"/>
      <c r="E47" s="75"/>
      <c r="F47" s="73"/>
      <c r="G47" s="147"/>
      <c r="H47" s="75"/>
      <c r="I47" s="73"/>
      <c r="J47" s="234"/>
      <c r="K47" s="73"/>
      <c r="L47" s="1609"/>
      <c r="M47" s="73"/>
      <c r="N47" s="894"/>
      <c r="O47" s="73"/>
      <c r="P47" s="71"/>
      <c r="Q47" s="73"/>
      <c r="R47" s="1609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>
        <f t="shared" ca="1" si="5"/>
        <v>0.35001830597891626</v>
      </c>
      <c r="AG47" s="1113">
        <f>SUM($B$9:B47)/($J$1-$B$4)*100</f>
        <v>6.3787370167055029</v>
      </c>
      <c r="AH47" s="1110"/>
      <c r="AI47" s="238"/>
      <c r="AJ47" s="238"/>
      <c r="AK47" s="51" t="e">
        <f t="shared" si="6"/>
        <v>#DIV/0!</v>
      </c>
      <c r="AL47" s="51" t="e">
        <f t="shared" si="7"/>
        <v>#DIV/0!</v>
      </c>
      <c r="AM47" s="1475">
        <f t="shared" si="3"/>
        <v>38</v>
      </c>
      <c r="AN47" s="1475">
        <f t="shared" si="4"/>
        <v>95000</v>
      </c>
      <c r="AO47" s="1465">
        <f>SUM($AH$9:AH47)</f>
        <v>50647</v>
      </c>
      <c r="AP47" s="1466">
        <f t="shared" si="2"/>
        <v>-44353</v>
      </c>
    </row>
    <row r="48" spans="1:42" x14ac:dyDescent="0.25">
      <c r="A48" s="71"/>
      <c r="B48" s="72"/>
      <c r="C48" s="73"/>
      <c r="D48" s="147"/>
      <c r="E48" s="75"/>
      <c r="F48" s="73"/>
      <c r="G48" s="147"/>
      <c r="H48" s="75"/>
      <c r="I48" s="73"/>
      <c r="J48" s="234"/>
      <c r="K48" s="73"/>
      <c r="L48" s="1609"/>
      <c r="M48" s="73"/>
      <c r="N48" s="894"/>
      <c r="O48" s="73"/>
      <c r="P48" s="71"/>
      <c r="Q48" s="73"/>
      <c r="R48" s="1609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>
        <f t="shared" ca="1" si="5"/>
        <v>0.35001830597891626</v>
      </c>
      <c r="AG48" s="1113">
        <f>SUM($B$9:B48)/($J$1-$B$4)*100</f>
        <v>6.3787370167055029</v>
      </c>
      <c r="AH48" s="1110"/>
      <c r="AI48" s="238"/>
      <c r="AJ48" s="238"/>
      <c r="AK48" s="51" t="e">
        <f t="shared" si="6"/>
        <v>#DIV/0!</v>
      </c>
      <c r="AL48" s="51" t="e">
        <f t="shared" si="7"/>
        <v>#DIV/0!</v>
      </c>
      <c r="AM48" s="1475">
        <f t="shared" si="3"/>
        <v>39</v>
      </c>
      <c r="AN48" s="1475">
        <f t="shared" si="4"/>
        <v>97500</v>
      </c>
      <c r="AO48" s="1465">
        <f>SUM($AH$9:AH48)</f>
        <v>50647</v>
      </c>
      <c r="AP48" s="1466">
        <f t="shared" si="2"/>
        <v>-46853</v>
      </c>
    </row>
    <row r="49" spans="1:43" x14ac:dyDescent="0.25">
      <c r="A49" s="71"/>
      <c r="B49" s="72"/>
      <c r="C49" s="73"/>
      <c r="D49" s="147"/>
      <c r="E49" s="75"/>
      <c r="F49" s="73"/>
      <c r="G49" s="147"/>
      <c r="H49" s="75"/>
      <c r="I49" s="73"/>
      <c r="J49" s="234"/>
      <c r="K49" s="73"/>
      <c r="L49" s="1609"/>
      <c r="M49" s="73"/>
      <c r="N49" s="894"/>
      <c r="O49" s="73"/>
      <c r="P49" s="71"/>
      <c r="Q49" s="73"/>
      <c r="R49" s="1609"/>
      <c r="S49" s="73"/>
      <c r="T49" s="894"/>
      <c r="U49" s="1199"/>
      <c r="V49" s="73"/>
      <c r="W49" s="894"/>
      <c r="X49" s="1199"/>
      <c r="Y49" s="73"/>
      <c r="Z49" s="894"/>
      <c r="AA49" s="1199"/>
      <c r="AB49" s="73"/>
      <c r="AC49" s="894"/>
      <c r="AD49" s="1199"/>
      <c r="AE49" s="73"/>
      <c r="AF49" s="1112">
        <f t="shared" ca="1" si="5"/>
        <v>0.35001830597891626</v>
      </c>
      <c r="AG49" s="1113">
        <f>SUM($B$9:B49)/($J$1-$B$4)*100</f>
        <v>6.3787370167055029</v>
      </c>
      <c r="AH49" s="1110"/>
      <c r="AI49" s="238"/>
      <c r="AJ49" s="238"/>
      <c r="AK49" s="51" t="e">
        <f t="shared" si="6"/>
        <v>#DIV/0!</v>
      </c>
      <c r="AL49" s="51" t="e">
        <f t="shared" si="7"/>
        <v>#DIV/0!</v>
      </c>
      <c r="AM49" s="1475">
        <f t="shared" si="3"/>
        <v>40</v>
      </c>
      <c r="AN49" s="1475">
        <f t="shared" si="4"/>
        <v>100000</v>
      </c>
      <c r="AO49" s="1465">
        <f>SUM($AH$9:AH49)</f>
        <v>50647</v>
      </c>
      <c r="AP49" s="1466">
        <f t="shared" si="2"/>
        <v>-49353</v>
      </c>
    </row>
    <row r="50" spans="1:43" x14ac:dyDescent="0.25">
      <c r="A50" s="71"/>
      <c r="B50" s="72"/>
      <c r="C50" s="73"/>
      <c r="D50" s="147"/>
      <c r="E50" s="75"/>
      <c r="F50" s="73"/>
      <c r="G50" s="147"/>
      <c r="H50" s="75"/>
      <c r="I50" s="73"/>
      <c r="J50" s="234"/>
      <c r="K50" s="73"/>
      <c r="L50" s="1609"/>
      <c r="M50" s="73"/>
      <c r="N50" s="894"/>
      <c r="O50" s="73"/>
      <c r="P50" s="71"/>
      <c r="Q50" s="73"/>
      <c r="R50" s="1609"/>
      <c r="S50" s="73"/>
      <c r="T50" s="894"/>
      <c r="U50" s="1199"/>
      <c r="V50" s="73"/>
      <c r="W50" s="894"/>
      <c r="X50" s="1199"/>
      <c r="Y50" s="73"/>
      <c r="Z50" s="894"/>
      <c r="AA50" s="1199"/>
      <c r="AB50" s="73"/>
      <c r="AC50" s="894"/>
      <c r="AD50" s="1199"/>
      <c r="AE50" s="73"/>
      <c r="AF50" s="1112">
        <f t="shared" ca="1" si="5"/>
        <v>0.35001830597891626</v>
      </c>
      <c r="AG50" s="1113">
        <f>SUM($B$9:B50)/($J$1-$B$4)*100</f>
        <v>6.3787370167055029</v>
      </c>
      <c r="AH50" s="1110"/>
      <c r="AI50" s="238"/>
      <c r="AJ50" s="238"/>
      <c r="AK50" s="51" t="e">
        <f t="shared" si="6"/>
        <v>#DIV/0!</v>
      </c>
      <c r="AL50" s="51" t="e">
        <f t="shared" si="7"/>
        <v>#DIV/0!</v>
      </c>
      <c r="AM50" s="1475">
        <f t="shared" si="3"/>
        <v>41</v>
      </c>
      <c r="AN50" s="1475">
        <f t="shared" si="4"/>
        <v>102500</v>
      </c>
      <c r="AO50" s="1465">
        <f>SUM($AH$9:AH50)</f>
        <v>50647</v>
      </c>
      <c r="AP50" s="1466">
        <f t="shared" si="2"/>
        <v>-51853</v>
      </c>
    </row>
    <row r="51" spans="1:43" x14ac:dyDescent="0.25">
      <c r="A51" s="71"/>
      <c r="B51" s="72"/>
      <c r="C51" s="73"/>
      <c r="D51" s="147"/>
      <c r="E51" s="75"/>
      <c r="F51" s="73"/>
      <c r="G51" s="147"/>
      <c r="H51" s="75"/>
      <c r="I51" s="73"/>
      <c r="J51" s="234"/>
      <c r="K51" s="73"/>
      <c r="L51" s="1609"/>
      <c r="M51" s="73"/>
      <c r="N51" s="894"/>
      <c r="O51" s="73"/>
      <c r="P51" s="71"/>
      <c r="Q51" s="73"/>
      <c r="R51" s="1609"/>
      <c r="S51" s="73"/>
      <c r="T51" s="894"/>
      <c r="U51" s="1199"/>
      <c r="V51" s="73"/>
      <c r="W51" s="894"/>
      <c r="X51" s="1199"/>
      <c r="Y51" s="73"/>
      <c r="Z51" s="894"/>
      <c r="AA51" s="1199"/>
      <c r="AB51" s="73"/>
      <c r="AC51" s="894"/>
      <c r="AD51" s="1199"/>
      <c r="AE51" s="73"/>
      <c r="AF51" s="1112">
        <f t="shared" ca="1" si="5"/>
        <v>0.35001830597891626</v>
      </c>
      <c r="AG51" s="1113">
        <f>SUM($B$9:B51)/($J$1-$B$4)*100</f>
        <v>6.3787370167055029</v>
      </c>
      <c r="AH51" s="1110"/>
      <c r="AI51" s="238"/>
      <c r="AJ51" s="238"/>
      <c r="AK51" s="51" t="e">
        <f t="shared" si="6"/>
        <v>#DIV/0!</v>
      </c>
      <c r="AL51" s="51" t="e">
        <f t="shared" si="7"/>
        <v>#DIV/0!</v>
      </c>
      <c r="AM51" s="1475">
        <f t="shared" si="3"/>
        <v>42</v>
      </c>
      <c r="AN51" s="1475">
        <f t="shared" si="4"/>
        <v>105000</v>
      </c>
      <c r="AO51" s="1465">
        <f>SUM($AH$9:AH51)</f>
        <v>50647</v>
      </c>
      <c r="AP51" s="1466">
        <f t="shared" si="2"/>
        <v>-54353</v>
      </c>
    </row>
    <row r="52" spans="1:43" x14ac:dyDescent="0.25">
      <c r="A52" s="71"/>
      <c r="B52" s="72"/>
      <c r="C52" s="73"/>
      <c r="D52" s="147"/>
      <c r="E52" s="75"/>
      <c r="F52" s="73"/>
      <c r="G52" s="147"/>
      <c r="H52" s="75"/>
      <c r="I52" s="73"/>
      <c r="J52" s="234"/>
      <c r="K52" s="73"/>
      <c r="L52" s="1609"/>
      <c r="M52" s="73"/>
      <c r="N52" s="894"/>
      <c r="O52" s="73"/>
      <c r="P52" s="71"/>
      <c r="Q52" s="73"/>
      <c r="R52" s="1609"/>
      <c r="S52" s="73"/>
      <c r="T52" s="894"/>
      <c r="U52" s="1199"/>
      <c r="V52" s="73"/>
      <c r="W52" s="894"/>
      <c r="X52" s="1199"/>
      <c r="Y52" s="73"/>
      <c r="Z52" s="894"/>
      <c r="AA52" s="1199"/>
      <c r="AB52" s="73"/>
      <c r="AC52" s="894"/>
      <c r="AD52" s="1199"/>
      <c r="AE52" s="73"/>
      <c r="AF52" s="1112">
        <f t="shared" ca="1" si="5"/>
        <v>0.35001830597891626</v>
      </c>
      <c r="AG52" s="1113">
        <f>SUM($B$9:B52)/($J$1-$B$4)*100</f>
        <v>6.3787370167055029</v>
      </c>
      <c r="AH52" s="1110"/>
      <c r="AI52" s="238"/>
      <c r="AJ52" s="238"/>
      <c r="AK52" s="51" t="e">
        <f t="shared" si="6"/>
        <v>#DIV/0!</v>
      </c>
      <c r="AL52" s="51" t="e">
        <f t="shared" si="7"/>
        <v>#DIV/0!</v>
      </c>
      <c r="AM52" s="1475">
        <f t="shared" si="3"/>
        <v>43</v>
      </c>
      <c r="AN52" s="1475">
        <f t="shared" si="4"/>
        <v>107500</v>
      </c>
      <c r="AO52" s="1465">
        <f>SUM($AH$9:AH52)</f>
        <v>50647</v>
      </c>
      <c r="AP52" s="1466">
        <f t="shared" si="2"/>
        <v>-56853</v>
      </c>
    </row>
    <row r="53" spans="1:43" x14ac:dyDescent="0.25">
      <c r="A53" s="71"/>
      <c r="B53" s="72"/>
      <c r="C53" s="73"/>
      <c r="D53" s="147"/>
      <c r="E53" s="75"/>
      <c r="F53" s="73"/>
      <c r="G53" s="147"/>
      <c r="H53" s="75"/>
      <c r="I53" s="73"/>
      <c r="J53" s="234"/>
      <c r="K53" s="73"/>
      <c r="L53" s="1609"/>
      <c r="M53" s="73"/>
      <c r="N53" s="894"/>
      <c r="O53" s="73"/>
      <c r="P53" s="71"/>
      <c r="Q53" s="73"/>
      <c r="R53" s="1609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>
        <f t="shared" ca="1" si="5"/>
        <v>0.35001830597891626</v>
      </c>
      <c r="AG53" s="1113">
        <f>SUM($B$9:B53)/($J$1-$B$4)*100</f>
        <v>6.3787370167055029</v>
      </c>
      <c r="AH53" s="1110"/>
      <c r="AI53" s="238"/>
      <c r="AJ53" s="238"/>
      <c r="AK53" s="51" t="e">
        <f t="shared" si="6"/>
        <v>#DIV/0!</v>
      </c>
      <c r="AL53" s="51" t="e">
        <f t="shared" si="7"/>
        <v>#DIV/0!</v>
      </c>
      <c r="AM53" s="1475">
        <f t="shared" si="3"/>
        <v>44</v>
      </c>
      <c r="AN53" s="1475">
        <f t="shared" si="4"/>
        <v>110000</v>
      </c>
      <c r="AO53" s="1465">
        <f>SUM($AH$9:AH53)</f>
        <v>50647</v>
      </c>
      <c r="AP53" s="1466">
        <f t="shared" si="2"/>
        <v>-59353</v>
      </c>
    </row>
    <row r="54" spans="1:43" x14ac:dyDescent="0.25">
      <c r="A54" s="71"/>
      <c r="B54" s="72"/>
      <c r="C54" s="73"/>
      <c r="D54" s="147"/>
      <c r="E54" s="75"/>
      <c r="F54" s="73"/>
      <c r="G54" s="147"/>
      <c r="H54" s="75"/>
      <c r="I54" s="73"/>
      <c r="J54" s="234"/>
      <c r="K54" s="73"/>
      <c r="L54" s="1609"/>
      <c r="M54" s="73"/>
      <c r="N54" s="894"/>
      <c r="O54" s="73"/>
      <c r="P54" s="71"/>
      <c r="Q54" s="73"/>
      <c r="R54" s="1609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>
        <f t="shared" ca="1" si="5"/>
        <v>0.35001830597891626</v>
      </c>
      <c r="AG54" s="1113">
        <f>SUM($B$9:B54)/($J$1-$B$4)*100</f>
        <v>6.3787370167055029</v>
      </c>
      <c r="AH54" s="1110"/>
      <c r="AI54" s="238"/>
      <c r="AJ54" s="238"/>
      <c r="AK54" s="51" t="e">
        <f t="shared" si="6"/>
        <v>#DIV/0!</v>
      </c>
      <c r="AL54" s="51" t="e">
        <f t="shared" si="7"/>
        <v>#DIV/0!</v>
      </c>
      <c r="AM54" s="1475">
        <f t="shared" si="3"/>
        <v>45</v>
      </c>
      <c r="AN54" s="1475">
        <f t="shared" si="4"/>
        <v>112500</v>
      </c>
      <c r="AO54" s="1465">
        <f>SUM($AH$9:AH54)</f>
        <v>50647</v>
      </c>
      <c r="AP54" s="1466">
        <f t="shared" si="2"/>
        <v>-61853</v>
      </c>
    </row>
    <row r="55" spans="1:43" x14ac:dyDescent="0.25">
      <c r="A55" s="71"/>
      <c r="B55" s="72"/>
      <c r="C55" s="73"/>
      <c r="D55" s="147"/>
      <c r="E55" s="75"/>
      <c r="F55" s="73"/>
      <c r="G55" s="147"/>
      <c r="H55" s="75"/>
      <c r="I55" s="73"/>
      <c r="J55" s="234"/>
      <c r="K55" s="73"/>
      <c r="L55" s="1609"/>
      <c r="M55" s="73"/>
      <c r="N55" s="894"/>
      <c r="O55" s="73"/>
      <c r="P55" s="71"/>
      <c r="Q55" s="73"/>
      <c r="R55" s="1609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>
        <f t="shared" ca="1" si="5"/>
        <v>0.35001830597891626</v>
      </c>
      <c r="AG55" s="1113">
        <f>SUM($B$9:B55)/($J$1-$B$4)*100</f>
        <v>6.3787370167055029</v>
      </c>
      <c r="AH55" s="1110"/>
      <c r="AI55" s="238"/>
      <c r="AJ55" s="238"/>
      <c r="AK55" s="51" t="e">
        <f t="shared" si="6"/>
        <v>#DIV/0!</v>
      </c>
      <c r="AL55" s="51" t="e">
        <f t="shared" si="7"/>
        <v>#DIV/0!</v>
      </c>
      <c r="AM55" s="1475">
        <f t="shared" si="3"/>
        <v>46</v>
      </c>
      <c r="AN55" s="1475">
        <f t="shared" si="4"/>
        <v>115000</v>
      </c>
      <c r="AO55" s="1465">
        <f>SUM($AH$9:AH55)</f>
        <v>50647</v>
      </c>
      <c r="AP55" s="1466">
        <f t="shared" si="2"/>
        <v>-64353</v>
      </c>
    </row>
    <row r="56" spans="1:43" x14ac:dyDescent="0.25">
      <c r="A56" s="71"/>
      <c r="B56" s="72"/>
      <c r="C56" s="73"/>
      <c r="D56" s="147"/>
      <c r="E56" s="75"/>
      <c r="F56" s="73"/>
      <c r="G56" s="147"/>
      <c r="H56" s="75"/>
      <c r="I56" s="73"/>
      <c r="J56" s="234"/>
      <c r="K56" s="73"/>
      <c r="L56" s="1609"/>
      <c r="M56" s="73"/>
      <c r="N56" s="894"/>
      <c r="O56" s="73"/>
      <c r="P56" s="71"/>
      <c r="Q56" s="73"/>
      <c r="R56" s="1609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>
        <f t="shared" ca="1" si="5"/>
        <v>0.35001830597891626</v>
      </c>
      <c r="AG56" s="1113">
        <f>SUM($B$9:B56)/($J$1-$B$4)*100</f>
        <v>6.3787370167055029</v>
      </c>
      <c r="AH56" s="1110"/>
      <c r="AI56" s="238"/>
      <c r="AJ56" s="238"/>
      <c r="AK56" s="51" t="e">
        <f t="shared" si="6"/>
        <v>#DIV/0!</v>
      </c>
      <c r="AL56" s="51" t="e">
        <f t="shared" si="7"/>
        <v>#DIV/0!</v>
      </c>
      <c r="AM56" s="1475">
        <f t="shared" si="3"/>
        <v>47</v>
      </c>
      <c r="AN56" s="1475">
        <f t="shared" si="4"/>
        <v>117500</v>
      </c>
      <c r="AO56" s="1465">
        <f>SUM($AH$9:AH56)</f>
        <v>50647</v>
      </c>
      <c r="AP56" s="1466">
        <f t="shared" si="2"/>
        <v>-66853</v>
      </c>
    </row>
    <row r="57" spans="1:43" x14ac:dyDescent="0.25">
      <c r="A57" s="71"/>
      <c r="B57" s="72"/>
      <c r="C57" s="73"/>
      <c r="D57" s="147"/>
      <c r="E57" s="75"/>
      <c r="F57" s="73"/>
      <c r="G57" s="147"/>
      <c r="H57" s="75"/>
      <c r="I57" s="73"/>
      <c r="J57" s="234"/>
      <c r="K57" s="73"/>
      <c r="L57" s="1609"/>
      <c r="M57" s="73"/>
      <c r="N57" s="894"/>
      <c r="O57" s="73"/>
      <c r="P57" s="71"/>
      <c r="Q57" s="73"/>
      <c r="R57" s="1609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>
        <f t="shared" ca="1" si="5"/>
        <v>0.35001830597891626</v>
      </c>
      <c r="AG57" s="1113">
        <f>SUM($B$9:B57)/($J$1-$B$4)*100</f>
        <v>6.3787370167055029</v>
      </c>
      <c r="AH57" s="1110"/>
      <c r="AI57" s="238"/>
      <c r="AJ57" s="238"/>
      <c r="AK57" s="51" t="e">
        <f t="shared" si="6"/>
        <v>#DIV/0!</v>
      </c>
      <c r="AL57" s="51" t="e">
        <f t="shared" si="7"/>
        <v>#DIV/0!</v>
      </c>
      <c r="AM57" s="1467">
        <f t="shared" si="3"/>
        <v>48</v>
      </c>
      <c r="AN57" s="1467">
        <f t="shared" si="4"/>
        <v>120000</v>
      </c>
      <c r="AO57" s="1489">
        <f>SUM($AH$9:AH57)</f>
        <v>50647</v>
      </c>
      <c r="AP57" s="1489">
        <f t="shared" si="2"/>
        <v>-69353</v>
      </c>
      <c r="AQ57" s="1468"/>
    </row>
    <row r="58" spans="1:43" x14ac:dyDescent="0.25">
      <c r="A58" s="71"/>
      <c r="B58" s="72"/>
      <c r="C58" s="73"/>
      <c r="D58" s="147"/>
      <c r="E58" s="75"/>
      <c r="F58" s="73"/>
      <c r="G58" s="147"/>
      <c r="H58" s="75"/>
      <c r="I58" s="73"/>
      <c r="J58" s="234"/>
      <c r="K58" s="73"/>
      <c r="L58" s="1609"/>
      <c r="M58" s="73"/>
      <c r="N58" s="894"/>
      <c r="O58" s="73"/>
      <c r="P58" s="71"/>
      <c r="Q58" s="73"/>
      <c r="R58" s="1609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>
        <f t="shared" ca="1" si="5"/>
        <v>0.35001830597891626</v>
      </c>
      <c r="AG58" s="1113">
        <f>SUM($B$9:B58)/($J$1-$B$4)*100</f>
        <v>6.3787370167055029</v>
      </c>
      <c r="AH58" s="1110"/>
      <c r="AI58" s="238"/>
      <c r="AJ58" s="238"/>
      <c r="AK58" s="51" t="e">
        <f t="shared" si="6"/>
        <v>#DIV/0!</v>
      </c>
      <c r="AL58" s="51" t="e">
        <f t="shared" si="7"/>
        <v>#DIV/0!</v>
      </c>
      <c r="AM58" s="1475"/>
      <c r="AO58" s="1465"/>
      <c r="AP58" s="1477"/>
    </row>
    <row r="59" spans="1:43" x14ac:dyDescent="0.25">
      <c r="A59" s="71"/>
      <c r="B59" s="72"/>
      <c r="C59" s="73"/>
      <c r="D59" s="147"/>
      <c r="E59" s="75"/>
      <c r="F59" s="73"/>
      <c r="G59" s="147"/>
      <c r="H59" s="75"/>
      <c r="I59" s="73"/>
      <c r="J59" s="234"/>
      <c r="K59" s="73"/>
      <c r="L59" s="1609"/>
      <c r="M59" s="73"/>
      <c r="N59" s="894"/>
      <c r="O59" s="73"/>
      <c r="P59" s="71"/>
      <c r="Q59" s="73"/>
      <c r="R59" s="1609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>
        <f t="shared" ca="1" si="5"/>
        <v>0.35001830597891626</v>
      </c>
      <c r="AG59" s="1113">
        <f>SUM($B$9:B59)/($J$1-$B$4)*100</f>
        <v>6.3787370167055029</v>
      </c>
      <c r="AH59" s="1110"/>
      <c r="AI59" s="238"/>
      <c r="AJ59" s="238"/>
      <c r="AK59" s="51" t="e">
        <f t="shared" si="6"/>
        <v>#DIV/0!</v>
      </c>
      <c r="AL59" s="51" t="e">
        <f t="shared" si="7"/>
        <v>#DIV/0!</v>
      </c>
      <c r="AM59" s="1475"/>
    </row>
    <row r="60" spans="1:43" x14ac:dyDescent="0.25">
      <c r="A60" s="71"/>
      <c r="B60" s="72"/>
      <c r="C60" s="73"/>
      <c r="D60" s="147"/>
      <c r="E60" s="75"/>
      <c r="F60" s="73"/>
      <c r="G60" s="147"/>
      <c r="H60" s="75"/>
      <c r="I60" s="73"/>
      <c r="J60" s="234"/>
      <c r="K60" s="73"/>
      <c r="L60" s="1609"/>
      <c r="M60" s="73"/>
      <c r="N60" s="894"/>
      <c r="O60" s="73"/>
      <c r="P60" s="71"/>
      <c r="Q60" s="73"/>
      <c r="R60" s="1609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>
        <f t="shared" ca="1" si="5"/>
        <v>0.35001830597891626</v>
      </c>
      <c r="AG60" s="1113">
        <f>SUM($B$9:B60)/($J$1-$B$4)*100</f>
        <v>6.3787370167055029</v>
      </c>
      <c r="AH60" s="1110"/>
      <c r="AI60" s="238"/>
      <c r="AJ60" s="238"/>
      <c r="AK60" s="51" t="e">
        <f t="shared" si="6"/>
        <v>#DIV/0!</v>
      </c>
      <c r="AL60" s="51" t="e">
        <f t="shared" si="7"/>
        <v>#DIV/0!</v>
      </c>
      <c r="AM60" s="1475"/>
    </row>
    <row r="61" spans="1:43" x14ac:dyDescent="0.25">
      <c r="A61" s="71"/>
      <c r="B61" s="72"/>
      <c r="C61" s="73"/>
      <c r="D61" s="147"/>
      <c r="E61" s="75"/>
      <c r="F61" s="73"/>
      <c r="G61" s="147"/>
      <c r="H61" s="75"/>
      <c r="I61" s="73"/>
      <c r="J61" s="234"/>
      <c r="K61" s="73"/>
      <c r="L61" s="1609"/>
      <c r="M61" s="73"/>
      <c r="N61" s="894"/>
      <c r="O61" s="73"/>
      <c r="P61" s="71"/>
      <c r="Q61" s="73"/>
      <c r="R61" s="1609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>
        <f t="shared" ca="1" si="5"/>
        <v>0.35001830597891626</v>
      </c>
      <c r="AG61" s="1113">
        <f>SUM($B$9:B61)/($J$1-$B$4)*100</f>
        <v>6.3787370167055029</v>
      </c>
      <c r="AH61" s="1110"/>
      <c r="AI61" s="238"/>
      <c r="AJ61" s="238"/>
      <c r="AK61" s="51" t="e">
        <f t="shared" si="6"/>
        <v>#DIV/0!</v>
      </c>
      <c r="AL61" s="51" t="e">
        <f t="shared" si="7"/>
        <v>#DIV/0!</v>
      </c>
      <c r="AM61" s="1475"/>
    </row>
    <row r="62" spans="1:43" x14ac:dyDescent="0.25">
      <c r="A62" s="71"/>
      <c r="B62" s="72"/>
      <c r="C62" s="73"/>
      <c r="D62" s="147"/>
      <c r="E62" s="75"/>
      <c r="F62" s="73"/>
      <c r="G62" s="147"/>
      <c r="H62" s="75"/>
      <c r="I62" s="73"/>
      <c r="J62" s="234"/>
      <c r="K62" s="73"/>
      <c r="L62" s="1609"/>
      <c r="M62" s="73"/>
      <c r="N62" s="894"/>
      <c r="O62" s="73"/>
      <c r="P62" s="71"/>
      <c r="Q62" s="73"/>
      <c r="R62" s="1609"/>
      <c r="S62" s="73"/>
      <c r="T62" s="894"/>
      <c r="U62" s="1199"/>
      <c r="V62" s="73"/>
      <c r="W62" s="894"/>
      <c r="X62" s="1199"/>
      <c r="Y62" s="73"/>
      <c r="Z62" s="894"/>
      <c r="AA62" s="1199"/>
      <c r="AB62" s="73"/>
      <c r="AC62" s="894"/>
      <c r="AD62" s="1199"/>
      <c r="AE62" s="73"/>
      <c r="AF62" s="1112">
        <f t="shared" ca="1" si="5"/>
        <v>0.35001830597891626</v>
      </c>
      <c r="AG62" s="1113">
        <f>SUM($B$9:B62)/($J$1-$B$4)*100</f>
        <v>6.3787370167055029</v>
      </c>
      <c r="AH62" s="1110"/>
      <c r="AI62" s="238"/>
      <c r="AJ62" s="238"/>
      <c r="AK62" s="51" t="e">
        <f t="shared" si="6"/>
        <v>#DIV/0!</v>
      </c>
      <c r="AL62" s="51" t="e">
        <f t="shared" si="7"/>
        <v>#DIV/0!</v>
      </c>
      <c r="AM62" s="1475"/>
    </row>
    <row r="63" spans="1:43" x14ac:dyDescent="0.25">
      <c r="A63" s="71"/>
      <c r="B63" s="72"/>
      <c r="C63" s="73"/>
      <c r="D63" s="147"/>
      <c r="E63" s="75"/>
      <c r="F63" s="73"/>
      <c r="G63" s="147"/>
      <c r="H63" s="75"/>
      <c r="I63" s="73"/>
      <c r="J63" s="234"/>
      <c r="K63" s="73"/>
      <c r="L63" s="1609"/>
      <c r="M63" s="73"/>
      <c r="N63" s="894"/>
      <c r="O63" s="73"/>
      <c r="P63" s="71"/>
      <c r="Q63" s="73"/>
      <c r="R63" s="1609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>
        <f t="shared" ca="1" si="5"/>
        <v>0.35001830597891626</v>
      </c>
      <c r="AG63" s="1113">
        <f>SUM($B$9:B63)/($J$1-$B$4)*100</f>
        <v>6.3787370167055029</v>
      </c>
      <c r="AH63" s="1110"/>
      <c r="AI63" s="238"/>
      <c r="AJ63" s="238"/>
      <c r="AK63" s="51" t="e">
        <f t="shared" si="6"/>
        <v>#DIV/0!</v>
      </c>
      <c r="AL63" s="51" t="e">
        <f t="shared" si="7"/>
        <v>#DIV/0!</v>
      </c>
      <c r="AM63" s="1475"/>
    </row>
    <row r="64" spans="1:43" x14ac:dyDescent="0.25">
      <c r="A64" s="71"/>
      <c r="B64" s="72"/>
      <c r="C64" s="73"/>
      <c r="D64" s="147"/>
      <c r="E64" s="75"/>
      <c r="F64" s="73"/>
      <c r="G64" s="147"/>
      <c r="H64" s="75"/>
      <c r="I64" s="73"/>
      <c r="J64" s="234"/>
      <c r="K64" s="73"/>
      <c r="L64" s="1609"/>
      <c r="M64" s="73"/>
      <c r="N64" s="894"/>
      <c r="O64" s="73"/>
      <c r="P64" s="71"/>
      <c r="Q64" s="73"/>
      <c r="R64" s="1609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>
        <f t="shared" ca="1" si="5"/>
        <v>0.35001830597891626</v>
      </c>
      <c r="AG64" s="1113">
        <f>SUM($B$9:B64)/($J$1-$B$4)*100</f>
        <v>6.3787370167055029</v>
      </c>
      <c r="AH64" s="1110"/>
      <c r="AI64" s="238"/>
      <c r="AJ64" s="238"/>
      <c r="AK64" s="51" t="e">
        <f t="shared" si="6"/>
        <v>#DIV/0!</v>
      </c>
      <c r="AL64" s="51" t="e">
        <f t="shared" si="7"/>
        <v>#DIV/0!</v>
      </c>
      <c r="AM64" s="1475"/>
    </row>
    <row r="65" spans="1:39" x14ac:dyDescent="0.25">
      <c r="A65" s="71"/>
      <c r="B65" s="72"/>
      <c r="C65" s="73"/>
      <c r="D65" s="147"/>
      <c r="E65" s="75"/>
      <c r="F65" s="73"/>
      <c r="G65" s="147"/>
      <c r="H65" s="75"/>
      <c r="I65" s="73"/>
      <c r="J65" s="234"/>
      <c r="K65" s="73"/>
      <c r="L65" s="1609"/>
      <c r="M65" s="73"/>
      <c r="N65" s="894"/>
      <c r="O65" s="73"/>
      <c r="P65" s="71"/>
      <c r="Q65" s="73"/>
      <c r="R65" s="1609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>
        <f t="shared" ca="1" si="5"/>
        <v>0.35001830597891626</v>
      </c>
      <c r="AG65" s="1113">
        <f>SUM($B$9:B65)/($J$1-$B$4)*100</f>
        <v>6.3787370167055029</v>
      </c>
      <c r="AH65" s="1110"/>
      <c r="AI65" s="238"/>
      <c r="AJ65" s="238"/>
      <c r="AK65" s="51" t="e">
        <f t="shared" si="6"/>
        <v>#DIV/0!</v>
      </c>
      <c r="AL65" s="51" t="e">
        <f t="shared" si="7"/>
        <v>#DIV/0!</v>
      </c>
      <c r="AM65" s="1475"/>
    </row>
    <row r="66" spans="1:39" x14ac:dyDescent="0.25">
      <c r="A66" s="71"/>
      <c r="B66" s="72"/>
      <c r="C66" s="73"/>
      <c r="D66" s="147"/>
      <c r="E66" s="75"/>
      <c r="F66" s="73"/>
      <c r="G66" s="147"/>
      <c r="H66" s="75"/>
      <c r="I66" s="73"/>
      <c r="J66" s="234"/>
      <c r="K66" s="73"/>
      <c r="L66" s="1609"/>
      <c r="M66" s="73"/>
      <c r="N66" s="894"/>
      <c r="O66" s="73"/>
      <c r="P66" s="71"/>
      <c r="Q66" s="73"/>
      <c r="R66" s="1609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>
        <f t="shared" ca="1" si="5"/>
        <v>0.35001830597891626</v>
      </c>
      <c r="AG66" s="1113">
        <f>SUM($B$9:B66)/($J$1-$B$4)*100</f>
        <v>6.3787370167055029</v>
      </c>
      <c r="AH66" s="1110"/>
      <c r="AI66" s="238"/>
      <c r="AJ66" s="238"/>
      <c r="AK66" s="51" t="e">
        <f t="shared" si="6"/>
        <v>#DIV/0!</v>
      </c>
      <c r="AL66" s="51" t="e">
        <f t="shared" si="7"/>
        <v>#DIV/0!</v>
      </c>
      <c r="AM66" s="1475"/>
    </row>
    <row r="67" spans="1:39" x14ac:dyDescent="0.25">
      <c r="A67" s="71"/>
      <c r="B67" s="72"/>
      <c r="C67" s="73"/>
      <c r="D67" s="147"/>
      <c r="E67" s="75"/>
      <c r="F67" s="73"/>
      <c r="G67" s="147"/>
      <c r="H67" s="75"/>
      <c r="I67" s="73"/>
      <c r="J67" s="234"/>
      <c r="K67" s="73"/>
      <c r="L67" s="1609"/>
      <c r="M67" s="73"/>
      <c r="N67" s="894"/>
      <c r="O67" s="73"/>
      <c r="P67" s="71"/>
      <c r="Q67" s="73"/>
      <c r="R67" s="1609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>
        <f t="shared" ca="1" si="5"/>
        <v>0.35001830597891626</v>
      </c>
      <c r="AG67" s="1113">
        <f>SUM($B$9:B67)/($J$1-$B$4)*100</f>
        <v>6.3787370167055029</v>
      </c>
      <c r="AH67" s="1110"/>
      <c r="AI67" s="238"/>
      <c r="AJ67" s="238"/>
      <c r="AK67" s="51" t="e">
        <f t="shared" si="6"/>
        <v>#DIV/0!</v>
      </c>
      <c r="AL67" s="51" t="e">
        <f t="shared" si="7"/>
        <v>#DIV/0!</v>
      </c>
      <c r="AM67" s="1475"/>
    </row>
    <row r="68" spans="1:39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609"/>
      <c r="M68" s="73"/>
      <c r="N68" s="894"/>
      <c r="O68" s="73"/>
      <c r="P68" s="71"/>
      <c r="Q68" s="73"/>
      <c r="R68" s="1609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>
        <f t="shared" ca="1" si="5"/>
        <v>0.35001830597891626</v>
      </c>
      <c r="AG68" s="1113">
        <f>SUM($B$9:B68)/($J$1-$B$4)*100</f>
        <v>6.3787370167055029</v>
      </c>
      <c r="AH68" s="1110"/>
      <c r="AI68" s="238"/>
      <c r="AJ68" s="238"/>
      <c r="AK68" s="51" t="e">
        <f t="shared" si="6"/>
        <v>#DIV/0!</v>
      </c>
      <c r="AL68" s="51" t="e">
        <f t="shared" si="7"/>
        <v>#DIV/0!</v>
      </c>
      <c r="AM68" s="1475"/>
    </row>
    <row r="69" spans="1:39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/>
      <c r="M69" s="73"/>
      <c r="N69" s="894"/>
      <c r="O69" s="73"/>
      <c r="P69" s="71"/>
      <c r="Q69" s="73"/>
      <c r="R69" s="1609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>
        <f t="shared" ca="1" si="5"/>
        <v>0.35001830597891626</v>
      </c>
      <c r="AG69" s="1113">
        <f>SUM($B$9:B69)/($J$1-$B$4)*100</f>
        <v>6.3787370167055029</v>
      </c>
      <c r="AH69" s="1110"/>
      <c r="AI69" s="238"/>
      <c r="AJ69" s="238"/>
      <c r="AK69" s="51" t="e">
        <f t="shared" si="6"/>
        <v>#DIV/0!</v>
      </c>
      <c r="AL69" s="51" t="e">
        <f t="shared" si="7"/>
        <v>#DIV/0!</v>
      </c>
      <c r="AM69" s="1475"/>
    </row>
    <row r="70" spans="1:39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/>
      <c r="M70" s="73"/>
      <c r="N70" s="894"/>
      <c r="O70" s="73"/>
      <c r="P70" s="71"/>
      <c r="Q70" s="73"/>
      <c r="R70" s="1609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>
        <f t="shared" ca="1" si="5"/>
        <v>0.35001830597891626</v>
      </c>
      <c r="AG70" s="1113">
        <f>SUM($B$9:B70)/($J$1-$B$4)*100</f>
        <v>6.3787370167055029</v>
      </c>
      <c r="AH70" s="1110"/>
      <c r="AI70" s="238"/>
      <c r="AJ70" s="238"/>
      <c r="AK70" s="51" t="e">
        <f t="shared" si="6"/>
        <v>#DIV/0!</v>
      </c>
      <c r="AL70" s="51" t="e">
        <f t="shared" si="7"/>
        <v>#DIV/0!</v>
      </c>
      <c r="AM70" s="1475"/>
    </row>
    <row r="71" spans="1:39" x14ac:dyDescent="0.25">
      <c r="A71" s="71"/>
      <c r="B71" s="72"/>
      <c r="C71" s="73"/>
      <c r="D71" s="147"/>
      <c r="E71" s="75"/>
      <c r="F71" s="73"/>
      <c r="G71" s="147"/>
      <c r="H71" s="75"/>
      <c r="I71" s="73"/>
      <c r="J71" s="234"/>
      <c r="K71" s="73"/>
      <c r="L71" s="1609"/>
      <c r="M71" s="73"/>
      <c r="N71" s="894"/>
      <c r="O71" s="73"/>
      <c r="P71" s="71"/>
      <c r="Q71" s="73"/>
      <c r="R71" s="1609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>
        <f t="shared" ca="1" si="5"/>
        <v>0.35001830597891626</v>
      </c>
      <c r="AG71" s="1113">
        <f>SUM($B$9:B71)/($J$1-$B$4)*100</f>
        <v>6.3787370167055029</v>
      </c>
      <c r="AH71" s="1110"/>
      <c r="AI71" s="238"/>
      <c r="AJ71" s="238"/>
      <c r="AK71" s="51" t="e">
        <f t="shared" si="6"/>
        <v>#DIV/0!</v>
      </c>
      <c r="AL71" s="51" t="e">
        <f t="shared" si="7"/>
        <v>#DIV/0!</v>
      </c>
      <c r="AM71" s="1475"/>
    </row>
    <row r="72" spans="1:39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/>
      <c r="M72" s="73"/>
      <c r="N72" s="894"/>
      <c r="O72" s="73"/>
      <c r="P72" s="71"/>
      <c r="Q72" s="73"/>
      <c r="R72" s="1609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>
        <f t="shared" ca="1" si="5"/>
        <v>0.35001830597891626</v>
      </c>
      <c r="AG72" s="1113">
        <f>SUM($B$9:B72)/($J$1-$B$4)*100</f>
        <v>6.3787370167055029</v>
      </c>
      <c r="AH72" s="1110"/>
      <c r="AI72" s="238"/>
      <c r="AJ72" s="238"/>
      <c r="AK72" s="51" t="e">
        <f t="shared" si="6"/>
        <v>#DIV/0!</v>
      </c>
      <c r="AL72" s="51" t="e">
        <f t="shared" si="7"/>
        <v>#DIV/0!</v>
      </c>
      <c r="AM72" s="1475"/>
    </row>
    <row r="73" spans="1:39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/>
      <c r="M73" s="73"/>
      <c r="N73" s="894"/>
      <c r="O73" s="73"/>
      <c r="P73" s="71"/>
      <c r="Q73" s="73"/>
      <c r="R73" s="1609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>
        <f t="shared" ca="1" si="5"/>
        <v>0.35001830597891626</v>
      </c>
      <c r="AG73" s="1113">
        <f>SUM($B$9:B73)/($J$1-$B$4)*100</f>
        <v>6.3787370167055029</v>
      </c>
      <c r="AH73" s="1110"/>
      <c r="AI73" s="238"/>
      <c r="AJ73" s="238"/>
      <c r="AK73" s="51" t="e">
        <f t="shared" si="6"/>
        <v>#DIV/0!</v>
      </c>
      <c r="AL73" s="51" t="e">
        <f t="shared" si="7"/>
        <v>#DIV/0!</v>
      </c>
      <c r="AM73" s="1475"/>
    </row>
    <row r="74" spans="1:39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/>
      <c r="M74" s="73"/>
      <c r="N74" s="894"/>
      <c r="O74" s="73"/>
      <c r="P74" s="71"/>
      <c r="Q74" s="73"/>
      <c r="R74" s="1609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>
        <f t="shared" ca="1" si="5"/>
        <v>0.35001830597891626</v>
      </c>
      <c r="AG74" s="1113">
        <f>SUM($B$9:B74)/($J$1-$B$4)*100</f>
        <v>6.3787370167055029</v>
      </c>
      <c r="AH74" s="1110"/>
      <c r="AI74" s="238"/>
      <c r="AJ74" s="238"/>
      <c r="AK74" s="51" t="e">
        <f t="shared" si="6"/>
        <v>#DIV/0!</v>
      </c>
      <c r="AL74" s="51" t="e">
        <f t="shared" si="7"/>
        <v>#DIV/0!</v>
      </c>
      <c r="AM74" s="1475"/>
    </row>
    <row r="75" spans="1:39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1609"/>
      <c r="M75" s="73"/>
      <c r="N75" s="894"/>
      <c r="O75" s="73"/>
      <c r="P75" s="71"/>
      <c r="Q75" s="73"/>
      <c r="R75" s="1609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>
        <f t="shared" ca="1" si="5"/>
        <v>0.35001830597891626</v>
      </c>
      <c r="AG75" s="1113">
        <f>SUM($B$9:B75)/($J$1-$B$4)*100</f>
        <v>6.3787370167055029</v>
      </c>
      <c r="AH75" s="1110"/>
      <c r="AI75" s="238"/>
      <c r="AJ75" s="238"/>
      <c r="AK75" s="51" t="e">
        <f t="shared" si="6"/>
        <v>#DIV/0!</v>
      </c>
      <c r="AL75" s="51" t="e">
        <f t="shared" si="7"/>
        <v>#DIV/0!</v>
      </c>
      <c r="AM75" s="1475"/>
    </row>
    <row r="76" spans="1:39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1609"/>
      <c r="M76" s="73"/>
      <c r="N76" s="894"/>
      <c r="O76" s="73"/>
      <c r="P76" s="71"/>
      <c r="Q76" s="73"/>
      <c r="R76" s="1609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>
        <f t="shared" ca="1" si="5"/>
        <v>0.35001830597891626</v>
      </c>
      <c r="AG76" s="1113">
        <f>SUM($B$9:B76)/($J$1-$B$4)*100</f>
        <v>6.3787370167055029</v>
      </c>
      <c r="AH76" s="1110"/>
      <c r="AI76" s="238"/>
      <c r="AJ76" s="238"/>
      <c r="AK76" s="51" t="e">
        <f t="shared" si="6"/>
        <v>#DIV/0!</v>
      </c>
      <c r="AL76" s="51" t="e">
        <f t="shared" si="7"/>
        <v>#DIV/0!</v>
      </c>
      <c r="AM76" s="1475"/>
    </row>
    <row r="77" spans="1:39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1609"/>
      <c r="M77" s="73"/>
      <c r="N77" s="894"/>
      <c r="O77" s="73"/>
      <c r="P77" s="71"/>
      <c r="Q77" s="73"/>
      <c r="R77" s="1609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>
        <f t="shared" ca="1" si="5"/>
        <v>0.35001830597891626</v>
      </c>
      <c r="AG77" s="1113">
        <f>SUM($B$9:B77)/($J$1-$B$4)*100</f>
        <v>6.3787370167055029</v>
      </c>
      <c r="AH77" s="1110"/>
      <c r="AI77" s="238"/>
      <c r="AJ77" s="238"/>
      <c r="AK77" s="51" t="e">
        <f t="shared" si="6"/>
        <v>#DIV/0!</v>
      </c>
      <c r="AL77" s="51" t="e">
        <f t="shared" si="7"/>
        <v>#DIV/0!</v>
      </c>
      <c r="AM77" s="1475"/>
    </row>
    <row r="78" spans="1:39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1609"/>
      <c r="M78" s="73"/>
      <c r="N78" s="894"/>
      <c r="O78" s="73"/>
      <c r="P78" s="71"/>
      <c r="Q78" s="73"/>
      <c r="R78" s="1609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>
        <f t="shared" ca="1" si="5"/>
        <v>0.35001830597891626</v>
      </c>
      <c r="AG78" s="1113">
        <f>SUM($B$9:B78)/($J$1-$B$4)*100</f>
        <v>6.3787370167055029</v>
      </c>
      <c r="AH78" s="1110"/>
      <c r="AI78" s="238"/>
      <c r="AJ78" s="238"/>
      <c r="AK78" s="51" t="e">
        <f t="shared" si="6"/>
        <v>#DIV/0!</v>
      </c>
      <c r="AL78" s="51" t="e">
        <f t="shared" si="7"/>
        <v>#DIV/0!</v>
      </c>
      <c r="AM78" s="1475"/>
    </row>
    <row r="79" spans="1:39" x14ac:dyDescent="0.25">
      <c r="A79" s="71"/>
      <c r="B79" s="72"/>
      <c r="C79" s="73"/>
      <c r="D79" s="147"/>
      <c r="E79" s="75"/>
      <c r="F79" s="73"/>
      <c r="G79" s="1161"/>
      <c r="H79" s="831"/>
      <c r="I79" s="835"/>
      <c r="J79" s="234"/>
      <c r="K79" s="73"/>
      <c r="L79" s="1609"/>
      <c r="M79" s="73"/>
      <c r="N79" s="894"/>
      <c r="O79" s="73"/>
      <c r="P79" s="71"/>
      <c r="Q79" s="73"/>
      <c r="R79" s="1609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>
        <f t="shared" ca="1" si="5"/>
        <v>0.35001830597891626</v>
      </c>
      <c r="AG79" s="1113">
        <f>SUM($B$9:B79)/($J$1-$B$4)*100</f>
        <v>6.3787370167055029</v>
      </c>
      <c r="AH79" s="1110"/>
      <c r="AI79" s="238"/>
      <c r="AJ79" s="238"/>
      <c r="AK79" s="51" t="e">
        <f t="shared" si="6"/>
        <v>#DIV/0!</v>
      </c>
      <c r="AL79" s="51" t="e">
        <f t="shared" si="7"/>
        <v>#DIV/0!</v>
      </c>
      <c r="AM79" s="1475"/>
    </row>
    <row r="80" spans="1:39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1609"/>
      <c r="M80" s="73"/>
      <c r="N80" s="894"/>
      <c r="O80" s="73"/>
      <c r="P80" s="71"/>
      <c r="Q80" s="73"/>
      <c r="R80" s="1609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>
        <f t="shared" ca="1" si="5"/>
        <v>0.35001830597891626</v>
      </c>
      <c r="AG80" s="1113">
        <f>SUM($B$9:B80)/($J$1-$B$4)*100</f>
        <v>6.3787370167055029</v>
      </c>
      <c r="AH80" s="1110"/>
      <c r="AI80" s="238"/>
      <c r="AJ80" s="238"/>
      <c r="AK80" s="51" t="e">
        <f t="shared" si="6"/>
        <v>#DIV/0!</v>
      </c>
      <c r="AL80" s="51" t="e">
        <f t="shared" si="7"/>
        <v>#DIV/0!</v>
      </c>
      <c r="AM80" s="1475"/>
    </row>
    <row r="81" spans="1:39" x14ac:dyDescent="0.25">
      <c r="A81" s="71"/>
      <c r="B81" s="72"/>
      <c r="C81" s="73"/>
      <c r="D81" s="147"/>
      <c r="E81" s="75"/>
      <c r="F81" s="73"/>
      <c r="G81" s="345"/>
      <c r="H81" s="346"/>
      <c r="I81" s="347"/>
      <c r="J81" s="234"/>
      <c r="K81" s="73"/>
      <c r="L81" s="1609"/>
      <c r="M81" s="73"/>
      <c r="N81" s="894"/>
      <c r="O81" s="73"/>
      <c r="P81" s="71"/>
      <c r="Q81" s="73"/>
      <c r="R81" s="1609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>
        <f t="shared" ca="1" si="5"/>
        <v>0.35001830597891626</v>
      </c>
      <c r="AG81" s="1113">
        <f>SUM($B$9:B81)/($J$1-$B$4)*100</f>
        <v>6.3787370167055029</v>
      </c>
      <c r="AH81" s="1110"/>
      <c r="AI81" s="238"/>
      <c r="AJ81" s="238"/>
      <c r="AK81" s="51" t="e">
        <f t="shared" si="6"/>
        <v>#DIV/0!</v>
      </c>
      <c r="AL81" s="51" t="e">
        <f t="shared" si="7"/>
        <v>#DIV/0!</v>
      </c>
      <c r="AM81" s="1475"/>
    </row>
    <row r="82" spans="1:39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1609"/>
      <c r="M82" s="73"/>
      <c r="N82" s="894"/>
      <c r="O82" s="73"/>
      <c r="P82" s="71"/>
      <c r="Q82" s="73"/>
      <c r="R82" s="1609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>
        <f t="shared" ca="1" si="5"/>
        <v>0.35001830597891626</v>
      </c>
      <c r="AG82" s="1113">
        <f>SUM($B$9:B82)/($J$1-$B$4)*100</f>
        <v>6.3787370167055029</v>
      </c>
      <c r="AH82" s="1110"/>
      <c r="AI82" s="238"/>
      <c r="AJ82" s="238"/>
      <c r="AK82" s="51" t="e">
        <f t="shared" si="6"/>
        <v>#DIV/0!</v>
      </c>
      <c r="AL82" s="51" t="e">
        <f t="shared" si="7"/>
        <v>#DIV/0!</v>
      </c>
      <c r="AM82" s="1475"/>
    </row>
    <row r="83" spans="1:39" x14ac:dyDescent="0.25">
      <c r="A83" s="71"/>
      <c r="B83" s="72"/>
      <c r="C83" s="73"/>
      <c r="D83" s="147"/>
      <c r="E83" s="75"/>
      <c r="F83" s="73"/>
      <c r="G83" s="147"/>
      <c r="H83" s="75"/>
      <c r="I83" s="73"/>
      <c r="J83" s="234"/>
      <c r="K83" s="73"/>
      <c r="L83" s="1609"/>
      <c r="M83" s="73"/>
      <c r="N83" s="894"/>
      <c r="O83" s="73"/>
      <c r="P83" s="71"/>
      <c r="Q83" s="73"/>
      <c r="R83" s="1609"/>
      <c r="S83" s="73"/>
      <c r="T83" s="894"/>
      <c r="U83" s="1199"/>
      <c r="V83" s="73"/>
      <c r="W83" s="894"/>
      <c r="X83" s="1199"/>
      <c r="Y83" s="73"/>
      <c r="Z83" s="894"/>
      <c r="AA83" s="1199"/>
      <c r="AB83" s="73"/>
      <c r="AC83" s="894"/>
      <c r="AD83" s="1199"/>
      <c r="AE83" s="73"/>
      <c r="AF83" s="1112">
        <f t="shared" ca="1" si="5"/>
        <v>0.35001830597891626</v>
      </c>
      <c r="AG83" s="1113">
        <f>SUM($B$9:B83)/($J$1-$B$4)*100</f>
        <v>6.3787370167055029</v>
      </c>
      <c r="AH83" s="1110"/>
      <c r="AI83" s="238"/>
      <c r="AJ83" s="238"/>
      <c r="AK83" s="51" t="e">
        <f t="shared" si="6"/>
        <v>#DIV/0!</v>
      </c>
      <c r="AL83" s="51" t="e">
        <f t="shared" si="7"/>
        <v>#DIV/0!</v>
      </c>
      <c r="AM83" s="1475"/>
    </row>
    <row r="84" spans="1:39" x14ac:dyDescent="0.25">
      <c r="A84" s="71"/>
      <c r="B84" s="72"/>
      <c r="C84" s="73"/>
      <c r="D84" s="147"/>
      <c r="E84" s="75"/>
      <c r="F84" s="73"/>
      <c r="G84" s="147"/>
      <c r="H84" s="75"/>
      <c r="I84" s="73"/>
      <c r="J84" s="234"/>
      <c r="K84" s="73"/>
      <c r="L84" s="1609"/>
      <c r="M84" s="73"/>
      <c r="N84" s="894"/>
      <c r="O84" s="73"/>
      <c r="P84" s="71"/>
      <c r="Q84" s="73"/>
      <c r="R84" s="1609"/>
      <c r="S84" s="73"/>
      <c r="T84" s="894"/>
      <c r="U84" s="1199"/>
      <c r="V84" s="73"/>
      <c r="W84" s="894"/>
      <c r="X84" s="1199"/>
      <c r="Y84" s="73"/>
      <c r="Z84" s="894"/>
      <c r="AA84" s="1199"/>
      <c r="AB84" s="73"/>
      <c r="AC84" s="894"/>
      <c r="AD84" s="1199"/>
      <c r="AE84" s="73"/>
      <c r="AF84" s="1112">
        <f t="shared" ca="1" si="5"/>
        <v>0.35001830597891626</v>
      </c>
      <c r="AG84" s="1113">
        <f>SUM($B$9:B84)/($J$1-$B$4)*100</f>
        <v>6.3787370167055029</v>
      </c>
      <c r="AH84" s="1110"/>
      <c r="AI84" s="238"/>
      <c r="AJ84" s="238"/>
      <c r="AK84" s="51" t="e">
        <f t="shared" si="6"/>
        <v>#DIV/0!</v>
      </c>
      <c r="AL84" s="51" t="e">
        <f t="shared" si="7"/>
        <v>#DIV/0!</v>
      </c>
      <c r="AM84" s="1475"/>
    </row>
    <row r="85" spans="1:39" x14ac:dyDescent="0.25">
      <c r="A85" s="71"/>
      <c r="B85" s="72"/>
      <c r="C85" s="73"/>
      <c r="D85" s="147"/>
      <c r="E85" s="75"/>
      <c r="F85" s="73"/>
      <c r="G85" s="1162"/>
      <c r="H85" s="75"/>
      <c r="I85" s="73"/>
      <c r="J85" s="234"/>
      <c r="K85" s="73"/>
      <c r="L85" s="1609"/>
      <c r="M85" s="73"/>
      <c r="N85" s="894"/>
      <c r="O85" s="73"/>
      <c r="P85" s="71"/>
      <c r="Q85" s="73"/>
      <c r="R85" s="1609"/>
      <c r="S85" s="73"/>
      <c r="T85" s="894"/>
      <c r="U85" s="1199"/>
      <c r="V85" s="73"/>
      <c r="W85" s="894"/>
      <c r="X85" s="1199"/>
      <c r="Y85" s="73"/>
      <c r="Z85" s="894"/>
      <c r="AA85" s="1199"/>
      <c r="AB85" s="73"/>
      <c r="AC85" s="894"/>
      <c r="AD85" s="1199"/>
      <c r="AE85" s="73"/>
      <c r="AF85" s="1112">
        <f t="shared" ca="1" si="5"/>
        <v>0.35001830597891626</v>
      </c>
      <c r="AG85" s="1113">
        <f>SUM($B$9:B85)/($J$1-$B$4)*100</f>
        <v>6.3787370167055029</v>
      </c>
      <c r="AH85" s="1110"/>
      <c r="AI85" s="238"/>
      <c r="AJ85" s="238"/>
      <c r="AK85" s="51" t="e">
        <f t="shared" si="6"/>
        <v>#DIV/0!</v>
      </c>
      <c r="AL85" s="51" t="e">
        <f t="shared" si="7"/>
        <v>#DIV/0!</v>
      </c>
      <c r="AM85" s="1475"/>
    </row>
    <row r="86" spans="1:39" x14ac:dyDescent="0.25">
      <c r="A86" s="71"/>
      <c r="B86" s="72"/>
      <c r="C86" s="73"/>
      <c r="D86" s="147"/>
      <c r="E86" s="75"/>
      <c r="F86" s="73"/>
      <c r="G86" s="147"/>
      <c r="H86" s="75"/>
      <c r="I86" s="73"/>
      <c r="J86" s="234"/>
      <c r="K86" s="73"/>
      <c r="L86" s="1609"/>
      <c r="M86" s="73"/>
      <c r="N86" s="894"/>
      <c r="O86" s="73"/>
      <c r="P86" s="71"/>
      <c r="Q86" s="73"/>
      <c r="R86" s="1609"/>
      <c r="S86" s="73"/>
      <c r="T86" s="894"/>
      <c r="U86" s="1199"/>
      <c r="V86" s="73"/>
      <c r="W86" s="894"/>
      <c r="X86" s="1199"/>
      <c r="Y86" s="73"/>
      <c r="Z86" s="894"/>
      <c r="AA86" s="1199"/>
      <c r="AB86" s="73"/>
      <c r="AC86" s="894"/>
      <c r="AD86" s="1199"/>
      <c r="AE86" s="73"/>
      <c r="AF86" s="1112">
        <f t="shared" ca="1" si="5"/>
        <v>0.35001830597891626</v>
      </c>
      <c r="AG86" s="1113">
        <f>SUM($B$9:B86)/($J$1-$B$4)*100</f>
        <v>6.3787370167055029</v>
      </c>
      <c r="AH86" s="1110"/>
      <c r="AI86" s="238"/>
      <c r="AJ86" s="238"/>
      <c r="AK86" s="51" t="e">
        <f t="shared" si="6"/>
        <v>#DIV/0!</v>
      </c>
      <c r="AL86" s="51" t="e">
        <f t="shared" si="7"/>
        <v>#DIV/0!</v>
      </c>
      <c r="AM86" s="1475"/>
    </row>
    <row r="87" spans="1:39" x14ac:dyDescent="0.25">
      <c r="A87" s="71"/>
      <c r="B87" s="72"/>
      <c r="C87" s="73"/>
      <c r="D87" s="147"/>
      <c r="E87" s="75"/>
      <c r="F87" s="73"/>
      <c r="G87" s="147"/>
      <c r="H87" s="75"/>
      <c r="I87" s="73"/>
      <c r="J87" s="234"/>
      <c r="K87" s="73"/>
      <c r="L87" s="1609"/>
      <c r="M87" s="73"/>
      <c r="N87" s="894"/>
      <c r="O87" s="73"/>
      <c r="P87" s="71"/>
      <c r="Q87" s="73"/>
      <c r="R87" s="1609"/>
      <c r="S87" s="73"/>
      <c r="T87" s="894"/>
      <c r="U87" s="1199"/>
      <c r="V87" s="73"/>
      <c r="W87" s="894"/>
      <c r="X87" s="1199"/>
      <c r="Y87" s="73"/>
      <c r="Z87" s="894"/>
      <c r="AA87" s="1199"/>
      <c r="AB87" s="73"/>
      <c r="AC87" s="894"/>
      <c r="AD87" s="1199"/>
      <c r="AE87" s="73"/>
      <c r="AF87" s="1112">
        <f t="shared" ca="1" si="5"/>
        <v>0.35001830597891626</v>
      </c>
      <c r="AG87" s="1113">
        <f>SUM($B$9:B87)/($J$1-$B$4)*100</f>
        <v>6.3787370167055029</v>
      </c>
      <c r="AH87" s="1110"/>
      <c r="AI87" s="238"/>
      <c r="AJ87" s="238"/>
      <c r="AK87" s="51" t="e">
        <f t="shared" si="6"/>
        <v>#DIV/0!</v>
      </c>
      <c r="AL87" s="51" t="e">
        <f t="shared" si="7"/>
        <v>#DIV/0!</v>
      </c>
      <c r="AM87" s="1475"/>
    </row>
    <row r="88" spans="1:39" x14ac:dyDescent="0.25">
      <c r="A88" s="71"/>
      <c r="B88" s="72"/>
      <c r="C88" s="73"/>
      <c r="D88" s="147"/>
      <c r="E88" s="75"/>
      <c r="F88" s="73"/>
      <c r="G88" s="147"/>
      <c r="H88" s="75"/>
      <c r="I88" s="73"/>
      <c r="J88" s="234"/>
      <c r="K88" s="73"/>
      <c r="L88" s="1609"/>
      <c r="M88" s="73"/>
      <c r="N88" s="894"/>
      <c r="O88" s="73"/>
      <c r="P88" s="71"/>
      <c r="Q88" s="73"/>
      <c r="R88" s="1609"/>
      <c r="S88" s="73"/>
      <c r="T88" s="894"/>
      <c r="U88" s="1199"/>
      <c r="V88" s="73"/>
      <c r="W88" s="894"/>
      <c r="X88" s="1199"/>
      <c r="Y88" s="73"/>
      <c r="Z88" s="894"/>
      <c r="AA88" s="1199"/>
      <c r="AB88" s="73"/>
      <c r="AC88" s="894"/>
      <c r="AD88" s="1199"/>
      <c r="AE88" s="73"/>
      <c r="AF88" s="1112">
        <f t="shared" ca="1" si="5"/>
        <v>0.35001830597891626</v>
      </c>
      <c r="AG88" s="1113">
        <f>SUM($B$9:B88)/($J$1-$B$4)*100</f>
        <v>6.3787370167055029</v>
      </c>
      <c r="AH88" s="1110"/>
      <c r="AI88" s="238"/>
      <c r="AJ88" s="238"/>
      <c r="AK88" s="51" t="e">
        <f t="shared" si="6"/>
        <v>#DIV/0!</v>
      </c>
      <c r="AL88" s="51" t="e">
        <f t="shared" si="7"/>
        <v>#DIV/0!</v>
      </c>
      <c r="AM88" s="1475"/>
    </row>
    <row r="89" spans="1:39" x14ac:dyDescent="0.25">
      <c r="A89" s="71"/>
      <c r="B89" s="72"/>
      <c r="C89" s="73"/>
      <c r="D89" s="147"/>
      <c r="E89" s="75"/>
      <c r="F89" s="73"/>
      <c r="G89" s="147"/>
      <c r="H89" s="75"/>
      <c r="I89" s="73"/>
      <c r="J89" s="234"/>
      <c r="K89" s="73"/>
      <c r="L89" s="1609"/>
      <c r="M89" s="73"/>
      <c r="N89" s="894"/>
      <c r="O89" s="73"/>
      <c r="P89" s="71"/>
      <c r="Q89" s="73"/>
      <c r="R89" s="1609"/>
      <c r="S89" s="73"/>
      <c r="T89" s="894"/>
      <c r="U89" s="1199"/>
      <c r="V89" s="73"/>
      <c r="W89" s="894"/>
      <c r="X89" s="1199"/>
      <c r="Y89" s="73"/>
      <c r="Z89" s="894"/>
      <c r="AA89" s="1199"/>
      <c r="AB89" s="73"/>
      <c r="AC89" s="894"/>
      <c r="AD89" s="1199"/>
      <c r="AE89" s="73"/>
      <c r="AF89" s="1112">
        <f t="shared" ca="1" si="5"/>
        <v>0.35001830597891626</v>
      </c>
      <c r="AG89" s="1113">
        <f>SUM($B$9:B89)/($J$1-$B$4)*100</f>
        <v>6.3787370167055029</v>
      </c>
      <c r="AH89" s="1110"/>
      <c r="AI89" s="238"/>
      <c r="AJ89" s="238"/>
      <c r="AK89" s="51" t="e">
        <f t="shared" si="6"/>
        <v>#DIV/0!</v>
      </c>
      <c r="AL89" s="51" t="e">
        <f t="shared" si="7"/>
        <v>#DIV/0!</v>
      </c>
      <c r="AM89" s="1475"/>
    </row>
    <row r="90" spans="1:39" x14ac:dyDescent="0.25">
      <c r="A90" s="71"/>
      <c r="B90" s="72"/>
      <c r="C90" s="73"/>
      <c r="D90" s="147"/>
      <c r="E90" s="75"/>
      <c r="F90" s="73"/>
      <c r="G90" s="147"/>
      <c r="H90" s="75"/>
      <c r="I90" s="73"/>
      <c r="J90" s="234"/>
      <c r="K90" s="73"/>
      <c r="L90" s="1609"/>
      <c r="M90" s="73"/>
      <c r="N90" s="894"/>
      <c r="O90" s="73"/>
      <c r="P90" s="71"/>
      <c r="Q90" s="73"/>
      <c r="R90" s="1609"/>
      <c r="S90" s="73"/>
      <c r="T90" s="894"/>
      <c r="U90" s="1199"/>
      <c r="V90" s="73"/>
      <c r="W90" s="894"/>
      <c r="X90" s="1199"/>
      <c r="Y90" s="73"/>
      <c r="Z90" s="894"/>
      <c r="AA90" s="1199"/>
      <c r="AB90" s="73"/>
      <c r="AC90" s="894"/>
      <c r="AD90" s="1199"/>
      <c r="AE90" s="73"/>
      <c r="AF90" s="1112">
        <f t="shared" ca="1" si="5"/>
        <v>0.35001830597891626</v>
      </c>
      <c r="AG90" s="1113">
        <f>SUM($B$9:B90)/($J$1-$B$4)*100</f>
        <v>6.3787370167055029</v>
      </c>
      <c r="AH90" s="1110"/>
      <c r="AI90" s="238"/>
      <c r="AJ90" s="238"/>
      <c r="AK90" s="51" t="e">
        <f t="shared" si="6"/>
        <v>#DIV/0!</v>
      </c>
      <c r="AL90" s="51" t="e">
        <f t="shared" si="7"/>
        <v>#DIV/0!</v>
      </c>
      <c r="AM90" s="1475"/>
    </row>
    <row r="91" spans="1:39" x14ac:dyDescent="0.25">
      <c r="A91" s="71"/>
      <c r="B91" s="72"/>
      <c r="C91" s="73"/>
      <c r="D91" s="147"/>
      <c r="E91" s="75"/>
      <c r="F91" s="73"/>
      <c r="G91" s="147"/>
      <c r="H91" s="75"/>
      <c r="I91" s="73"/>
      <c r="J91" s="234"/>
      <c r="K91" s="73"/>
      <c r="L91" s="1609"/>
      <c r="M91" s="73"/>
      <c r="N91" s="894"/>
      <c r="O91" s="73"/>
      <c r="P91" s="71"/>
      <c r="Q91" s="73"/>
      <c r="R91" s="1609"/>
      <c r="S91" s="73"/>
      <c r="T91" s="894"/>
      <c r="U91" s="1199"/>
      <c r="V91" s="73"/>
      <c r="W91" s="894"/>
      <c r="X91" s="1199"/>
      <c r="Y91" s="73"/>
      <c r="Z91" s="894"/>
      <c r="AA91" s="1199"/>
      <c r="AB91" s="73"/>
      <c r="AC91" s="894"/>
      <c r="AD91" s="1199"/>
      <c r="AE91" s="73"/>
      <c r="AF91" s="1112">
        <f t="shared" ca="1" si="5"/>
        <v>0.35001830597891626</v>
      </c>
      <c r="AG91" s="1113">
        <f>SUM($B$9:B91)/($J$1-$B$4)*100</f>
        <v>6.3787370167055029</v>
      </c>
      <c r="AH91" s="1110"/>
      <c r="AI91" s="238"/>
      <c r="AJ91" s="238"/>
      <c r="AK91" s="51" t="e">
        <f t="shared" si="6"/>
        <v>#DIV/0!</v>
      </c>
      <c r="AL91" s="51" t="e">
        <f t="shared" si="7"/>
        <v>#DIV/0!</v>
      </c>
      <c r="AM91" s="1475"/>
    </row>
    <row r="92" spans="1:39" x14ac:dyDescent="0.25">
      <c r="A92" s="71"/>
      <c r="B92" s="72"/>
      <c r="C92" s="73"/>
      <c r="D92" s="147"/>
      <c r="E92" s="75"/>
      <c r="F92" s="73"/>
      <c r="G92" s="147"/>
      <c r="H92" s="75"/>
      <c r="I92" s="73"/>
      <c r="J92" s="234"/>
      <c r="K92" s="73"/>
      <c r="L92" s="1609"/>
      <c r="M92" s="73"/>
      <c r="N92" s="894"/>
      <c r="O92" s="73"/>
      <c r="P92" s="71"/>
      <c r="Q92" s="73"/>
      <c r="R92" s="1609"/>
      <c r="S92" s="73"/>
      <c r="T92" s="894"/>
      <c r="U92" s="1199"/>
      <c r="V92" s="73"/>
      <c r="W92" s="894"/>
      <c r="X92" s="1199"/>
      <c r="Y92" s="73"/>
      <c r="Z92" s="894"/>
      <c r="AA92" s="1199"/>
      <c r="AB92" s="73"/>
      <c r="AC92" s="894"/>
      <c r="AD92" s="1199"/>
      <c r="AE92" s="73"/>
      <c r="AF92" s="1112">
        <f t="shared" ca="1" si="5"/>
        <v>0.35001830597891626</v>
      </c>
      <c r="AG92" s="1113">
        <f>SUM($B$9:B92)/($J$1-$B$4)*100</f>
        <v>6.3787370167055029</v>
      </c>
      <c r="AH92" s="1110"/>
      <c r="AI92" s="238"/>
      <c r="AJ92" s="238"/>
      <c r="AK92" s="51" t="e">
        <f t="shared" si="6"/>
        <v>#DIV/0!</v>
      </c>
      <c r="AL92" s="51" t="e">
        <f t="shared" si="7"/>
        <v>#DIV/0!</v>
      </c>
      <c r="AM92" s="1475"/>
    </row>
    <row r="93" spans="1:39" x14ac:dyDescent="0.25">
      <c r="A93" s="71"/>
      <c r="B93" s="72"/>
      <c r="C93" s="73"/>
      <c r="D93" s="147"/>
      <c r="E93" s="75"/>
      <c r="F93" s="73"/>
      <c r="G93" s="147"/>
      <c r="H93" s="75"/>
      <c r="I93" s="73"/>
      <c r="J93" s="234"/>
      <c r="K93" s="73"/>
      <c r="L93" s="1609"/>
      <c r="M93" s="73"/>
      <c r="N93" s="894"/>
      <c r="O93" s="73"/>
      <c r="P93" s="71"/>
      <c r="Q93" s="73"/>
      <c r="R93" s="1609"/>
      <c r="S93" s="73"/>
      <c r="T93" s="894"/>
      <c r="U93" s="1199"/>
      <c r="V93" s="73"/>
      <c r="W93" s="894"/>
      <c r="X93" s="1199"/>
      <c r="Y93" s="73"/>
      <c r="Z93" s="894"/>
      <c r="AA93" s="1199"/>
      <c r="AB93" s="73"/>
      <c r="AC93" s="894"/>
      <c r="AD93" s="1199"/>
      <c r="AE93" s="73"/>
      <c r="AF93" s="1112">
        <f t="shared" ca="1" si="5"/>
        <v>0.35001830597891626</v>
      </c>
      <c r="AG93" s="1113">
        <f>SUM($B$9:B93)/($J$1-$B$4)*100</f>
        <v>6.3787370167055029</v>
      </c>
      <c r="AH93" s="1110"/>
      <c r="AI93" s="238"/>
      <c r="AJ93" s="238"/>
      <c r="AK93" s="51" t="e">
        <f t="shared" si="6"/>
        <v>#DIV/0!</v>
      </c>
      <c r="AL93" s="51" t="e">
        <f t="shared" si="7"/>
        <v>#DIV/0!</v>
      </c>
      <c r="AM93" s="1475"/>
    </row>
    <row r="94" spans="1:39" x14ac:dyDescent="0.25">
      <c r="A94" s="71"/>
      <c r="B94" s="72"/>
      <c r="C94" s="73"/>
      <c r="D94" s="147"/>
      <c r="E94" s="75"/>
      <c r="F94" s="73"/>
      <c r="G94" s="147"/>
      <c r="H94" s="75"/>
      <c r="I94" s="73"/>
      <c r="J94" s="234"/>
      <c r="K94" s="73"/>
      <c r="L94" s="1609"/>
      <c r="M94" s="73"/>
      <c r="N94" s="894"/>
      <c r="O94" s="73"/>
      <c r="P94" s="71"/>
      <c r="Q94" s="73"/>
      <c r="R94" s="1609"/>
      <c r="S94" s="73"/>
      <c r="T94" s="894"/>
      <c r="U94" s="1199"/>
      <c r="V94" s="73"/>
      <c r="W94" s="894"/>
      <c r="X94" s="1199"/>
      <c r="Y94" s="73"/>
      <c r="Z94" s="894"/>
      <c r="AA94" s="1199"/>
      <c r="AB94" s="73"/>
      <c r="AC94" s="894"/>
      <c r="AD94" s="1199"/>
      <c r="AE94" s="73"/>
      <c r="AF94" s="1112">
        <f t="shared" ca="1" si="5"/>
        <v>0.35001830597891626</v>
      </c>
      <c r="AG94" s="1113">
        <f>SUM($B$9:B94)/($J$1-$B$4)*100</f>
        <v>6.3787370167055029</v>
      </c>
      <c r="AH94" s="1110"/>
      <c r="AI94" s="238"/>
      <c r="AJ94" s="238"/>
      <c r="AK94" s="51" t="e">
        <f t="shared" si="6"/>
        <v>#DIV/0!</v>
      </c>
      <c r="AL94" s="51" t="e">
        <f t="shared" si="7"/>
        <v>#DIV/0!</v>
      </c>
      <c r="AM94" s="1475"/>
    </row>
    <row r="95" spans="1:39" x14ac:dyDescent="0.25">
      <c r="A95" s="71"/>
      <c r="B95" s="72"/>
      <c r="C95" s="73"/>
      <c r="D95" s="147"/>
      <c r="E95" s="75"/>
      <c r="F95" s="73"/>
      <c r="G95" s="147"/>
      <c r="H95" s="75"/>
      <c r="I95" s="73"/>
      <c r="J95" s="234"/>
      <c r="K95" s="73"/>
      <c r="L95" s="1609"/>
      <c r="M95" s="73"/>
      <c r="N95" s="894"/>
      <c r="O95" s="73"/>
      <c r="P95" s="71"/>
      <c r="Q95" s="73"/>
      <c r="R95" s="1609"/>
      <c r="S95" s="73"/>
      <c r="T95" s="894"/>
      <c r="U95" s="1199"/>
      <c r="V95" s="73"/>
      <c r="W95" s="894"/>
      <c r="X95" s="1199"/>
      <c r="Y95" s="73"/>
      <c r="Z95" s="894"/>
      <c r="AA95" s="1199"/>
      <c r="AB95" s="73"/>
      <c r="AC95" s="894"/>
      <c r="AD95" s="1199"/>
      <c r="AE95" s="73"/>
      <c r="AF95" s="1112">
        <f t="shared" ca="1" si="5"/>
        <v>0.35001830597891626</v>
      </c>
      <c r="AG95" s="1113">
        <f>SUM($B$9:B95)/($J$1-$B$4)*100</f>
        <v>6.3787370167055029</v>
      </c>
      <c r="AH95" s="1110"/>
      <c r="AI95" s="238"/>
      <c r="AJ95" s="238"/>
      <c r="AK95" s="51" t="e">
        <f t="shared" si="6"/>
        <v>#DIV/0!</v>
      </c>
      <c r="AL95" s="51" t="e">
        <f t="shared" si="7"/>
        <v>#DIV/0!</v>
      </c>
      <c r="AM95" s="1475"/>
    </row>
    <row r="96" spans="1:39" x14ac:dyDescent="0.25">
      <c r="A96" s="71"/>
      <c r="B96" s="72"/>
      <c r="C96" s="73"/>
      <c r="D96" s="147"/>
      <c r="E96" s="75"/>
      <c r="F96" s="73"/>
      <c r="G96" s="147"/>
      <c r="H96" s="75"/>
      <c r="I96" s="73"/>
      <c r="J96" s="234"/>
      <c r="K96" s="73"/>
      <c r="L96" s="1609"/>
      <c r="M96" s="73"/>
      <c r="N96" s="894"/>
      <c r="O96" s="73"/>
      <c r="P96" s="71"/>
      <c r="Q96" s="73"/>
      <c r="R96" s="1609"/>
      <c r="S96" s="73"/>
      <c r="T96" s="894"/>
      <c r="U96" s="1199"/>
      <c r="V96" s="73"/>
      <c r="W96" s="894"/>
      <c r="X96" s="1199"/>
      <c r="Y96" s="73"/>
      <c r="Z96" s="894"/>
      <c r="AA96" s="1199"/>
      <c r="AB96" s="73"/>
      <c r="AC96" s="894"/>
      <c r="AD96" s="1199"/>
      <c r="AE96" s="73"/>
      <c r="AF96" s="1112">
        <f t="shared" ca="1" si="5"/>
        <v>0.35001830597891626</v>
      </c>
      <c r="AG96" s="1113">
        <f>SUM($B$9:B96)/($J$1-$B$4)*100</f>
        <v>6.3787370167055029</v>
      </c>
      <c r="AH96" s="1110"/>
      <c r="AI96" s="238"/>
      <c r="AJ96" s="238"/>
      <c r="AK96" s="51" t="e">
        <f t="shared" si="6"/>
        <v>#DIV/0!</v>
      </c>
      <c r="AL96" s="51" t="e">
        <f t="shared" si="7"/>
        <v>#DIV/0!</v>
      </c>
      <c r="AM96" s="1475"/>
    </row>
    <row r="97" spans="1:46" ht="16.5" thickBot="1" x14ac:dyDescent="0.3">
      <c r="A97" s="77" t="s">
        <v>15</v>
      </c>
      <c r="B97" s="78"/>
      <c r="C97" s="79"/>
      <c r="D97" s="148"/>
      <c r="E97" s="80"/>
      <c r="F97" s="79"/>
      <c r="G97" s="148"/>
      <c r="H97" s="80"/>
      <c r="I97" s="79"/>
      <c r="J97" s="235"/>
      <c r="K97" s="79"/>
      <c r="L97" s="896"/>
      <c r="M97" s="79"/>
      <c r="N97" s="1154"/>
      <c r="O97" s="79"/>
      <c r="P97" s="77"/>
      <c r="Q97" s="79"/>
      <c r="R97" s="896"/>
      <c r="S97" s="79"/>
      <c r="T97" s="1154"/>
      <c r="U97" s="1202"/>
      <c r="V97" s="79"/>
      <c r="W97" s="1154"/>
      <c r="X97" s="1202"/>
      <c r="Y97" s="79"/>
      <c r="Z97" s="1154"/>
      <c r="AA97" s="1202"/>
      <c r="AB97" s="79"/>
      <c r="AC97" s="896"/>
      <c r="AD97" s="1202"/>
      <c r="AE97" s="79"/>
      <c r="AF97" s="1115"/>
      <c r="AG97" s="1116"/>
      <c r="AH97" s="1111"/>
      <c r="AI97" s="348"/>
      <c r="AJ97" s="239"/>
      <c r="AK97" s="51"/>
      <c r="AM97" s="1475"/>
    </row>
    <row r="98" spans="1:46" s="319" customFormat="1" ht="16.5" thickTop="1" x14ac:dyDescent="0.25">
      <c r="A98" s="551"/>
      <c r="B98" s="273"/>
      <c r="C98" s="552"/>
      <c r="D98" s="553"/>
      <c r="E98" s="270"/>
      <c r="F98" s="552"/>
      <c r="G98" s="553"/>
      <c r="H98" s="270"/>
      <c r="I98" s="552"/>
      <c r="J98" s="551"/>
      <c r="K98" s="552"/>
      <c r="L98" s="551"/>
      <c r="M98" s="552"/>
      <c r="N98" s="551"/>
      <c r="O98" s="552"/>
      <c r="P98" s="551"/>
      <c r="Q98" s="552"/>
      <c r="R98" s="551"/>
      <c r="S98" s="552"/>
      <c r="T98" s="553"/>
      <c r="U98" s="270"/>
      <c r="V98" s="552"/>
      <c r="W98" s="553"/>
      <c r="X98" s="270"/>
      <c r="Y98" s="552"/>
      <c r="Z98" s="553"/>
      <c r="AA98" s="270"/>
      <c r="AB98" s="552"/>
      <c r="AC98" s="1212"/>
      <c r="AD98" s="270"/>
      <c r="AE98" s="552"/>
      <c r="AF98" s="1108">
        <f ca="1">AVERAGE(AF9:AF97)</f>
        <v>0.33633688251720617</v>
      </c>
      <c r="AG98" s="1109">
        <f>AVERAGE(AG9:AG97)</f>
        <v>6.2606448519195288</v>
      </c>
      <c r="AH98" s="1228">
        <f ca="1">SUMIFS($AH$9:$AH$97,$A$9:$A$97,"&gt;="&amp;$C99,$A$9:$A$97,"&lt;="&amp;$D99)</f>
        <v>28740</v>
      </c>
      <c r="AI98" s="1229"/>
      <c r="AJ98" s="273"/>
      <c r="AK98" s="1213"/>
      <c r="AM98" s="1476"/>
      <c r="AN98" s="1475"/>
      <c r="AO98" s="1485"/>
      <c r="AP98" s="1466"/>
    </row>
    <row r="99" spans="1:46" s="49" customFormat="1" ht="21" x14ac:dyDescent="0.25">
      <c r="A99" s="1187" t="s">
        <v>895</v>
      </c>
      <c r="B99" s="1187"/>
      <c r="C99" s="1209">
        <f>Prehľad!AV1</f>
        <v>43831</v>
      </c>
      <c r="D99" s="1209">
        <f ca="1">Prehľad!AX1</f>
        <v>44607</v>
      </c>
      <c r="E99" s="1469" t="s">
        <v>1127</v>
      </c>
      <c r="F99" s="1225">
        <f ca="1">I3+C100+F100+I100+K100+M100+O100+Q100+S100+V100+Y100+AB100+AE100</f>
        <v>0.43067821851078625</v>
      </c>
      <c r="G99" s="1208">
        <f ca="1">J4+C101+F101+I101+K101+M101+O101+Q101+S101+V101+Y101+AB101+AE101</f>
        <v>1</v>
      </c>
      <c r="H99" s="1210" t="s">
        <v>962</v>
      </c>
      <c r="I99" s="1207">
        <f ca="1">F99-F5</f>
        <v>8.0659912531869993E-2</v>
      </c>
      <c r="J99" s="1303">
        <f ca="1">(F99/F5)-1</f>
        <v>0.23044484003853394</v>
      </c>
      <c r="K99" s="2253">
        <f ca="1">((D99-C99)/(365.25/12)*F3)+C102+F102+I102+K102+M102+O102+Q102+S102+AE106</f>
        <v>12377.691999999997</v>
      </c>
      <c r="L99" s="2253"/>
      <c r="M99" s="1472" t="s">
        <v>1135</v>
      </c>
      <c r="N99" s="1470"/>
      <c r="O99" s="1471"/>
      <c r="P99" s="1189">
        <f ca="1">K99/AH98</f>
        <v>0.43067821851078625</v>
      </c>
      <c r="Q99" s="1189"/>
      <c r="R99" s="1188"/>
      <c r="S99" s="1189"/>
      <c r="T99" s="1188"/>
      <c r="U99" s="1188"/>
      <c r="V99" s="1189"/>
      <c r="W99" s="1188"/>
      <c r="X99" s="1188"/>
      <c r="Y99" s="1189"/>
      <c r="Z99" s="1188"/>
      <c r="AA99" s="1188"/>
      <c r="AB99" s="1189"/>
      <c r="AC99" s="1188"/>
      <c r="AD99" s="1188"/>
      <c r="AE99" s="1189"/>
      <c r="AF99" s="1120" t="s">
        <v>712</v>
      </c>
      <c r="AG99" s="1121">
        <f>MAX(AG9:AG97)</f>
        <v>6.38</v>
      </c>
      <c r="AH99" s="1226">
        <f>AVERAGE(AH9:AH97)</f>
        <v>1688.2333333333333</v>
      </c>
      <c r="AI99" s="150"/>
      <c r="AJ99" s="150"/>
      <c r="AM99" s="1476"/>
      <c r="AN99" s="1475"/>
      <c r="AO99" s="1485"/>
      <c r="AP99" s="1466"/>
    </row>
    <row r="100" spans="1:46" s="561" customFormat="1" x14ac:dyDescent="0.25">
      <c r="A100" s="1178" t="s">
        <v>877</v>
      </c>
      <c r="B100" s="1179"/>
      <c r="C100" s="1180">
        <f ca="1">C102/$AH$98</f>
        <v>8.1361864996520525E-2</v>
      </c>
      <c r="D100" s="2252" t="s">
        <v>879</v>
      </c>
      <c r="E100" s="2246"/>
      <c r="F100" s="1180">
        <f ca="1">F102/$AH$98</f>
        <v>8.4829505915100904E-3</v>
      </c>
      <c r="G100" s="2252" t="s">
        <v>881</v>
      </c>
      <c r="H100" s="2246"/>
      <c r="I100" s="1180">
        <f ca="1">I102/$AH$98</f>
        <v>2.1663187195546277E-3</v>
      </c>
      <c r="J100" s="1181" t="s">
        <v>898</v>
      </c>
      <c r="K100" s="1180">
        <f ca="1">K102/$AH$98</f>
        <v>9.0508002783576901E-4</v>
      </c>
      <c r="L100" s="1181" t="s">
        <v>883</v>
      </c>
      <c r="M100" s="1180">
        <f ca="1">M102/$AH$98</f>
        <v>7.5991649269311094E-3</v>
      </c>
      <c r="N100" s="1181" t="s">
        <v>908</v>
      </c>
      <c r="O100" s="1180">
        <f ca="1">O102/$AH$98</f>
        <v>3.4794711203897009E-3</v>
      </c>
      <c r="P100" s="1181" t="s">
        <v>910</v>
      </c>
      <c r="Q100" s="1180">
        <f ca="1">Q102/$AH$98</f>
        <v>0</v>
      </c>
      <c r="R100" s="1181" t="s">
        <v>906</v>
      </c>
      <c r="S100" s="1241">
        <f ca="1">S102/$AH$98</f>
        <v>0.32389979123173268</v>
      </c>
      <c r="T100" s="2252" t="s">
        <v>886</v>
      </c>
      <c r="U100" s="2246"/>
      <c r="V100" s="1180">
        <f ca="1">V102/$AH$98</f>
        <v>0</v>
      </c>
      <c r="W100" s="2252" t="s">
        <v>912</v>
      </c>
      <c r="X100" s="2246"/>
      <c r="Y100" s="1180">
        <f ca="1">Y102/$AH$98</f>
        <v>2.7835768963117608E-3</v>
      </c>
      <c r="Z100" s="2252" t="s">
        <v>889</v>
      </c>
      <c r="AA100" s="2246"/>
      <c r="AB100" s="1180">
        <f ca="1">AB102/$AH$98</f>
        <v>0</v>
      </c>
      <c r="AC100" s="2252" t="s">
        <v>891</v>
      </c>
      <c r="AD100" s="2246"/>
      <c r="AE100" s="1180">
        <f ca="1">AE102/$AH$98</f>
        <v>0</v>
      </c>
      <c r="AF100" s="944"/>
      <c r="AG100" s="49"/>
      <c r="AH100" s="1190"/>
      <c r="AI100" s="150"/>
      <c r="AJ100" s="150"/>
      <c r="AM100" s="1478"/>
      <c r="AN100" s="1496"/>
      <c r="AO100" s="734"/>
      <c r="AP100" s="638"/>
    </row>
    <row r="101" spans="1:46" s="561" customFormat="1" x14ac:dyDescent="0.25">
      <c r="A101" s="1192" t="s">
        <v>896</v>
      </c>
      <c r="B101" s="1193">
        <f ca="1">B102/AH98*100</f>
        <v>6.6474947807933198</v>
      </c>
      <c r="C101" s="1183">
        <f ca="1">C100/$F$99</f>
        <v>0.18891567183930577</v>
      </c>
      <c r="D101" s="1184"/>
      <c r="E101" s="1185"/>
      <c r="F101" s="1183">
        <f ca="1">F100/$F$99</f>
        <v>1.969672536689393E-2</v>
      </c>
      <c r="G101" s="1184"/>
      <c r="H101" s="1185"/>
      <c r="I101" s="1183">
        <f ca="1">I100/$F$99</f>
        <v>5.0300169046054799E-3</v>
      </c>
      <c r="J101" s="1243">
        <f ca="1">COUNTIFS(J9:J97,"&gt;="&amp;$C$99,J9:J97,"&lt;=" &amp;$D$99)</f>
        <v>4</v>
      </c>
      <c r="K101" s="1183">
        <f ca="1">K100/$F$99</f>
        <v>2.1015226425087981E-3</v>
      </c>
      <c r="L101" s="1184"/>
      <c r="M101" s="1183">
        <f ca="1">M100/$F$99</f>
        <v>1.7644646514067417E-2</v>
      </c>
      <c r="N101" s="1184"/>
      <c r="O101" s="1183">
        <f ca="1">O100/$F$99</f>
        <v>8.0790506016792177E-3</v>
      </c>
      <c r="P101" s="1184"/>
      <c r="Q101" s="1183">
        <f ca="1">Q100/$F$99</f>
        <v>0</v>
      </c>
      <c r="R101" s="1184"/>
      <c r="S101" s="1183">
        <f ca="1">S100/$F$99</f>
        <v>0.75206912564959605</v>
      </c>
      <c r="T101" s="1184"/>
      <c r="U101" s="1185"/>
      <c r="V101" s="1183">
        <f ca="1">V100/$F$99</f>
        <v>0</v>
      </c>
      <c r="W101" s="1184"/>
      <c r="X101" s="1185"/>
      <c r="Y101" s="1183">
        <f ca="1">Y100/$F$99</f>
        <v>6.4632404813433735E-3</v>
      </c>
      <c r="Z101" s="1184"/>
      <c r="AA101" s="1185"/>
      <c r="AB101" s="1183">
        <f ca="1">AB100/$F$99</f>
        <v>0</v>
      </c>
      <c r="AC101" s="1184"/>
      <c r="AD101" s="1185"/>
      <c r="AE101" s="1183">
        <f ca="1">AE100/$F$99</f>
        <v>0</v>
      </c>
      <c r="AF101" s="1217"/>
      <c r="AG101" s="1"/>
      <c r="AH101" s="5"/>
      <c r="AM101" s="1478"/>
      <c r="AN101" s="1496"/>
      <c r="AO101" s="734"/>
      <c r="AP101" s="638"/>
    </row>
    <row r="102" spans="1:46" x14ac:dyDescent="0.25">
      <c r="A102" s="1191" t="s">
        <v>878</v>
      </c>
      <c r="B102" s="1196">
        <f ca="1">SUMIFS($B$9:$B$97,$A$9:$A$97,"&gt;="&amp;$C99,$A$9:$A$97,"&lt;="&amp;$D99)</f>
        <v>1910.4900000000002</v>
      </c>
      <c r="C102" s="1197">
        <f ca="1">SUMIFS($C$9:$C$97,$A$9:$A$97,"&gt;="&amp;$C99,$A$9:$A$97,"&lt;="&amp;$D99)</f>
        <v>2338.3399999999997</v>
      </c>
      <c r="D102" s="2251" t="s">
        <v>880</v>
      </c>
      <c r="E102" s="2250"/>
      <c r="F102" s="1197">
        <f ca="1">SUMIFS($F$9:$F$97,$D$9:$D$97,"&gt;="&amp;$C99,$D$9:$D$97,"&lt;="&amp;$D99)</f>
        <v>243.8</v>
      </c>
      <c r="G102" s="2251" t="s">
        <v>882</v>
      </c>
      <c r="H102" s="2250"/>
      <c r="I102" s="1197">
        <f ca="1">SUMIFS($I$9:$I$97,$G$9:$G$97,"&gt;="&amp;$C99,$G$9:$G$97,"&lt;="&amp;$D99)</f>
        <v>62.260000000000005</v>
      </c>
      <c r="J102" s="1157" t="s">
        <v>899</v>
      </c>
      <c r="K102" s="1158">
        <f ca="1">SUMIFS(K9:K97,J9:J97,"&gt;="&amp;$C99,J9:J97,"&lt;="&amp;$D99)</f>
        <v>26.012</v>
      </c>
      <c r="L102" s="1157" t="s">
        <v>884</v>
      </c>
      <c r="M102" s="1158">
        <f ca="1">SUMIFS(M9:M97,L9:L97,"&gt;="&amp;$C99,L9:L97,"&lt;="&amp;$D99)</f>
        <v>218.40000000000009</v>
      </c>
      <c r="N102" s="1157" t="s">
        <v>909</v>
      </c>
      <c r="O102" s="1158">
        <f ca="1">SUMIFS(O9:O97,N9:N97,"&gt;="&amp;$C99,N9:N97,"&lt;="&amp;$D99)</f>
        <v>100</v>
      </c>
      <c r="P102" s="1157" t="s">
        <v>911</v>
      </c>
      <c r="Q102" s="1158">
        <f ca="1">SUMIFS(Q9:Q97,P9:P97,"&gt;="&amp;$C99,P9:P97,"&lt;="&amp;$D99)</f>
        <v>0</v>
      </c>
      <c r="R102" s="1157" t="s">
        <v>907</v>
      </c>
      <c r="S102" s="1158">
        <f ca="1">SUMIFS(S9:S97,R9:R97,"&gt;="&amp;$C99,R9:R97,"&lt;="&amp;$D99)</f>
        <v>9308.8799999999974</v>
      </c>
      <c r="T102" s="2251" t="s">
        <v>887</v>
      </c>
      <c r="U102" s="2250"/>
      <c r="V102" s="1158">
        <f ca="1">SUMIFS(V9:V97,T9:T97,"&gt;="&amp;$C99,T9:T97,"&lt;="&amp;$D99)</f>
        <v>0</v>
      </c>
      <c r="W102" s="2251" t="s">
        <v>913</v>
      </c>
      <c r="X102" s="2250"/>
      <c r="Y102" s="1158">
        <f ca="1">SUMIFS(Y9:Y97,W9:W97,"&gt;="&amp;$C99,W9:W97,"&lt;="&amp;$D99)</f>
        <v>80</v>
      </c>
      <c r="Z102" s="2251" t="s">
        <v>890</v>
      </c>
      <c r="AA102" s="2250"/>
      <c r="AB102" s="1158">
        <f ca="1">SUMIFS(AB9:AB97,Z9:Z97,"&gt;="&amp;$C99,Z9:Z97,"&lt;="&amp;$D99)</f>
        <v>0</v>
      </c>
      <c r="AC102" s="2251" t="s">
        <v>892</v>
      </c>
      <c r="AD102" s="2250"/>
      <c r="AE102" s="1158">
        <f ca="1">SUMIFS(AE9:AE97,AC9:AC97,"&gt;="&amp;$C99,AC9:AC97,"&lt;="&amp;$D99)</f>
        <v>0</v>
      </c>
      <c r="AI102" s="1"/>
      <c r="AJ102" s="1"/>
      <c r="AM102" s="1478"/>
      <c r="AN102" s="1496"/>
      <c r="AO102" s="734"/>
      <c r="AP102" s="638"/>
    </row>
    <row r="103" spans="1:46" x14ac:dyDescent="0.25">
      <c r="A103" s="1194" t="s">
        <v>897</v>
      </c>
      <c r="B103" s="1195"/>
      <c r="C103" s="1203">
        <f ca="1">C100-C6</f>
        <v>-9.0881735441070144E-5</v>
      </c>
      <c r="D103" s="1205" t="s">
        <v>897</v>
      </c>
      <c r="E103" s="1195"/>
      <c r="F103" s="1206">
        <f ca="1">F100-F6</f>
        <v>3.983135161462102E-3</v>
      </c>
      <c r="G103" s="1204" t="s">
        <v>897</v>
      </c>
      <c r="H103" s="1195"/>
      <c r="I103" s="1203">
        <f ca="1">I100-I6</f>
        <v>7.8462805879419943E-4</v>
      </c>
      <c r="J103" s="1205" t="s">
        <v>897</v>
      </c>
      <c r="K103" s="1206">
        <f ca="1">K100-K6</f>
        <v>-1.7991216165707375E-5</v>
      </c>
      <c r="L103" s="1204" t="s">
        <v>897</v>
      </c>
      <c r="M103" s="1203">
        <f ca="1">M100-M6</f>
        <v>-3.7299232975059387E-3</v>
      </c>
      <c r="N103" s="1205" t="s">
        <v>897</v>
      </c>
      <c r="O103" s="1206">
        <f ca="1">O100-O6</f>
        <v>7.1092184021251349E-4</v>
      </c>
      <c r="P103" s="1204" t="s">
        <v>897</v>
      </c>
      <c r="Q103" s="1203">
        <f ca="1">Q100-Q6</f>
        <v>0</v>
      </c>
      <c r="R103" s="1205" t="s">
        <v>897</v>
      </c>
      <c r="S103" s="1203">
        <f ca="1">S100-S6</f>
        <v>7.845128624834391E-2</v>
      </c>
      <c r="T103" s="1205" t="s">
        <v>897</v>
      </c>
      <c r="U103" s="1195"/>
      <c r="V103" s="1206">
        <f ca="1">V100-V6</f>
        <v>0</v>
      </c>
      <c r="W103" s="1205" t="s">
        <v>897</v>
      </c>
      <c r="X103" s="1195"/>
      <c r="Y103" s="1206">
        <f ca="1">Y100-Y6</f>
        <v>5.6873747217001114E-4</v>
      </c>
      <c r="Z103" s="1205" t="s">
        <v>897</v>
      </c>
      <c r="AA103" s="1195"/>
      <c r="AB103" s="1206">
        <f ca="1">AB100-AB6</f>
        <v>0</v>
      </c>
      <c r="AC103" s="1205" t="s">
        <v>897</v>
      </c>
      <c r="AD103" s="1195"/>
      <c r="AE103" s="1206">
        <f ca="1">AE100-AE6</f>
        <v>0</v>
      </c>
      <c r="AF103" s="1"/>
      <c r="AG103" s="5"/>
      <c r="AH103" s="61"/>
      <c r="AI103" s="1"/>
      <c r="AJ103" s="1"/>
    </row>
    <row r="104" spans="1:46" x14ac:dyDescent="0.25">
      <c r="A104" s="53"/>
      <c r="D104" s="56"/>
      <c r="E104" s="6"/>
      <c r="F104" s="55"/>
      <c r="I104" s="52"/>
      <c r="K104" s="229"/>
      <c r="M104" s="229"/>
      <c r="O104" s="229"/>
      <c r="Q104" s="229"/>
      <c r="S104" s="229"/>
      <c r="T104" s="2245" t="s">
        <v>893</v>
      </c>
      <c r="U104" s="2246"/>
      <c r="V104" s="2246"/>
      <c r="W104" s="2246"/>
      <c r="X104" s="2246"/>
      <c r="Y104" s="2246"/>
      <c r="Z104" s="2246"/>
      <c r="AA104" s="2246"/>
      <c r="AB104" s="2246"/>
      <c r="AC104" s="2246"/>
      <c r="AD104" s="2246"/>
      <c r="AE104" s="1180">
        <f ca="1">AE106/$AH$98</f>
        <v>2.7835768963117608E-3</v>
      </c>
      <c r="AI104" s="1"/>
      <c r="AJ104" s="1"/>
    </row>
    <row r="105" spans="1:46" x14ac:dyDescent="0.25">
      <c r="A105" s="53"/>
      <c r="D105" s="56"/>
      <c r="E105" s="6"/>
      <c r="F105" s="55"/>
      <c r="I105" s="52"/>
      <c r="K105" s="229"/>
      <c r="M105" s="229"/>
      <c r="O105" s="229"/>
      <c r="Q105" s="229"/>
      <c r="S105" s="229"/>
      <c r="T105" s="2247"/>
      <c r="U105" s="2248"/>
      <c r="V105" s="2248"/>
      <c r="W105" s="2248"/>
      <c r="X105" s="2248"/>
      <c r="Y105" s="2248"/>
      <c r="Z105" s="2248"/>
      <c r="AA105" s="2248"/>
      <c r="AB105" s="2248"/>
      <c r="AC105" s="2248"/>
      <c r="AD105" s="2248"/>
      <c r="AE105" s="1183">
        <f ca="1">AE104/$F$99</f>
        <v>6.4632404813433735E-3</v>
      </c>
      <c r="AI105" s="1"/>
      <c r="AJ105" s="1"/>
    </row>
    <row r="106" spans="1:46" s="828" customFormat="1" x14ac:dyDescent="0.25">
      <c r="A106" s="53"/>
      <c r="B106" s="61"/>
      <c r="C106" s="55"/>
      <c r="D106" s="56"/>
      <c r="E106" s="6"/>
      <c r="F106" s="55"/>
      <c r="G106" s="1"/>
      <c r="H106" s="1"/>
      <c r="I106" s="52"/>
      <c r="J106" s="478"/>
      <c r="K106" s="618"/>
      <c r="L106" s="827"/>
      <c r="M106" s="618"/>
      <c r="N106" s="827"/>
      <c r="O106" s="618"/>
      <c r="P106" s="827"/>
      <c r="Q106" s="618"/>
      <c r="R106" s="827"/>
      <c r="S106" s="618"/>
      <c r="T106" s="2249" t="s">
        <v>894</v>
      </c>
      <c r="U106" s="2250"/>
      <c r="V106" s="2250"/>
      <c r="W106" s="2250"/>
      <c r="X106" s="2250"/>
      <c r="Y106" s="2250"/>
      <c r="Z106" s="2250"/>
      <c r="AA106" s="2250"/>
      <c r="AB106" s="2250"/>
      <c r="AC106" s="2250"/>
      <c r="AD106" s="2250"/>
      <c r="AE106" s="1158">
        <f ca="1">V102+Y102+AB102+AE102</f>
        <v>80</v>
      </c>
      <c r="AF106" s="618"/>
      <c r="AH106" s="829"/>
      <c r="AM106" s="1476"/>
      <c r="AN106" s="1475"/>
      <c r="AO106" s="1485"/>
      <c r="AP106" s="1466"/>
    </row>
    <row r="107" spans="1:46" s="800" customFormat="1" x14ac:dyDescent="0.25">
      <c r="A107" s="827"/>
      <c r="B107" s="537"/>
      <c r="C107" s="537"/>
      <c r="D107" s="537"/>
      <c r="E107" s="596"/>
      <c r="F107" s="751"/>
      <c r="G107" s="537"/>
      <c r="H107" s="828"/>
      <c r="I107" s="537"/>
      <c r="J107" s="827"/>
      <c r="K107" s="764"/>
      <c r="L107" s="799"/>
      <c r="M107" s="764"/>
      <c r="N107" s="799"/>
      <c r="O107" s="764"/>
      <c r="P107" s="799"/>
      <c r="Q107" s="764"/>
      <c r="R107" s="799"/>
      <c r="S107" s="764"/>
      <c r="T107" s="799"/>
      <c r="U107" s="799"/>
      <c r="V107" s="764"/>
      <c r="W107" s="764"/>
      <c r="X107" s="764"/>
      <c r="Y107" s="764"/>
      <c r="Z107" s="799"/>
      <c r="AA107" s="799"/>
      <c r="AB107" s="764"/>
      <c r="AC107" s="799"/>
      <c r="AD107" s="799"/>
      <c r="AE107" s="764"/>
      <c r="AF107" s="764"/>
      <c r="AH107" s="801"/>
      <c r="AI107" s="802"/>
      <c r="AJ107" s="802"/>
      <c r="AM107" s="1479"/>
      <c r="AN107" s="1497"/>
      <c r="AO107" s="1486"/>
      <c r="AP107" s="1491"/>
    </row>
    <row r="108" spans="1:46" s="800" customFormat="1" x14ac:dyDescent="0.25">
      <c r="A108" s="799">
        <v>43558</v>
      </c>
      <c r="B108" s="750" t="s">
        <v>604</v>
      </c>
      <c r="C108" s="750"/>
      <c r="D108" s="750" t="s">
        <v>605</v>
      </c>
      <c r="E108" s="776">
        <v>5</v>
      </c>
      <c r="F108" s="918">
        <v>331.92</v>
      </c>
      <c r="G108" s="750" t="s">
        <v>606</v>
      </c>
      <c r="I108" s="750"/>
      <c r="J108" s="764"/>
      <c r="L108" s="801"/>
      <c r="M108" s="802"/>
      <c r="N108" s="802"/>
      <c r="S108" s="1098"/>
      <c r="T108" s="776"/>
      <c r="U108" s="776"/>
      <c r="V108" s="1099"/>
      <c r="W108" s="5"/>
      <c r="AM108" s="1480"/>
      <c r="AN108" s="1498"/>
      <c r="AO108" s="1487"/>
      <c r="AP108" s="1492"/>
    </row>
    <row r="109" spans="1:46" s="800" customFormat="1" x14ac:dyDescent="0.25">
      <c r="A109" s="799">
        <v>43609</v>
      </c>
      <c r="B109" s="750" t="s">
        <v>376</v>
      </c>
      <c r="C109" s="750"/>
      <c r="D109" s="750" t="s">
        <v>639</v>
      </c>
      <c r="E109" s="776">
        <v>4713</v>
      </c>
      <c r="F109" s="918">
        <v>0</v>
      </c>
      <c r="G109" s="750" t="s">
        <v>640</v>
      </c>
      <c r="I109" s="750"/>
      <c r="J109" s="764"/>
      <c r="L109" s="801"/>
      <c r="M109" s="802"/>
      <c r="N109" s="802"/>
      <c r="S109" s="1098"/>
      <c r="T109" s="776"/>
      <c r="U109" s="776"/>
      <c r="V109" s="1099"/>
      <c r="W109" s="5"/>
      <c r="AM109" s="1480"/>
      <c r="AN109" s="1498"/>
      <c r="AO109" s="1487"/>
      <c r="AP109" s="1492"/>
    </row>
    <row r="110" spans="1:46" s="800" customFormat="1" x14ac:dyDescent="0.25">
      <c r="A110" s="799">
        <v>43864</v>
      </c>
      <c r="B110" s="750" t="s">
        <v>376</v>
      </c>
      <c r="C110" s="750"/>
      <c r="D110" s="750" t="s">
        <v>867</v>
      </c>
      <c r="E110" s="776">
        <v>23406</v>
      </c>
      <c r="F110" s="918">
        <v>15.66</v>
      </c>
      <c r="G110" s="750" t="s">
        <v>432</v>
      </c>
      <c r="I110" s="750" t="s">
        <v>868</v>
      </c>
      <c r="J110" s="764"/>
      <c r="L110" s="801"/>
      <c r="M110" s="802"/>
      <c r="N110" s="802"/>
      <c r="S110" s="1098"/>
      <c r="T110" s="776"/>
      <c r="U110" s="776"/>
      <c r="V110" s="1099"/>
      <c r="W110" s="776"/>
      <c r="AM110" s="1480"/>
      <c r="AN110" s="1498"/>
      <c r="AO110" s="1487"/>
      <c r="AP110" s="1492"/>
    </row>
    <row r="111" spans="1:46" s="800" customFormat="1" x14ac:dyDescent="0.25">
      <c r="A111" s="799">
        <v>43950</v>
      </c>
      <c r="B111" s="750" t="s">
        <v>376</v>
      </c>
      <c r="C111" s="750"/>
      <c r="D111" s="750" t="s">
        <v>1093</v>
      </c>
      <c r="E111" s="776">
        <v>28764</v>
      </c>
      <c r="F111" s="918">
        <v>83.87</v>
      </c>
      <c r="G111" s="750" t="s">
        <v>378</v>
      </c>
      <c r="I111" s="750" t="s">
        <v>1092</v>
      </c>
      <c r="J111" s="764"/>
      <c r="L111" s="801"/>
      <c r="M111" s="802"/>
      <c r="N111" s="802"/>
      <c r="S111" s="1098"/>
      <c r="T111" s="776"/>
      <c r="U111" s="776"/>
      <c r="V111" s="1099"/>
      <c r="W111" s="776"/>
      <c r="AM111" s="1480"/>
      <c r="AN111" s="1498"/>
      <c r="AO111" s="1487"/>
      <c r="AP111" s="1492"/>
      <c r="AQ111"/>
      <c r="AR111" s="1"/>
      <c r="AS111" s="1"/>
      <c r="AT111" s="1"/>
    </row>
    <row r="112" spans="1:46" s="800" customFormat="1" x14ac:dyDescent="0.25">
      <c r="A112" s="799">
        <v>44126</v>
      </c>
      <c r="B112" s="750" t="s">
        <v>376</v>
      </c>
      <c r="C112" s="750"/>
      <c r="D112" s="750" t="s">
        <v>1296</v>
      </c>
      <c r="E112" s="776">
        <v>42630</v>
      </c>
      <c r="F112" s="918">
        <v>74.709999999999994</v>
      </c>
      <c r="G112" s="750" t="s">
        <v>1244</v>
      </c>
      <c r="I112" s="750" t="s">
        <v>1298</v>
      </c>
      <c r="J112" s="764"/>
      <c r="L112" s="801"/>
      <c r="M112" s="802"/>
      <c r="N112" s="802"/>
      <c r="S112" s="1098"/>
      <c r="T112" s="776"/>
      <c r="U112" s="776"/>
      <c r="V112" s="1099"/>
      <c r="W112" s="776"/>
      <c r="AM112" s="1480"/>
      <c r="AN112" s="1498"/>
      <c r="AO112" s="1487"/>
      <c r="AP112" s="1492"/>
      <c r="AQ112" s="1746"/>
      <c r="AR112" s="7"/>
      <c r="AS112" s="7"/>
      <c r="AT112" s="7"/>
    </row>
    <row r="113" spans="1:42" s="600" customFormat="1" x14ac:dyDescent="0.25">
      <c r="A113" s="827">
        <v>44307</v>
      </c>
      <c r="B113" s="537" t="s">
        <v>376</v>
      </c>
      <c r="C113" s="537"/>
      <c r="D113" s="537" t="s">
        <v>1322</v>
      </c>
      <c r="E113" s="596">
        <v>46518</v>
      </c>
      <c r="F113" s="751">
        <v>69.56</v>
      </c>
      <c r="G113" s="537" t="s">
        <v>378</v>
      </c>
      <c r="I113" s="537" t="s">
        <v>1324</v>
      </c>
      <c r="J113" s="751"/>
      <c r="L113" s="596"/>
      <c r="M113" s="597"/>
      <c r="N113" s="597"/>
    </row>
    <row r="114" spans="1:42" s="7" customFormat="1" x14ac:dyDescent="0.25">
      <c r="A114" s="799"/>
      <c r="B114" s="750"/>
      <c r="C114" s="750"/>
      <c r="D114" s="750"/>
      <c r="E114" s="776"/>
      <c r="F114" s="918"/>
      <c r="G114" s="750"/>
      <c r="J114" s="918"/>
      <c r="L114" s="776"/>
      <c r="M114" s="909"/>
      <c r="N114" s="909"/>
      <c r="O114" s="909"/>
      <c r="AM114" s="1481"/>
      <c r="AN114" s="1499"/>
      <c r="AO114" s="143"/>
      <c r="AP114" s="1493"/>
    </row>
    <row r="115" spans="1:42" s="7" customFormat="1" x14ac:dyDescent="0.25">
      <c r="A115" s="799"/>
      <c r="B115" s="750"/>
      <c r="C115" s="750"/>
      <c r="D115" s="750"/>
      <c r="E115" s="776"/>
      <c r="F115" s="918"/>
      <c r="G115" s="750"/>
      <c r="J115" s="918"/>
      <c r="L115" s="776"/>
      <c r="M115" s="909"/>
      <c r="N115" s="909"/>
      <c r="O115" s="909"/>
      <c r="AM115" s="1481"/>
      <c r="AN115" s="1499"/>
      <c r="AO115" s="143"/>
      <c r="AP115" s="1493"/>
    </row>
    <row r="116" spans="1:42" s="7" customFormat="1" x14ac:dyDescent="0.25">
      <c r="A116" s="799"/>
      <c r="B116" s="750"/>
      <c r="C116" s="750"/>
      <c r="D116" s="750"/>
      <c r="E116" s="776"/>
      <c r="F116" s="918"/>
      <c r="G116" s="750"/>
      <c r="H116" s="800"/>
      <c r="I116" s="800"/>
      <c r="J116" s="764"/>
      <c r="K116" s="800"/>
      <c r="L116" s="801"/>
      <c r="M116" s="802"/>
      <c r="N116" s="776"/>
      <c r="O116" s="909"/>
      <c r="P116" s="909"/>
      <c r="AM116" s="1481"/>
      <c r="AN116" s="1499"/>
      <c r="AO116" s="143"/>
      <c r="AP116" s="1493"/>
    </row>
    <row r="117" spans="1:42" s="7" customFormat="1" x14ac:dyDescent="0.25">
      <c r="A117" s="799"/>
      <c r="B117" s="750"/>
      <c r="C117" s="750"/>
      <c r="D117" s="750"/>
      <c r="E117" s="776"/>
      <c r="F117" s="918"/>
      <c r="G117" s="750"/>
      <c r="H117" s="800"/>
      <c r="I117" s="800"/>
      <c r="J117" s="764"/>
      <c r="K117" s="800"/>
      <c r="L117" s="801"/>
      <c r="M117" s="802"/>
      <c r="N117" s="776"/>
      <c r="O117" s="909"/>
      <c r="P117" s="909"/>
      <c r="AM117" s="1481"/>
      <c r="AN117" s="1499"/>
      <c r="AO117" s="143"/>
      <c r="AP117" s="1493"/>
    </row>
    <row r="118" spans="1:42" s="600" customFormat="1" x14ac:dyDescent="0.25">
      <c r="A118" s="827"/>
      <c r="B118" s="537"/>
      <c r="C118" s="537"/>
      <c r="D118" s="537"/>
      <c r="E118" s="596"/>
      <c r="F118" s="751"/>
      <c r="G118" s="537"/>
      <c r="H118" s="828"/>
      <c r="I118" s="828"/>
      <c r="J118" s="618"/>
      <c r="K118" s="828"/>
      <c r="L118" s="829"/>
      <c r="M118" s="830"/>
      <c r="N118" s="596"/>
      <c r="O118" s="597"/>
      <c r="P118" s="597"/>
      <c r="AM118" s="1481"/>
      <c r="AN118" s="1499"/>
      <c r="AO118" s="143"/>
      <c r="AP118" s="1493"/>
    </row>
    <row r="119" spans="1:42" x14ac:dyDescent="0.25">
      <c r="E119" s="57"/>
      <c r="I119" s="6"/>
      <c r="AM119" s="1482"/>
      <c r="AN119" s="1500"/>
      <c r="AO119" s="1488"/>
      <c r="AP119" s="1494"/>
    </row>
    <row r="120" spans="1:42" x14ac:dyDescent="0.25">
      <c r="E120" s="57"/>
      <c r="I120" s="476"/>
    </row>
    <row r="121" spans="1:42" x14ac:dyDescent="0.25">
      <c r="E121" s="57"/>
      <c r="I121" s="476"/>
    </row>
  </sheetData>
  <mergeCells count="45">
    <mergeCell ref="AJ1:AJ7"/>
    <mergeCell ref="D2:F2"/>
    <mergeCell ref="I2:J2"/>
    <mergeCell ref="B3:C3"/>
    <mergeCell ref="AF1:AF8"/>
    <mergeCell ref="AG1:AG8"/>
    <mergeCell ref="AH1:AH8"/>
    <mergeCell ref="AI1:AI8"/>
    <mergeCell ref="AC6:AD6"/>
    <mergeCell ref="G3:H3"/>
    <mergeCell ref="T3:AD3"/>
    <mergeCell ref="B4:C4"/>
    <mergeCell ref="D4:E4"/>
    <mergeCell ref="T4:AD4"/>
    <mergeCell ref="A5:D5"/>
    <mergeCell ref="T5:AD5"/>
    <mergeCell ref="D6:E6"/>
    <mergeCell ref="G6:H6"/>
    <mergeCell ref="T6:U6"/>
    <mergeCell ref="W6:X6"/>
    <mergeCell ref="Z6:AA6"/>
    <mergeCell ref="Z8:AA8"/>
    <mergeCell ref="AC8:AD8"/>
    <mergeCell ref="D100:E100"/>
    <mergeCell ref="G100:H100"/>
    <mergeCell ref="T100:U100"/>
    <mergeCell ref="W100:X100"/>
    <mergeCell ref="Z100:AA100"/>
    <mergeCell ref="K99:L99"/>
    <mergeCell ref="H1:I1"/>
    <mergeCell ref="B1:G1"/>
    <mergeCell ref="T104:AD104"/>
    <mergeCell ref="T105:AD105"/>
    <mergeCell ref="T106:AD106"/>
    <mergeCell ref="D102:E102"/>
    <mergeCell ref="G102:H102"/>
    <mergeCell ref="T102:U102"/>
    <mergeCell ref="W102:X102"/>
    <mergeCell ref="Z102:AA102"/>
    <mergeCell ref="AC102:AD102"/>
    <mergeCell ref="AC100:AD100"/>
    <mergeCell ref="D8:E8"/>
    <mergeCell ref="G8:H8"/>
    <mergeCell ref="T8:U8"/>
    <mergeCell ref="W8:X8"/>
  </mergeCells>
  <conditionalFormatting sqref="AL9:AL44 AL97:AL98">
    <cfRule type="cellIs" dxfId="130" priority="13" operator="greaterThan">
      <formula>0</formula>
    </cfRule>
    <cfRule type="cellIs" dxfId="129" priority="14" operator="lessThan">
      <formula>0</formula>
    </cfRule>
  </conditionalFormatting>
  <conditionalFormatting sqref="AF9:AF96">
    <cfRule type="cellIs" dxfId="128" priority="15" operator="lessThan">
      <formula>$AF$98</formula>
    </cfRule>
    <cfRule type="cellIs" dxfId="127" priority="16" operator="greaterThan">
      <formula>$AF$98</formula>
    </cfRule>
  </conditionalFormatting>
  <conditionalFormatting sqref="AG9:AG96">
    <cfRule type="cellIs" dxfId="126" priority="17" operator="equal">
      <formula>$AG$99</formula>
    </cfRule>
    <cfRule type="cellIs" dxfId="125" priority="18" operator="lessThan">
      <formula>$AG$98</formula>
    </cfRule>
    <cfRule type="cellIs" dxfId="124" priority="19" operator="greaterThan">
      <formula>$AG$98</formula>
    </cfRule>
  </conditionalFormatting>
  <conditionalFormatting sqref="AL45:AL96">
    <cfRule type="cellIs" dxfId="123" priority="11" operator="greaterThan">
      <formula>0</formula>
    </cfRule>
    <cfRule type="cellIs" dxfId="122" priority="12" operator="lessThan">
      <formula>0</formula>
    </cfRule>
  </conditionalFormatting>
  <conditionalFormatting sqref="AP10:AP57">
    <cfRule type="cellIs" dxfId="121" priority="2" operator="lessThan">
      <formula>0</formula>
    </cfRule>
  </conditionalFormatting>
  <conditionalFormatting sqref="AP58">
    <cfRule type="cellIs" dxfId="12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tabColor rgb="FF92D050"/>
    <pageSetUpPr fitToPage="1"/>
  </sheetPr>
  <dimension ref="A1:AK71"/>
  <sheetViews>
    <sheetView workbookViewId="0">
      <pane xSplit="1" ySplit="8" topLeftCell="B9" activePane="bottomRight" state="frozen"/>
      <selection activeCell="L43" sqref="L43:M43"/>
      <selection pane="topRight" activeCell="L43" sqref="L43:M43"/>
      <selection pane="bottomLeft" activeCell="L43" sqref="L43:M43"/>
      <selection pane="bottomRight" activeCell="L43" sqref="L43:M43"/>
    </sheetView>
  </sheetViews>
  <sheetFormatPr defaultRowHeight="15.75" x14ac:dyDescent="0.25"/>
  <cols>
    <col min="1" max="1" width="18" style="52" customWidth="1"/>
    <col min="2" max="2" width="9.37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9.125" style="478" customWidth="1"/>
    <col min="19" max="19" width="16.75" style="478" customWidth="1"/>
    <col min="20" max="21" width="10.375" style="51" customWidth="1"/>
    <col min="22" max="22" width="15.5" style="51" customWidth="1"/>
    <col min="23" max="23" width="10.375" style="51" customWidth="1"/>
    <col min="24" max="24" width="9.125" style="478" customWidth="1"/>
    <col min="25" max="25" width="16.125" style="478" customWidth="1"/>
    <col min="26" max="26" width="10.375" style="51" customWidth="1"/>
    <col min="27" max="27" width="9.125" style="478" customWidth="1"/>
    <col min="28" max="28" width="16.125" style="478" customWidth="1"/>
    <col min="29" max="29" width="10.375" style="51" customWidth="1"/>
    <col min="30" max="30" width="8.625" style="8" customWidth="1"/>
    <col min="31" max="31" width="8.625" style="1" customWidth="1"/>
    <col min="32" max="32" width="12.25" style="5" customWidth="1"/>
    <col min="33" max="33" width="9" style="61"/>
    <col min="34" max="35" width="10.75" style="61" customWidth="1"/>
    <col min="36" max="16384" width="9" style="1"/>
  </cols>
  <sheetData>
    <row r="1" spans="1:37" s="1165" customFormat="1" ht="18.75" customHeight="1" thickTop="1" thickBot="1" x14ac:dyDescent="0.3">
      <c r="A1" s="1166" t="s">
        <v>713</v>
      </c>
      <c r="B1" s="1569" t="s">
        <v>39</v>
      </c>
      <c r="C1" s="1569"/>
      <c r="D1" s="1569"/>
      <c r="E1" s="1569"/>
      <c r="F1" s="1569"/>
      <c r="G1" s="1569"/>
      <c r="H1" s="2243" t="s">
        <v>1163</v>
      </c>
      <c r="I1" s="2244"/>
      <c r="J1" s="1572">
        <v>621460</v>
      </c>
      <c r="K1" s="1573">
        <f>J1-B4</f>
        <v>6261</v>
      </c>
      <c r="L1" s="1163"/>
      <c r="M1" s="1164"/>
      <c r="N1" s="1163"/>
      <c r="O1" s="1164"/>
      <c r="P1" s="1163"/>
      <c r="Q1" s="1164"/>
      <c r="R1" s="1163"/>
      <c r="S1" s="1163"/>
      <c r="T1" s="1164"/>
      <c r="U1" s="1164"/>
      <c r="V1" s="1164"/>
      <c r="W1" s="1164"/>
      <c r="X1" s="1163"/>
      <c r="Y1" s="1163"/>
      <c r="Z1" s="1164"/>
      <c r="AA1" s="1163"/>
      <c r="AB1" s="1163"/>
      <c r="AC1" s="1164"/>
      <c r="AD1" s="2268" t="s">
        <v>51</v>
      </c>
      <c r="AE1" s="2272" t="s">
        <v>52</v>
      </c>
      <c r="AF1" s="2275" t="s">
        <v>102</v>
      </c>
      <c r="AG1" s="2279" t="s">
        <v>101</v>
      </c>
      <c r="AH1" s="2257" t="s">
        <v>171</v>
      </c>
      <c r="AI1" s="2258"/>
    </row>
    <row r="2" spans="1:37" s="561" customFormat="1" ht="16.5" thickTop="1" x14ac:dyDescent="0.25">
      <c r="A2" s="1167" t="s">
        <v>927</v>
      </c>
      <c r="B2" s="1251">
        <v>39944</v>
      </c>
      <c r="C2" s="1251">
        <v>43819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571" t="s">
        <v>888</v>
      </c>
      <c r="I2" s="2292">
        <f ca="1">Prehľad!H29</f>
        <v>13.842573579739904</v>
      </c>
      <c r="J2" s="2293"/>
      <c r="K2" s="1155"/>
      <c r="L2" s="1159"/>
      <c r="M2" s="1155"/>
      <c r="N2" s="1159"/>
      <c r="O2" s="1155"/>
      <c r="P2" s="1159"/>
      <c r="Q2" s="1155"/>
      <c r="R2" s="1159"/>
      <c r="S2" s="1159"/>
      <c r="T2" s="1155"/>
      <c r="U2" s="1155"/>
      <c r="V2" s="1155"/>
      <c r="W2" s="1155"/>
      <c r="X2" s="1159"/>
      <c r="Y2" s="1159"/>
      <c r="Z2" s="1155"/>
      <c r="AA2" s="1159"/>
      <c r="AB2" s="1159"/>
      <c r="AC2" s="1155"/>
      <c r="AD2" s="2269"/>
      <c r="AE2" s="2273"/>
      <c r="AF2" s="2276"/>
      <c r="AG2" s="2280"/>
      <c r="AH2" s="2259"/>
      <c r="AI2" s="2260"/>
    </row>
    <row r="3" spans="1:37" s="561" customFormat="1" x14ac:dyDescent="0.25">
      <c r="A3" s="1167" t="s">
        <v>870</v>
      </c>
      <c r="B3" s="2264">
        <v>0</v>
      </c>
      <c r="C3" s="2264"/>
      <c r="D3" s="1174" t="s">
        <v>874</v>
      </c>
      <c r="E3" s="1169"/>
      <c r="F3" s="1175">
        <f ca="1">B3/G2/12</f>
        <v>0</v>
      </c>
      <c r="G3" s="2267" t="s">
        <v>875</v>
      </c>
      <c r="H3" s="2267"/>
      <c r="I3" s="1170">
        <f ca="1">F3/(I4/((TODAY()-C2)/365.25*12))</f>
        <v>0</v>
      </c>
      <c r="J3" s="1171">
        <f ca="1">I3/$F$5</f>
        <v>0</v>
      </c>
      <c r="K3" s="1375">
        <f ca="1">(B3/G2/365.25)/(I4/(TODAY()-C2))</f>
        <v>0</v>
      </c>
      <c r="L3" s="645" t="s">
        <v>1017</v>
      </c>
      <c r="M3" s="1155"/>
      <c r="N3" s="1159"/>
      <c r="O3" s="1155"/>
      <c r="P3" s="1159"/>
      <c r="Q3" s="1155"/>
      <c r="R3" s="2245" t="s">
        <v>893</v>
      </c>
      <c r="S3" s="2246"/>
      <c r="T3" s="2246"/>
      <c r="U3" s="2246"/>
      <c r="V3" s="2246"/>
      <c r="W3" s="2246"/>
      <c r="X3" s="2246"/>
      <c r="Y3" s="2246"/>
      <c r="Z3" s="2246"/>
      <c r="AA3" s="2246"/>
      <c r="AB3" s="2246"/>
      <c r="AC3" s="1180">
        <f>AC5/$I$4</f>
        <v>2.727519565564606E-2</v>
      </c>
      <c r="AD3" s="2270"/>
      <c r="AE3" s="2273"/>
      <c r="AF3" s="2276"/>
      <c r="AG3" s="2280"/>
      <c r="AH3" s="2259"/>
      <c r="AI3" s="2260"/>
    </row>
    <row r="4" spans="1:37" s="561" customFormat="1" ht="19.5" thickBot="1" x14ac:dyDescent="0.3">
      <c r="A4" s="1167" t="s">
        <v>869</v>
      </c>
      <c r="B4" s="2283">
        <v>615199</v>
      </c>
      <c r="C4" s="2283"/>
      <c r="D4" s="2284" t="s">
        <v>872</v>
      </c>
      <c r="E4" s="2285"/>
      <c r="F4" s="1570">
        <v>621460</v>
      </c>
      <c r="G4" s="1172" t="s">
        <v>876</v>
      </c>
      <c r="H4" s="1173"/>
      <c r="I4" s="1219">
        <f>F4-B4</f>
        <v>6261</v>
      </c>
      <c r="J4" s="1227">
        <f ca="1">I3/F49</f>
        <v>0</v>
      </c>
      <c r="K4" s="1155"/>
      <c r="L4" s="1159"/>
      <c r="M4" s="1155"/>
      <c r="N4" s="1159"/>
      <c r="O4" s="1155"/>
      <c r="P4" s="1159"/>
      <c r="Q4" s="1155"/>
      <c r="R4" s="2247"/>
      <c r="S4" s="2248"/>
      <c r="T4" s="2248"/>
      <c r="U4" s="2248"/>
      <c r="V4" s="2248"/>
      <c r="W4" s="2248"/>
      <c r="X4" s="2248"/>
      <c r="Y4" s="2248"/>
      <c r="Z4" s="2248"/>
      <c r="AA4" s="2248"/>
      <c r="AB4" s="2248"/>
      <c r="AC4" s="1183">
        <f ca="1">AC3/$F$5</f>
        <v>4.7866108317496631E-2</v>
      </c>
      <c r="AD4" s="2270"/>
      <c r="AE4" s="2273"/>
      <c r="AF4" s="2276"/>
      <c r="AG4" s="2280"/>
      <c r="AH4" s="2259"/>
      <c r="AI4" s="2260"/>
    </row>
    <row r="5" spans="1:37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>
        <f ca="1">I3+C6+F6+I6+K6+M6+O6+Q6+T6+W6+Z6+AC6</f>
        <v>0.56982271202683266</v>
      </c>
      <c r="G5" s="1211">
        <f ca="1">J3+C7+F7+I7+K7+M7+O7+Q7+T7+W7+Z7+AC7</f>
        <v>1.0000000000000002</v>
      </c>
      <c r="H5" s="1380">
        <f>B3+C8+F8+I8+K8+M8+O8+Q8+AC5</f>
        <v>3567.66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2249" t="s">
        <v>894</v>
      </c>
      <c r="S5" s="2250"/>
      <c r="T5" s="2250"/>
      <c r="U5" s="2250"/>
      <c r="V5" s="2250"/>
      <c r="W5" s="2250"/>
      <c r="X5" s="2250"/>
      <c r="Y5" s="2250"/>
      <c r="Z5" s="2250"/>
      <c r="AA5" s="2250"/>
      <c r="AB5" s="2250"/>
      <c r="AC5" s="1158">
        <f>T8+W8+Z8+AC8</f>
        <v>170.76999999999998</v>
      </c>
      <c r="AD5" s="2270"/>
      <c r="AE5" s="2273"/>
      <c r="AF5" s="2276"/>
      <c r="AG5" s="2280"/>
      <c r="AH5" s="2259"/>
      <c r="AI5" s="2260"/>
    </row>
    <row r="6" spans="1:37" s="561" customFormat="1" x14ac:dyDescent="0.25">
      <c r="A6" s="1178" t="s">
        <v>877</v>
      </c>
      <c r="B6" s="1179"/>
      <c r="C6" s="1180">
        <f>C8/$K$1</f>
        <v>0.1560613320555822</v>
      </c>
      <c r="D6" s="2252" t="s">
        <v>879</v>
      </c>
      <c r="E6" s="2246"/>
      <c r="F6" s="1180">
        <f>F8/$I$4</f>
        <v>0.29172176968535374</v>
      </c>
      <c r="G6" s="2252" t="s">
        <v>881</v>
      </c>
      <c r="H6" s="2246"/>
      <c r="I6" s="1180">
        <f>I8/$I$4</f>
        <v>4.4944896981312883E-2</v>
      </c>
      <c r="J6" s="1181" t="s">
        <v>898</v>
      </c>
      <c r="K6" s="1180">
        <f>K8/$I$4</f>
        <v>5.9926529308417182E-3</v>
      </c>
      <c r="L6" s="1181" t="s">
        <v>883</v>
      </c>
      <c r="M6" s="1180">
        <f>M8/$I$4</f>
        <v>3.5840919980833746E-2</v>
      </c>
      <c r="N6" s="1181" t="s">
        <v>908</v>
      </c>
      <c r="O6" s="1180">
        <f>O8/$I$4</f>
        <v>7.9859447372624178E-3</v>
      </c>
      <c r="P6" s="1181" t="s">
        <v>906</v>
      </c>
      <c r="Q6" s="1180">
        <f>Q8/$I$4</f>
        <v>0</v>
      </c>
      <c r="R6" s="2252" t="s">
        <v>886</v>
      </c>
      <c r="S6" s="2246"/>
      <c r="T6" s="1180">
        <f>T8/$I$4</f>
        <v>1.4497684076026193E-2</v>
      </c>
      <c r="U6" s="2252" t="s">
        <v>912</v>
      </c>
      <c r="V6" s="2246"/>
      <c r="W6" s="1180">
        <f>W8/$I$4</f>
        <v>1.277751157961987E-2</v>
      </c>
      <c r="X6" s="2252" t="s">
        <v>889</v>
      </c>
      <c r="Y6" s="2246"/>
      <c r="Z6" s="1180">
        <f>Z8/$I$4</f>
        <v>0</v>
      </c>
      <c r="AA6" s="2252" t="s">
        <v>891</v>
      </c>
      <c r="AB6" s="2246"/>
      <c r="AC6" s="1182">
        <f>AC8/$I$4</f>
        <v>0</v>
      </c>
      <c r="AD6" s="2269"/>
      <c r="AE6" s="2273"/>
      <c r="AF6" s="2277"/>
      <c r="AG6" s="2281"/>
      <c r="AH6" s="2259"/>
      <c r="AI6" s="2260"/>
    </row>
    <row r="7" spans="1:37" s="561" customFormat="1" x14ac:dyDescent="0.25">
      <c r="A7" s="1192" t="s">
        <v>896</v>
      </c>
      <c r="B7" s="1193">
        <f>B8/K1*100</f>
        <v>11.186072512378214</v>
      </c>
      <c r="C7" s="1183">
        <f ca="1">C6/$F$5</f>
        <v>0.27387699500512952</v>
      </c>
      <c r="D7" s="1184"/>
      <c r="E7" s="1185"/>
      <c r="F7" s="1183">
        <f ca="1">F6/$F$5</f>
        <v>0.51195181155154923</v>
      </c>
      <c r="G7" s="1184"/>
      <c r="H7" s="1185"/>
      <c r="I7" s="1183">
        <f ca="1">I6/$F$5</f>
        <v>7.8875229141790418E-2</v>
      </c>
      <c r="J7" s="1243">
        <f>COUNT(J9:J47)</f>
        <v>6</v>
      </c>
      <c r="K7" s="1183">
        <f ca="1">K6/$F$5</f>
        <v>1.0516697218905391E-2</v>
      </c>
      <c r="L7" s="1184"/>
      <c r="M7" s="1183">
        <f ca="1">M6/$F$5</f>
        <v>6.289837036040434E-2</v>
      </c>
      <c r="N7" s="1184"/>
      <c r="O7" s="1183">
        <f ca="1">O6/$F$5</f>
        <v>1.4014788404724667E-2</v>
      </c>
      <c r="P7" s="1184"/>
      <c r="Q7" s="1183">
        <f ca="1">Q6/$F$5</f>
        <v>0</v>
      </c>
      <c r="R7" s="1184"/>
      <c r="S7" s="1185"/>
      <c r="T7" s="1183">
        <f ca="1">T6/$F$5</f>
        <v>2.5442446869937161E-2</v>
      </c>
      <c r="U7" s="1184"/>
      <c r="V7" s="1185"/>
      <c r="W7" s="1183">
        <f ca="1">W6/$F$5</f>
        <v>2.242366144755947E-2</v>
      </c>
      <c r="X7" s="1184"/>
      <c r="Y7" s="1185"/>
      <c r="Z7" s="1183">
        <f ca="1">Z6/$F$5</f>
        <v>0</v>
      </c>
      <c r="AA7" s="1184"/>
      <c r="AB7" s="1185"/>
      <c r="AC7" s="1186">
        <f ca="1">AC6/$F$5</f>
        <v>0</v>
      </c>
      <c r="AD7" s="2269"/>
      <c r="AE7" s="2273"/>
      <c r="AF7" s="2277"/>
      <c r="AG7" s="2281"/>
      <c r="AH7" s="2261"/>
      <c r="AI7" s="2262"/>
    </row>
    <row r="8" spans="1:37" x14ac:dyDescent="0.25">
      <c r="A8" s="1191" t="s">
        <v>878</v>
      </c>
      <c r="B8" s="1220">
        <f>SUM(B9:B47)</f>
        <v>700.3599999999999</v>
      </c>
      <c r="C8" s="1156">
        <f>SUM(C9:C47)</f>
        <v>977.10000000000014</v>
      </c>
      <c r="D8" s="2251" t="s">
        <v>880</v>
      </c>
      <c r="E8" s="2250"/>
      <c r="F8" s="1158">
        <f>SUM(F9:F47)</f>
        <v>1826.4699999999998</v>
      </c>
      <c r="G8" s="2251" t="s">
        <v>882</v>
      </c>
      <c r="H8" s="2250"/>
      <c r="I8" s="1158">
        <f>SUM(I9:I47)</f>
        <v>281.39999999999998</v>
      </c>
      <c r="J8" s="1157" t="s">
        <v>899</v>
      </c>
      <c r="K8" s="1158">
        <f>SUM(K9:K47)</f>
        <v>37.519999999999996</v>
      </c>
      <c r="L8" s="1157" t="s">
        <v>884</v>
      </c>
      <c r="M8" s="1158">
        <f>SUM(M9:M47)</f>
        <v>224.40000000000009</v>
      </c>
      <c r="N8" s="1157" t="s">
        <v>909</v>
      </c>
      <c r="O8" s="1158">
        <f>SUM(O9:O47)</f>
        <v>50</v>
      </c>
      <c r="P8" s="1157" t="s">
        <v>907</v>
      </c>
      <c r="Q8" s="1158">
        <f>SUM(Q9:Q47)</f>
        <v>0</v>
      </c>
      <c r="R8" s="2251" t="s">
        <v>887</v>
      </c>
      <c r="S8" s="2250"/>
      <c r="T8" s="1158">
        <f>SUM(T9:T47)</f>
        <v>90.77</v>
      </c>
      <c r="U8" s="2251" t="s">
        <v>913</v>
      </c>
      <c r="V8" s="2250"/>
      <c r="W8" s="1158">
        <f>SUM(W9:W47)</f>
        <v>80</v>
      </c>
      <c r="X8" s="2251" t="s">
        <v>890</v>
      </c>
      <c r="Y8" s="2250"/>
      <c r="Z8" s="1158">
        <f>SUM(Z9:Z47)</f>
        <v>0</v>
      </c>
      <c r="AA8" s="2251" t="s">
        <v>892</v>
      </c>
      <c r="AB8" s="2250"/>
      <c r="AC8" s="1176">
        <f>SUM(AC9:AC47)</f>
        <v>0</v>
      </c>
      <c r="AD8" s="2271"/>
      <c r="AE8" s="2274"/>
      <c r="AF8" s="2278"/>
      <c r="AG8" s="2282"/>
      <c r="AH8" s="832">
        <f>SUM(AH9:AH47)</f>
        <v>0</v>
      </c>
      <c r="AI8" s="833">
        <f>SUM(AI9:AI47)</f>
        <v>0</v>
      </c>
      <c r="AJ8" s="54">
        <f>SUM(C9:C47)/SUM(B9:B47)</f>
        <v>1.3951396424695874</v>
      </c>
    </row>
    <row r="9" spans="1:37" x14ac:dyDescent="0.25">
      <c r="A9" s="64">
        <v>43861</v>
      </c>
      <c r="B9" s="65">
        <v>55.39</v>
      </c>
      <c r="C9" s="66">
        <v>81.849999999999994</v>
      </c>
      <c r="D9" s="67">
        <v>43859</v>
      </c>
      <c r="E9" s="68" t="s">
        <v>978</v>
      </c>
      <c r="F9" s="66">
        <v>152.4</v>
      </c>
      <c r="G9" s="67">
        <v>43819</v>
      </c>
      <c r="H9" s="68" t="s">
        <v>718</v>
      </c>
      <c r="I9" s="66">
        <v>266</v>
      </c>
      <c r="J9" s="69">
        <v>43860</v>
      </c>
      <c r="K9" s="1676">
        <f>5.42*1.2</f>
        <v>6.5039999999999996</v>
      </c>
      <c r="L9" s="64">
        <v>43819</v>
      </c>
      <c r="M9" s="66">
        <v>73.2</v>
      </c>
      <c r="N9" s="1152">
        <v>43845</v>
      </c>
      <c r="O9" s="66">
        <v>50</v>
      </c>
      <c r="P9" s="64"/>
      <c r="Q9" s="66"/>
      <c r="R9" s="1152">
        <v>43817</v>
      </c>
      <c r="S9" s="1198" t="s">
        <v>915</v>
      </c>
      <c r="T9" s="66">
        <v>25.19</v>
      </c>
      <c r="U9" s="1152">
        <v>43942</v>
      </c>
      <c r="V9" s="1198" t="s">
        <v>1079</v>
      </c>
      <c r="W9" s="66">
        <v>40</v>
      </c>
      <c r="X9" s="1152"/>
      <c r="Y9" s="1198"/>
      <c r="Z9" s="66"/>
      <c r="AA9" s="1152"/>
      <c r="AB9" s="1198"/>
      <c r="AC9" s="66"/>
      <c r="AD9" s="1118">
        <v>2.54</v>
      </c>
      <c r="AE9" s="1119">
        <v>21.39</v>
      </c>
      <c r="AF9" s="1117">
        <v>259</v>
      </c>
      <c r="AG9" s="237">
        <v>54</v>
      </c>
      <c r="AH9" s="838"/>
      <c r="AI9" s="839"/>
      <c r="AJ9" s="51">
        <f t="shared" ref="AJ9:AJ31" si="0">C9/B9</f>
        <v>1.4777035565986638</v>
      </c>
      <c r="AK9" s="51">
        <f t="shared" ref="AK9:AK31" si="1">AJ9-$AJ$8</f>
        <v>8.2563914129076377E-2</v>
      </c>
    </row>
    <row r="10" spans="1:37" x14ac:dyDescent="0.25">
      <c r="A10" s="71">
        <v>43890</v>
      </c>
      <c r="B10" s="72">
        <v>93.43</v>
      </c>
      <c r="C10" s="73">
        <v>136.15</v>
      </c>
      <c r="D10" s="345">
        <v>43899</v>
      </c>
      <c r="E10" s="346" t="s">
        <v>1002</v>
      </c>
      <c r="F10" s="347">
        <v>561.25</v>
      </c>
      <c r="G10" s="147">
        <v>43859</v>
      </c>
      <c r="H10" s="75" t="s">
        <v>510</v>
      </c>
      <c r="I10" s="73">
        <v>10.9</v>
      </c>
      <c r="J10" s="234">
        <v>43869</v>
      </c>
      <c r="K10" s="1674">
        <f>5.42*1.2</f>
        <v>6.5039999999999996</v>
      </c>
      <c r="L10" s="71">
        <v>43861</v>
      </c>
      <c r="M10" s="73">
        <v>8.4</v>
      </c>
      <c r="N10" s="894"/>
      <c r="O10" s="73"/>
      <c r="P10" s="71"/>
      <c r="Q10" s="73"/>
      <c r="R10" s="894">
        <v>43922</v>
      </c>
      <c r="S10" s="1199" t="s">
        <v>1008</v>
      </c>
      <c r="T10" s="73">
        <v>21.86</v>
      </c>
      <c r="U10" s="894"/>
      <c r="V10" s="1199"/>
      <c r="W10" s="73"/>
      <c r="X10" s="894"/>
      <c r="Y10" s="1199"/>
      <c r="Z10" s="73"/>
      <c r="AA10" s="894"/>
      <c r="AB10" s="1199"/>
      <c r="AC10" s="73"/>
      <c r="AD10" s="1112">
        <v>1.08</v>
      </c>
      <c r="AE10" s="1113">
        <v>11.78</v>
      </c>
      <c r="AF10" s="1110">
        <v>1004</v>
      </c>
      <c r="AG10" s="238">
        <v>64</v>
      </c>
      <c r="AH10" s="838"/>
      <c r="AI10" s="839"/>
      <c r="AJ10" s="51">
        <f t="shared" si="0"/>
        <v>1.4572407149737772</v>
      </c>
      <c r="AK10" s="51">
        <f t="shared" si="1"/>
        <v>6.2101072504189725E-2</v>
      </c>
    </row>
    <row r="11" spans="1:37" x14ac:dyDescent="0.25">
      <c r="A11" s="71">
        <v>43921</v>
      </c>
      <c r="B11" s="72">
        <v>51.21</v>
      </c>
      <c r="C11" s="73">
        <v>71.47</v>
      </c>
      <c r="D11" s="345">
        <v>43861</v>
      </c>
      <c r="E11" s="346" t="s">
        <v>981</v>
      </c>
      <c r="F11" s="347">
        <v>41.95</v>
      </c>
      <c r="G11" s="147">
        <v>44151</v>
      </c>
      <c r="H11" s="75" t="s">
        <v>510</v>
      </c>
      <c r="I11" s="73">
        <v>4.5</v>
      </c>
      <c r="J11" s="234">
        <v>43886</v>
      </c>
      <c r="K11" s="1674">
        <f>5.42*1.2</f>
        <v>6.5039999999999996</v>
      </c>
      <c r="L11" s="71">
        <v>43873</v>
      </c>
      <c r="M11" s="73">
        <v>8.4</v>
      </c>
      <c r="N11" s="894"/>
      <c r="O11" s="73"/>
      <c r="P11" s="71"/>
      <c r="Q11" s="73"/>
      <c r="R11" s="894">
        <v>44006</v>
      </c>
      <c r="S11" s="1199" t="s">
        <v>1223</v>
      </c>
      <c r="T11" s="73">
        <v>21.86</v>
      </c>
      <c r="U11" s="894"/>
      <c r="V11" s="1199"/>
      <c r="W11" s="73"/>
      <c r="X11" s="894"/>
      <c r="Y11" s="1199"/>
      <c r="Z11" s="73"/>
      <c r="AA11" s="894"/>
      <c r="AB11" s="1199"/>
      <c r="AC11" s="73"/>
      <c r="AD11" s="1112">
        <v>1.07</v>
      </c>
      <c r="AE11" s="1113">
        <v>12.17</v>
      </c>
      <c r="AF11" s="1110">
        <v>380</v>
      </c>
      <c r="AG11" s="238">
        <v>62</v>
      </c>
      <c r="AH11" s="838"/>
      <c r="AI11" s="839"/>
      <c r="AJ11" s="51">
        <f t="shared" si="0"/>
        <v>1.395625854325327</v>
      </c>
      <c r="AK11" s="51">
        <f t="shared" si="1"/>
        <v>4.8621185573960446E-4</v>
      </c>
    </row>
    <row r="12" spans="1:37" x14ac:dyDescent="0.25">
      <c r="A12" s="71">
        <v>43951</v>
      </c>
      <c r="B12" s="72">
        <v>30</v>
      </c>
      <c r="C12" s="73">
        <v>41.87</v>
      </c>
      <c r="D12" s="345">
        <v>43956</v>
      </c>
      <c r="E12" s="346" t="s">
        <v>1098</v>
      </c>
      <c r="F12" s="347">
        <v>217.19</v>
      </c>
      <c r="G12" s="147"/>
      <c r="H12" s="75"/>
      <c r="I12" s="73"/>
      <c r="J12" s="234">
        <v>43985</v>
      </c>
      <c r="K12" s="1674">
        <f>5.42*1.2</f>
        <v>6.5039999999999996</v>
      </c>
      <c r="L12" s="71">
        <v>43899</v>
      </c>
      <c r="M12" s="73">
        <v>8.4</v>
      </c>
      <c r="N12" s="894"/>
      <c r="O12" s="73"/>
      <c r="P12" s="71"/>
      <c r="Q12" s="73"/>
      <c r="R12" s="894">
        <v>44091</v>
      </c>
      <c r="S12" s="1199" t="s">
        <v>1224</v>
      </c>
      <c r="T12" s="73">
        <v>21.86</v>
      </c>
      <c r="U12" s="894"/>
      <c r="V12" s="1199"/>
      <c r="W12" s="73"/>
      <c r="X12" s="894"/>
      <c r="Y12" s="1199"/>
      <c r="Z12" s="73"/>
      <c r="AA12" s="894"/>
      <c r="AB12" s="1199"/>
      <c r="AC12" s="73"/>
      <c r="AD12" s="1112">
        <v>1.1499999999999999</v>
      </c>
      <c r="AE12" s="1113">
        <v>12.33</v>
      </c>
      <c r="AF12" s="1110">
        <v>222</v>
      </c>
      <c r="AG12" s="238">
        <v>32</v>
      </c>
      <c r="AH12" s="838"/>
      <c r="AI12" s="839"/>
      <c r="AJ12" s="51">
        <f t="shared" si="0"/>
        <v>1.3956666666666666</v>
      </c>
      <c r="AK12" s="51">
        <f t="shared" si="1"/>
        <v>5.2702419707917336E-4</v>
      </c>
    </row>
    <row r="13" spans="1:37" x14ac:dyDescent="0.25">
      <c r="A13" s="71">
        <v>43982</v>
      </c>
      <c r="B13" s="72">
        <v>14.26</v>
      </c>
      <c r="C13" s="73">
        <v>18.62</v>
      </c>
      <c r="D13" s="147">
        <v>43917</v>
      </c>
      <c r="E13" s="75" t="s">
        <v>1059</v>
      </c>
      <c r="F13" s="73">
        <v>277.79000000000002</v>
      </c>
      <c r="G13" s="147"/>
      <c r="H13" s="75"/>
      <c r="I13" s="73"/>
      <c r="J13" s="234">
        <v>44081</v>
      </c>
      <c r="K13" s="1674">
        <f>5.42*1.2</f>
        <v>6.5039999999999996</v>
      </c>
      <c r="L13" s="71">
        <v>43929</v>
      </c>
      <c r="M13" s="73">
        <v>8.4</v>
      </c>
      <c r="N13" s="894"/>
      <c r="O13" s="73"/>
      <c r="P13" s="71"/>
      <c r="Q13" s="73"/>
      <c r="R13" s="894"/>
      <c r="S13" s="1199"/>
      <c r="T13" s="73"/>
      <c r="U13" s="894"/>
      <c r="V13" s="1199"/>
      <c r="W13" s="73"/>
      <c r="X13" s="894"/>
      <c r="Y13" s="1199"/>
      <c r="Z13" s="73"/>
      <c r="AA13" s="894"/>
      <c r="AB13" s="1199"/>
      <c r="AC13" s="73"/>
      <c r="AD13" s="1112">
        <v>1.23</v>
      </c>
      <c r="AE13" s="1113">
        <v>12.57</v>
      </c>
      <c r="AF13" s="1110">
        <v>79</v>
      </c>
      <c r="AG13" s="238">
        <v>65</v>
      </c>
      <c r="AH13" s="838"/>
      <c r="AI13" s="839"/>
      <c r="AJ13" s="51">
        <f t="shared" si="0"/>
        <v>1.3057503506311361</v>
      </c>
      <c r="AK13" s="51">
        <f t="shared" si="1"/>
        <v>-8.9389291838451346E-2</v>
      </c>
    </row>
    <row r="14" spans="1:37" x14ac:dyDescent="0.25">
      <c r="A14" s="71">
        <v>44012</v>
      </c>
      <c r="B14" s="72">
        <v>45</v>
      </c>
      <c r="C14" s="73">
        <v>59.23</v>
      </c>
      <c r="D14" s="147">
        <v>43935</v>
      </c>
      <c r="E14" s="75" t="s">
        <v>1072</v>
      </c>
      <c r="F14" s="73">
        <v>41.95</v>
      </c>
      <c r="G14" s="147"/>
      <c r="H14" s="75"/>
      <c r="I14" s="73"/>
      <c r="J14" s="1724">
        <v>44153</v>
      </c>
      <c r="K14" s="1725">
        <v>5</v>
      </c>
      <c r="L14" s="71">
        <v>43958</v>
      </c>
      <c r="M14" s="73">
        <v>8.4</v>
      </c>
      <c r="N14" s="894"/>
      <c r="O14" s="73"/>
      <c r="P14" s="71"/>
      <c r="Q14" s="73"/>
      <c r="R14" s="894"/>
      <c r="S14" s="1199"/>
      <c r="T14" s="73"/>
      <c r="U14" s="894"/>
      <c r="V14" s="1199"/>
      <c r="W14" s="73"/>
      <c r="X14" s="894"/>
      <c r="Y14" s="1199"/>
      <c r="Z14" s="73"/>
      <c r="AA14" s="894"/>
      <c r="AB14" s="1199"/>
      <c r="AC14" s="73"/>
      <c r="AD14" s="1112">
        <v>1.1399999999999999</v>
      </c>
      <c r="AE14" s="1113">
        <v>13.44</v>
      </c>
      <c r="AF14" s="1110">
        <v>208</v>
      </c>
      <c r="AG14" s="238">
        <v>54</v>
      </c>
      <c r="AH14" s="838"/>
      <c r="AI14" s="839"/>
      <c r="AJ14" s="51">
        <f t="shared" si="0"/>
        <v>1.3162222222222222</v>
      </c>
      <c r="AK14" s="51">
        <f t="shared" si="1"/>
        <v>-7.8917420247365255E-2</v>
      </c>
    </row>
    <row r="15" spans="1:37" x14ac:dyDescent="0.25">
      <c r="A15" s="71">
        <v>44043</v>
      </c>
      <c r="B15" s="72">
        <v>9.25</v>
      </c>
      <c r="C15" s="73">
        <v>12.24</v>
      </c>
      <c r="D15" s="345">
        <v>43999</v>
      </c>
      <c r="E15" s="346" t="s">
        <v>1142</v>
      </c>
      <c r="F15" s="347">
        <v>185.83</v>
      </c>
      <c r="G15" s="147"/>
      <c r="H15" s="75"/>
      <c r="I15" s="73"/>
      <c r="J15" s="234"/>
      <c r="K15" s="73"/>
      <c r="L15" s="71">
        <v>43983</v>
      </c>
      <c r="M15" s="73">
        <v>8.4</v>
      </c>
      <c r="N15" s="894"/>
      <c r="O15" s="73"/>
      <c r="P15" s="71"/>
      <c r="Q15" s="73"/>
      <c r="R15" s="894"/>
      <c r="S15" s="1199"/>
      <c r="T15" s="73"/>
      <c r="U15" s="894"/>
      <c r="V15" s="1199"/>
      <c r="W15" s="73"/>
      <c r="X15" s="894"/>
      <c r="Y15" s="1199"/>
      <c r="Z15" s="73"/>
      <c r="AA15" s="894"/>
      <c r="AB15" s="1199"/>
      <c r="AC15" s="73"/>
      <c r="AD15" s="1112">
        <v>1.1000000000000001</v>
      </c>
      <c r="AE15" s="1113">
        <v>13.23</v>
      </c>
      <c r="AF15" s="1110">
        <v>105</v>
      </c>
      <c r="AG15" s="238">
        <v>62</v>
      </c>
      <c r="AH15" s="838"/>
      <c r="AI15" s="839"/>
      <c r="AJ15" s="51">
        <f t="shared" si="0"/>
        <v>1.3232432432432433</v>
      </c>
      <c r="AK15" s="51">
        <f t="shared" si="1"/>
        <v>-7.1896399226344165E-2</v>
      </c>
    </row>
    <row r="16" spans="1:37" x14ac:dyDescent="0.25">
      <c r="A16" s="71">
        <v>44074</v>
      </c>
      <c r="B16" s="72">
        <v>2</v>
      </c>
      <c r="C16" s="73">
        <v>2.65</v>
      </c>
      <c r="D16" s="147"/>
      <c r="E16" s="75"/>
      <c r="F16" s="73"/>
      <c r="G16" s="1161"/>
      <c r="H16" s="831"/>
      <c r="I16" s="835"/>
      <c r="J16" s="836"/>
      <c r="K16" s="835"/>
      <c r="L16" s="71">
        <v>44025</v>
      </c>
      <c r="M16" s="73">
        <v>8.4</v>
      </c>
      <c r="N16" s="1153"/>
      <c r="O16" s="835"/>
      <c r="P16" s="834"/>
      <c r="Q16" s="835"/>
      <c r="R16" s="1153"/>
      <c r="S16" s="1200"/>
      <c r="T16" s="835"/>
      <c r="U16" s="1153"/>
      <c r="V16" s="1200"/>
      <c r="W16" s="835"/>
      <c r="X16" s="1153"/>
      <c r="Y16" s="1200"/>
      <c r="Z16" s="835"/>
      <c r="AA16" s="1153"/>
      <c r="AB16" s="1200"/>
      <c r="AC16" s="835"/>
      <c r="AD16" s="1112">
        <v>0.96</v>
      </c>
      <c r="AE16" s="1113">
        <v>11.26</v>
      </c>
      <c r="AF16" s="1110">
        <v>0</v>
      </c>
      <c r="AG16" s="238">
        <v>60</v>
      </c>
      <c r="AH16" s="838"/>
      <c r="AI16" s="839"/>
      <c r="AJ16" s="51">
        <f t="shared" si="0"/>
        <v>1.325</v>
      </c>
      <c r="AK16" s="51">
        <f t="shared" si="1"/>
        <v>-7.0139642469587482E-2</v>
      </c>
    </row>
    <row r="17" spans="1:37" x14ac:dyDescent="0.25">
      <c r="A17" s="71">
        <v>44104</v>
      </c>
      <c r="B17" s="72">
        <v>132.68</v>
      </c>
      <c r="C17" s="73">
        <v>177.05</v>
      </c>
      <c r="D17" s="147"/>
      <c r="E17" s="75"/>
      <c r="F17" s="73"/>
      <c r="G17" s="147"/>
      <c r="H17" s="75"/>
      <c r="I17" s="73"/>
      <c r="J17" s="234"/>
      <c r="K17" s="73"/>
      <c r="L17" s="1609">
        <v>44053</v>
      </c>
      <c r="M17" s="73">
        <v>8.4</v>
      </c>
      <c r="N17" s="894"/>
      <c r="O17" s="73"/>
      <c r="P17" s="71"/>
      <c r="Q17" s="73"/>
      <c r="R17" s="894"/>
      <c r="S17" s="1199"/>
      <c r="T17" s="73"/>
      <c r="U17" s="894"/>
      <c r="V17" s="1199"/>
      <c r="W17" s="73"/>
      <c r="X17" s="894"/>
      <c r="Y17" s="1199"/>
      <c r="Z17" s="73"/>
      <c r="AA17" s="894"/>
      <c r="AB17" s="1199"/>
      <c r="AC17" s="73"/>
      <c r="AD17" s="1112">
        <v>0.71</v>
      </c>
      <c r="AE17" s="1113">
        <v>10.98</v>
      </c>
      <c r="AF17" s="1110">
        <v>1359</v>
      </c>
      <c r="AG17" s="238">
        <v>65</v>
      </c>
      <c r="AH17" s="838"/>
      <c r="AI17" s="839"/>
      <c r="AJ17" s="51">
        <f t="shared" si="0"/>
        <v>1.3344136267711788</v>
      </c>
      <c r="AK17" s="51">
        <f t="shared" si="1"/>
        <v>-6.0726015698408631E-2</v>
      </c>
    </row>
    <row r="18" spans="1:37" x14ac:dyDescent="0.25">
      <c r="A18" s="71">
        <v>44135</v>
      </c>
      <c r="B18" s="72">
        <v>131.61000000000001</v>
      </c>
      <c r="C18" s="73">
        <v>177.95</v>
      </c>
      <c r="D18" s="147"/>
      <c r="E18" s="75"/>
      <c r="F18" s="73"/>
      <c r="G18" s="345"/>
      <c r="H18" s="346"/>
      <c r="I18" s="347"/>
      <c r="J18" s="431"/>
      <c r="K18" s="347"/>
      <c r="L18" s="1609">
        <v>44084</v>
      </c>
      <c r="M18" s="73">
        <v>8.4</v>
      </c>
      <c r="N18" s="945"/>
      <c r="O18" s="347"/>
      <c r="P18" s="1160"/>
      <c r="Q18" s="347"/>
      <c r="R18" s="945"/>
      <c r="S18" s="1201"/>
      <c r="T18" s="347"/>
      <c r="U18" s="945"/>
      <c r="V18" s="1201"/>
      <c r="W18" s="347"/>
      <c r="X18" s="945"/>
      <c r="Y18" s="1201"/>
      <c r="Z18" s="347"/>
      <c r="AA18" s="945"/>
      <c r="AB18" s="1201"/>
      <c r="AC18" s="347"/>
      <c r="AD18" s="1112">
        <v>0.56999999999999995</v>
      </c>
      <c r="AE18" s="1113">
        <v>10.96</v>
      </c>
      <c r="AF18" s="1110">
        <v>1351</v>
      </c>
      <c r="AG18" s="238">
        <v>64</v>
      </c>
      <c r="AH18" s="838"/>
      <c r="AI18" s="839"/>
      <c r="AJ18" s="51">
        <f t="shared" si="0"/>
        <v>1.3521009041866117</v>
      </c>
      <c r="AK18" s="51">
        <f t="shared" si="1"/>
        <v>-4.3038738282975775E-2</v>
      </c>
    </row>
    <row r="19" spans="1:37" x14ac:dyDescent="0.25">
      <c r="A19" s="71">
        <v>44165</v>
      </c>
      <c r="B19" s="72">
        <v>24.78</v>
      </c>
      <c r="C19" s="73">
        <v>33.39</v>
      </c>
      <c r="D19" s="147"/>
      <c r="E19" s="75"/>
      <c r="F19" s="73"/>
      <c r="G19" s="147"/>
      <c r="H19" s="75"/>
      <c r="I19" s="73"/>
      <c r="J19" s="234"/>
      <c r="K19" s="73"/>
      <c r="L19" s="1609">
        <v>44119</v>
      </c>
      <c r="M19" s="73">
        <v>8.4</v>
      </c>
      <c r="N19" s="894"/>
      <c r="O19" s="73"/>
      <c r="P19" s="71"/>
      <c r="Q19" s="73"/>
      <c r="R19" s="894"/>
      <c r="S19" s="1199"/>
      <c r="T19" s="73"/>
      <c r="U19" s="894"/>
      <c r="V19" s="1199"/>
      <c r="W19" s="73"/>
      <c r="X19" s="894"/>
      <c r="Y19" s="1199"/>
      <c r="Z19" s="73"/>
      <c r="AA19" s="894"/>
      <c r="AB19" s="1199"/>
      <c r="AC19" s="73"/>
      <c r="AD19" s="1112">
        <v>0.52</v>
      </c>
      <c r="AE19" s="1113">
        <v>9.92</v>
      </c>
      <c r="AF19" s="1110">
        <v>123</v>
      </c>
      <c r="AG19" s="238">
        <v>64</v>
      </c>
      <c r="AH19" s="838"/>
      <c r="AI19" s="839"/>
      <c r="AJ19" s="51">
        <f t="shared" si="0"/>
        <v>1.347457627118644</v>
      </c>
      <c r="AK19" s="51">
        <f t="shared" si="1"/>
        <v>-4.7682015350943407E-2</v>
      </c>
    </row>
    <row r="20" spans="1:37" x14ac:dyDescent="0.25">
      <c r="A20" s="71">
        <v>44561</v>
      </c>
      <c r="B20" s="72">
        <v>95.45</v>
      </c>
      <c r="C20" s="73">
        <v>130.44</v>
      </c>
      <c r="D20" s="147"/>
      <c r="E20" s="75"/>
      <c r="F20" s="73"/>
      <c r="G20" s="1162"/>
      <c r="H20" s="75"/>
      <c r="I20" s="73"/>
      <c r="J20" s="234"/>
      <c r="K20" s="73"/>
      <c r="L20" s="1609">
        <v>44145</v>
      </c>
      <c r="M20" s="73">
        <v>8.4</v>
      </c>
      <c r="N20" s="894"/>
      <c r="O20" s="73"/>
      <c r="P20" s="71"/>
      <c r="Q20" s="73"/>
      <c r="R20" s="894"/>
      <c r="S20" s="1199"/>
      <c r="T20" s="73"/>
      <c r="U20" s="894"/>
      <c r="V20" s="1199"/>
      <c r="W20" s="73"/>
      <c r="X20" s="894"/>
      <c r="Y20" s="1199"/>
      <c r="Z20" s="73"/>
      <c r="AA20" s="894"/>
      <c r="AB20" s="1199"/>
      <c r="AC20" s="73"/>
      <c r="AD20" s="1112">
        <v>0.56999999999999995</v>
      </c>
      <c r="AE20" s="1113">
        <v>10.94</v>
      </c>
      <c r="AF20" s="1110">
        <v>781</v>
      </c>
      <c r="AG20" s="238">
        <v>64</v>
      </c>
      <c r="AH20" s="838"/>
      <c r="AI20" s="839"/>
      <c r="AJ20" s="51">
        <f t="shared" si="0"/>
        <v>1.3665793609219485</v>
      </c>
      <c r="AK20" s="51">
        <f t="shared" si="1"/>
        <v>-2.8560281547638899E-2</v>
      </c>
    </row>
    <row r="21" spans="1:37" x14ac:dyDescent="0.25">
      <c r="A21" s="71">
        <v>44227</v>
      </c>
      <c r="B21" s="72">
        <v>10.55</v>
      </c>
      <c r="C21" s="73">
        <v>14.5</v>
      </c>
      <c r="D21" s="528">
        <v>44267</v>
      </c>
      <c r="E21" s="516" t="s">
        <v>1309</v>
      </c>
      <c r="F21" s="380">
        <v>348.11</v>
      </c>
      <c r="G21" s="147"/>
      <c r="H21" s="75"/>
      <c r="I21" s="73"/>
      <c r="J21" s="234"/>
      <c r="K21" s="73"/>
      <c r="L21" s="1609">
        <v>44196</v>
      </c>
      <c r="M21" s="73">
        <v>8.4</v>
      </c>
      <c r="N21" s="894"/>
      <c r="O21" s="73"/>
      <c r="P21" s="71"/>
      <c r="Q21" s="73"/>
      <c r="R21" s="894"/>
      <c r="S21" s="1199"/>
      <c r="T21" s="73"/>
      <c r="U21" s="894">
        <v>44312</v>
      </c>
      <c r="V21" s="1199" t="s">
        <v>1329</v>
      </c>
      <c r="W21" s="73">
        <v>40</v>
      </c>
      <c r="X21" s="894"/>
      <c r="Y21" s="1199"/>
      <c r="Z21" s="73"/>
      <c r="AA21" s="894"/>
      <c r="AB21" s="1199"/>
      <c r="AC21" s="73"/>
      <c r="AD21" s="1112">
        <v>0.56999999999999995</v>
      </c>
      <c r="AE21" s="1113">
        <v>11.11</v>
      </c>
      <c r="AF21" s="1110">
        <v>51</v>
      </c>
      <c r="AG21" s="238">
        <v>63</v>
      </c>
      <c r="AH21" s="838"/>
      <c r="AI21" s="839"/>
      <c r="AJ21" s="51">
        <f t="shared" si="0"/>
        <v>1.3744075829383886</v>
      </c>
      <c r="AK21" s="51">
        <f t="shared" si="1"/>
        <v>-2.0732059531198832E-2</v>
      </c>
    </row>
    <row r="22" spans="1:37" x14ac:dyDescent="0.25">
      <c r="A22" s="71">
        <v>44255</v>
      </c>
      <c r="B22" s="72">
        <v>13.5</v>
      </c>
      <c r="C22" s="73">
        <v>18.850000000000001</v>
      </c>
      <c r="D22" s="147"/>
      <c r="E22" s="75"/>
      <c r="F22" s="73"/>
      <c r="G22" s="147"/>
      <c r="H22" s="75"/>
      <c r="I22" s="73"/>
      <c r="J22" s="234"/>
      <c r="K22" s="73"/>
      <c r="L22" s="1609">
        <v>44225</v>
      </c>
      <c r="M22" s="73">
        <v>8.4</v>
      </c>
      <c r="N22" s="894"/>
      <c r="O22" s="73"/>
      <c r="P22" s="71"/>
      <c r="Q22" s="73"/>
      <c r="R22" s="894"/>
      <c r="S22" s="1199"/>
      <c r="T22" s="73"/>
      <c r="U22" s="894"/>
      <c r="V22" s="1199"/>
      <c r="W22" s="73"/>
      <c r="X22" s="894"/>
      <c r="Y22" s="1199"/>
      <c r="Z22" s="73"/>
      <c r="AA22" s="894"/>
      <c r="AB22" s="1199"/>
      <c r="AC22" s="73"/>
      <c r="AD22" s="1112">
        <v>0.56999999999999995</v>
      </c>
      <c r="AE22" s="1113">
        <v>11.22</v>
      </c>
      <c r="AF22" s="1110">
        <v>86</v>
      </c>
      <c r="AG22" s="238">
        <v>65</v>
      </c>
      <c r="AH22" s="838"/>
      <c r="AI22" s="839"/>
      <c r="AJ22" s="51">
        <f t="shared" si="0"/>
        <v>1.3962962962962964</v>
      </c>
      <c r="AK22" s="51">
        <f t="shared" si="1"/>
        <v>1.156653826708931E-3</v>
      </c>
    </row>
    <row r="23" spans="1:37" x14ac:dyDescent="0.25">
      <c r="A23" s="71">
        <v>44286</v>
      </c>
      <c r="B23" s="72">
        <v>39.25</v>
      </c>
      <c r="C23" s="73">
        <v>56.38</v>
      </c>
      <c r="D23" s="147"/>
      <c r="E23" s="75"/>
      <c r="F23" s="73"/>
      <c r="G23" s="345"/>
      <c r="H23" s="346"/>
      <c r="I23" s="347"/>
      <c r="J23" s="431"/>
      <c r="K23" s="347"/>
      <c r="L23" s="1609">
        <v>44231</v>
      </c>
      <c r="M23" s="73">
        <v>8.4</v>
      </c>
      <c r="N23" s="945"/>
      <c r="O23" s="347"/>
      <c r="P23" s="1160"/>
      <c r="Q23" s="347"/>
      <c r="R23" s="945"/>
      <c r="S23" s="1201"/>
      <c r="T23" s="347"/>
      <c r="U23" s="945"/>
      <c r="V23" s="1201"/>
      <c r="W23" s="347"/>
      <c r="X23" s="945"/>
      <c r="Y23" s="1201"/>
      <c r="Z23" s="347"/>
      <c r="AA23" s="945"/>
      <c r="AB23" s="1201"/>
      <c r="AC23" s="347"/>
      <c r="AD23" s="1112">
        <v>0.56999999999999995</v>
      </c>
      <c r="AE23" s="1113">
        <v>11.78</v>
      </c>
      <c r="AF23" s="1110">
        <v>212</v>
      </c>
      <c r="AG23" s="238">
        <v>64</v>
      </c>
      <c r="AH23" s="838"/>
      <c r="AI23" s="839"/>
      <c r="AJ23" s="51">
        <f t="shared" si="0"/>
        <v>1.4364331210191084</v>
      </c>
      <c r="AK23" s="51">
        <f t="shared" si="1"/>
        <v>4.1293478549520923E-2</v>
      </c>
    </row>
    <row r="24" spans="1:37" x14ac:dyDescent="0.25">
      <c r="A24" s="71">
        <v>44316</v>
      </c>
      <c r="B24" s="72">
        <v>8</v>
      </c>
      <c r="C24" s="73">
        <v>11.49</v>
      </c>
      <c r="D24" s="147"/>
      <c r="E24" s="75"/>
      <c r="F24" s="73"/>
      <c r="G24" s="1162"/>
      <c r="H24" s="75"/>
      <c r="I24" s="73"/>
      <c r="J24" s="234"/>
      <c r="K24" s="73"/>
      <c r="L24" s="1609">
        <v>44264</v>
      </c>
      <c r="M24" s="73">
        <v>8.4</v>
      </c>
      <c r="N24" s="894"/>
      <c r="O24" s="73"/>
      <c r="P24" s="71"/>
      <c r="Q24" s="73"/>
      <c r="R24" s="894"/>
      <c r="S24" s="1199"/>
      <c r="T24" s="73"/>
      <c r="U24" s="894"/>
      <c r="V24" s="1199"/>
      <c r="W24" s="73"/>
      <c r="X24" s="894"/>
      <c r="Y24" s="1199"/>
      <c r="Z24" s="73"/>
      <c r="AA24" s="894"/>
      <c r="AB24" s="1199"/>
      <c r="AC24" s="73"/>
      <c r="AD24" s="1112">
        <v>0.56999999999999995</v>
      </c>
      <c r="AE24" s="1113">
        <v>11.91</v>
      </c>
      <c r="AF24" s="1110">
        <v>41</v>
      </c>
      <c r="AG24" s="238">
        <v>56</v>
      </c>
      <c r="AH24" s="838"/>
      <c r="AI24" s="839"/>
      <c r="AJ24" s="51">
        <f t="shared" si="0"/>
        <v>1.43625</v>
      </c>
      <c r="AK24" s="51">
        <f t="shared" si="1"/>
        <v>4.1110357530412589E-2</v>
      </c>
    </row>
    <row r="25" spans="1:37" x14ac:dyDescent="0.25">
      <c r="A25" s="71">
        <v>44347</v>
      </c>
      <c r="B25" s="1786">
        <v>-56</v>
      </c>
      <c r="C25" s="1787">
        <v>-67.03</v>
      </c>
      <c r="D25" s="147"/>
      <c r="E25" s="75"/>
      <c r="F25" s="73"/>
      <c r="G25" s="1162"/>
      <c r="H25" s="75"/>
      <c r="I25" s="73"/>
      <c r="J25" s="234"/>
      <c r="K25" s="73"/>
      <c r="L25" s="1609">
        <v>44295</v>
      </c>
      <c r="M25" s="73">
        <v>8.4</v>
      </c>
      <c r="N25" s="894"/>
      <c r="O25" s="73"/>
      <c r="P25" s="71"/>
      <c r="Q25" s="73"/>
      <c r="R25" s="894"/>
      <c r="S25" s="1199"/>
      <c r="T25" s="73"/>
      <c r="U25" s="894"/>
      <c r="V25" s="1199"/>
      <c r="W25" s="73"/>
      <c r="X25" s="894"/>
      <c r="Y25" s="1199"/>
      <c r="Z25" s="73"/>
      <c r="AA25" s="894"/>
      <c r="AB25" s="1199"/>
      <c r="AC25" s="73"/>
      <c r="AD25" s="1112">
        <v>0.56999999999999995</v>
      </c>
      <c r="AE25" s="1113">
        <v>11.19</v>
      </c>
      <c r="AF25" s="1110">
        <v>0</v>
      </c>
      <c r="AG25" s="238">
        <v>0</v>
      </c>
      <c r="AH25" s="838"/>
      <c r="AI25" s="839"/>
      <c r="AJ25" s="51">
        <f t="shared" si="0"/>
        <v>1.1969642857142857</v>
      </c>
      <c r="AK25" s="51">
        <f t="shared" si="1"/>
        <v>-0.19817535675530173</v>
      </c>
    </row>
    <row r="26" spans="1:37" x14ac:dyDescent="0.25">
      <c r="A26" s="71"/>
      <c r="B26" s="72"/>
      <c r="C26" s="73"/>
      <c r="D26" s="147"/>
      <c r="E26" s="75"/>
      <c r="F26" s="73"/>
      <c r="G26" s="147"/>
      <c r="H26" s="75"/>
      <c r="I26" s="73"/>
      <c r="J26" s="234"/>
      <c r="K26" s="73"/>
      <c r="L26" s="1609">
        <v>44320</v>
      </c>
      <c r="M26" s="73">
        <v>8.4</v>
      </c>
      <c r="N26" s="894"/>
      <c r="O26" s="73"/>
      <c r="P26" s="71"/>
      <c r="Q26" s="73"/>
      <c r="R26" s="894"/>
      <c r="S26" s="1199"/>
      <c r="T26" s="73"/>
      <c r="U26" s="894"/>
      <c r="V26" s="1199"/>
      <c r="W26" s="73"/>
      <c r="X26" s="894"/>
      <c r="Y26" s="1199"/>
      <c r="Z26" s="73"/>
      <c r="AA26" s="894"/>
      <c r="AB26" s="1199"/>
      <c r="AC26" s="73"/>
      <c r="AD26" s="1112">
        <f t="shared" ref="AD26:AD46" ca="1" si="2">$F$5</f>
        <v>0.56982271202683266</v>
      </c>
      <c r="AE26" s="1113">
        <f>SUM($B$9:B26)/($F$4-$B$4)*100</f>
        <v>11.186072512378214</v>
      </c>
      <c r="AF26" s="1110"/>
      <c r="AG26" s="238"/>
      <c r="AH26" s="838"/>
      <c r="AI26" s="839"/>
      <c r="AJ26" s="51" t="e">
        <f t="shared" si="0"/>
        <v>#DIV/0!</v>
      </c>
      <c r="AK26" s="51" t="e">
        <f t="shared" si="1"/>
        <v>#DIV/0!</v>
      </c>
    </row>
    <row r="27" spans="1:37" x14ac:dyDescent="0.25">
      <c r="A27" s="71"/>
      <c r="B27" s="72"/>
      <c r="C27" s="73"/>
      <c r="D27" s="147"/>
      <c r="E27" s="75"/>
      <c r="F27" s="73"/>
      <c r="G27" s="147"/>
      <c r="H27" s="75"/>
      <c r="I27" s="73"/>
      <c r="J27" s="234"/>
      <c r="K27" s="73"/>
      <c r="L27" s="1785">
        <v>44351</v>
      </c>
      <c r="M27" s="73">
        <v>8.4</v>
      </c>
      <c r="N27" s="894"/>
      <c r="O27" s="73"/>
      <c r="P27" s="71"/>
      <c r="Q27" s="73"/>
      <c r="R27" s="894"/>
      <c r="S27" s="1199"/>
      <c r="T27" s="73"/>
      <c r="U27" s="894"/>
      <c r="V27" s="1199"/>
      <c r="W27" s="73"/>
      <c r="X27" s="894"/>
      <c r="Y27" s="1199"/>
      <c r="Z27" s="73"/>
      <c r="AA27" s="894"/>
      <c r="AB27" s="1199"/>
      <c r="AC27" s="73"/>
      <c r="AD27" s="1112">
        <f t="shared" ca="1" si="2"/>
        <v>0.56982271202683266</v>
      </c>
      <c r="AE27" s="1113">
        <f>SUM($B$9:B27)/($F$4-$B$4)*100</f>
        <v>11.186072512378214</v>
      </c>
      <c r="AF27" s="1110"/>
      <c r="AG27" s="238"/>
      <c r="AH27" s="838"/>
      <c r="AI27" s="839"/>
      <c r="AJ27" s="51" t="e">
        <f t="shared" si="0"/>
        <v>#DIV/0!</v>
      </c>
      <c r="AK27" s="51" t="e">
        <f t="shared" si="1"/>
        <v>#DIV/0!</v>
      </c>
    </row>
    <row r="28" spans="1:37" x14ac:dyDescent="0.25">
      <c r="A28" s="71"/>
      <c r="B28" s="72"/>
      <c r="C28" s="73"/>
      <c r="D28" s="147"/>
      <c r="E28" s="75"/>
      <c r="F28" s="73"/>
      <c r="G28" s="147"/>
      <c r="H28" s="75"/>
      <c r="I28" s="73"/>
      <c r="J28" s="234"/>
      <c r="K28" s="73"/>
      <c r="L28" s="71"/>
      <c r="M28" s="73"/>
      <c r="N28" s="894"/>
      <c r="O28" s="73"/>
      <c r="P28" s="71"/>
      <c r="Q28" s="73"/>
      <c r="R28" s="894"/>
      <c r="S28" s="1199"/>
      <c r="T28" s="73"/>
      <c r="U28" s="894"/>
      <c r="V28" s="1199"/>
      <c r="W28" s="73"/>
      <c r="X28" s="894"/>
      <c r="Y28" s="1199"/>
      <c r="Z28" s="73"/>
      <c r="AA28" s="894"/>
      <c r="AB28" s="1199"/>
      <c r="AC28" s="73"/>
      <c r="AD28" s="1112">
        <f t="shared" ca="1" si="2"/>
        <v>0.56982271202683266</v>
      </c>
      <c r="AE28" s="1113">
        <f>SUM($B$9:B28)/($F$4-$B$4)*100</f>
        <v>11.186072512378214</v>
      </c>
      <c r="AF28" s="1110"/>
      <c r="AG28" s="238"/>
      <c r="AH28" s="838"/>
      <c r="AI28" s="839"/>
      <c r="AJ28" s="51" t="e">
        <f t="shared" si="0"/>
        <v>#DIV/0!</v>
      </c>
      <c r="AK28" s="51" t="e">
        <f t="shared" si="1"/>
        <v>#DIV/0!</v>
      </c>
    </row>
    <row r="29" spans="1:37" x14ac:dyDescent="0.25">
      <c r="A29" s="71"/>
      <c r="B29" s="72"/>
      <c r="C29" s="73"/>
      <c r="D29" s="147"/>
      <c r="E29" s="75"/>
      <c r="F29" s="73"/>
      <c r="G29" s="147"/>
      <c r="H29" s="75"/>
      <c r="I29" s="73"/>
      <c r="J29" s="234"/>
      <c r="K29" s="73"/>
      <c r="L29" s="71"/>
      <c r="M29" s="73"/>
      <c r="N29" s="894"/>
      <c r="O29" s="73"/>
      <c r="P29" s="71"/>
      <c r="Q29" s="73"/>
      <c r="R29" s="894"/>
      <c r="S29" s="1199"/>
      <c r="T29" s="73"/>
      <c r="U29" s="894"/>
      <c r="V29" s="1199"/>
      <c r="W29" s="73"/>
      <c r="X29" s="894"/>
      <c r="Y29" s="1199"/>
      <c r="Z29" s="73"/>
      <c r="AA29" s="894"/>
      <c r="AB29" s="1199"/>
      <c r="AC29" s="73"/>
      <c r="AD29" s="1112">
        <f t="shared" ca="1" si="2"/>
        <v>0.56982271202683266</v>
      </c>
      <c r="AE29" s="1113">
        <f>SUM($B$9:B29)/($F$4-$B$4)*100</f>
        <v>11.186072512378214</v>
      </c>
      <c r="AF29" s="1110"/>
      <c r="AG29" s="238"/>
      <c r="AH29" s="838"/>
      <c r="AI29" s="839"/>
      <c r="AJ29" s="51" t="e">
        <f t="shared" si="0"/>
        <v>#DIV/0!</v>
      </c>
      <c r="AK29" s="51" t="e">
        <f t="shared" si="1"/>
        <v>#DIV/0!</v>
      </c>
    </row>
    <row r="30" spans="1:37" x14ac:dyDescent="0.25">
      <c r="A30" s="71"/>
      <c r="B30" s="72"/>
      <c r="C30" s="73"/>
      <c r="D30" s="147"/>
      <c r="E30" s="75"/>
      <c r="F30" s="73"/>
      <c r="G30" s="147"/>
      <c r="H30" s="75"/>
      <c r="I30" s="73"/>
      <c r="J30" s="234"/>
      <c r="K30" s="73"/>
      <c r="L30" s="71"/>
      <c r="M30" s="73"/>
      <c r="N30" s="894"/>
      <c r="O30" s="73"/>
      <c r="P30" s="71"/>
      <c r="Q30" s="73"/>
      <c r="R30" s="894"/>
      <c r="S30" s="1199"/>
      <c r="T30" s="73"/>
      <c r="U30" s="894"/>
      <c r="V30" s="1199"/>
      <c r="W30" s="73"/>
      <c r="X30" s="894"/>
      <c r="Y30" s="1199"/>
      <c r="Z30" s="73"/>
      <c r="AA30" s="894"/>
      <c r="AB30" s="1199"/>
      <c r="AC30" s="73"/>
      <c r="AD30" s="1112">
        <f t="shared" ca="1" si="2"/>
        <v>0.56982271202683266</v>
      </c>
      <c r="AE30" s="1113">
        <f>SUM($B$9:B30)/($F$4-$B$4)*100</f>
        <v>11.186072512378214</v>
      </c>
      <c r="AF30" s="1110"/>
      <c r="AG30" s="238"/>
      <c r="AH30" s="838"/>
      <c r="AI30" s="839"/>
      <c r="AJ30" s="51" t="e">
        <f t="shared" si="0"/>
        <v>#DIV/0!</v>
      </c>
      <c r="AK30" s="51" t="e">
        <f t="shared" si="1"/>
        <v>#DIV/0!</v>
      </c>
    </row>
    <row r="31" spans="1:37" x14ac:dyDescent="0.25">
      <c r="A31" s="71"/>
      <c r="B31" s="72"/>
      <c r="C31" s="73"/>
      <c r="D31" s="147"/>
      <c r="E31" s="75"/>
      <c r="F31" s="73"/>
      <c r="G31" s="147"/>
      <c r="H31" s="75"/>
      <c r="I31" s="73"/>
      <c r="J31" s="234"/>
      <c r="K31" s="73"/>
      <c r="L31" s="71"/>
      <c r="M31" s="73"/>
      <c r="N31" s="894"/>
      <c r="O31" s="73"/>
      <c r="P31" s="71"/>
      <c r="Q31" s="73"/>
      <c r="R31" s="894"/>
      <c r="S31" s="1199"/>
      <c r="T31" s="73"/>
      <c r="U31" s="894"/>
      <c r="V31" s="1199"/>
      <c r="W31" s="73"/>
      <c r="X31" s="894"/>
      <c r="Y31" s="1199"/>
      <c r="Z31" s="73"/>
      <c r="AA31" s="894"/>
      <c r="AB31" s="1199"/>
      <c r="AC31" s="73"/>
      <c r="AD31" s="1112">
        <f t="shared" ca="1" si="2"/>
        <v>0.56982271202683266</v>
      </c>
      <c r="AE31" s="1113">
        <f>SUM($B$9:B31)/($F$4-$B$4)*100</f>
        <v>11.186072512378214</v>
      </c>
      <c r="AF31" s="1110"/>
      <c r="AG31" s="238"/>
      <c r="AH31" s="838"/>
      <c r="AI31" s="839"/>
      <c r="AJ31" s="51" t="e">
        <f t="shared" si="0"/>
        <v>#DIV/0!</v>
      </c>
      <c r="AK31" s="51" t="e">
        <f t="shared" si="1"/>
        <v>#DIV/0!</v>
      </c>
    </row>
    <row r="32" spans="1:37" x14ac:dyDescent="0.25">
      <c r="A32" s="71"/>
      <c r="B32" s="72"/>
      <c r="C32" s="73"/>
      <c r="D32" s="147"/>
      <c r="E32" s="75"/>
      <c r="F32" s="73"/>
      <c r="G32" s="147"/>
      <c r="H32" s="75"/>
      <c r="I32" s="73"/>
      <c r="J32" s="234"/>
      <c r="K32" s="73"/>
      <c r="L32" s="71"/>
      <c r="M32" s="73"/>
      <c r="N32" s="894"/>
      <c r="O32" s="73"/>
      <c r="P32" s="71"/>
      <c r="Q32" s="73"/>
      <c r="R32" s="894"/>
      <c r="S32" s="1199"/>
      <c r="T32" s="73"/>
      <c r="U32" s="894"/>
      <c r="V32" s="1199"/>
      <c r="W32" s="73"/>
      <c r="X32" s="894"/>
      <c r="Y32" s="1199"/>
      <c r="Z32" s="73"/>
      <c r="AA32" s="894"/>
      <c r="AB32" s="1199"/>
      <c r="AC32" s="73"/>
      <c r="AD32" s="1112">
        <f t="shared" ca="1" si="2"/>
        <v>0.56982271202683266</v>
      </c>
      <c r="AE32" s="1113">
        <f>SUM($B$9:B32)/($F$4-$B$4)*100</f>
        <v>11.186072512378214</v>
      </c>
      <c r="AF32" s="1110"/>
      <c r="AG32" s="238"/>
      <c r="AH32" s="838"/>
      <c r="AI32" s="839"/>
      <c r="AJ32" s="51" t="e">
        <f t="shared" ref="AJ32:AJ46" si="3">C32/B32</f>
        <v>#DIV/0!</v>
      </c>
      <c r="AK32" s="51" t="e">
        <f t="shared" ref="AK32:AK46" si="4">AJ32-$AJ$8</f>
        <v>#DIV/0!</v>
      </c>
    </row>
    <row r="33" spans="1:37" x14ac:dyDescent="0.25">
      <c r="A33" s="71"/>
      <c r="B33" s="72"/>
      <c r="C33" s="73"/>
      <c r="D33" s="147"/>
      <c r="E33" s="75"/>
      <c r="F33" s="73"/>
      <c r="G33" s="147"/>
      <c r="H33" s="75"/>
      <c r="I33" s="73"/>
      <c r="J33" s="234"/>
      <c r="K33" s="73"/>
      <c r="L33" s="71"/>
      <c r="M33" s="73"/>
      <c r="N33" s="894"/>
      <c r="O33" s="73"/>
      <c r="P33" s="71"/>
      <c r="Q33" s="73"/>
      <c r="R33" s="894"/>
      <c r="S33" s="1199"/>
      <c r="T33" s="73"/>
      <c r="U33" s="894"/>
      <c r="V33" s="1199"/>
      <c r="W33" s="73"/>
      <c r="X33" s="894"/>
      <c r="Y33" s="1199"/>
      <c r="Z33" s="73"/>
      <c r="AA33" s="894"/>
      <c r="AB33" s="1199"/>
      <c r="AC33" s="73"/>
      <c r="AD33" s="1112">
        <f t="shared" ca="1" si="2"/>
        <v>0.56982271202683266</v>
      </c>
      <c r="AE33" s="1113">
        <f>SUM($B$9:B33)/($F$4-$B$4)*100</f>
        <v>11.186072512378214</v>
      </c>
      <c r="AF33" s="1110"/>
      <c r="AG33" s="238"/>
      <c r="AH33" s="838"/>
      <c r="AI33" s="839"/>
      <c r="AJ33" s="51" t="e">
        <f t="shared" si="3"/>
        <v>#DIV/0!</v>
      </c>
      <c r="AK33" s="51" t="e">
        <f t="shared" si="4"/>
        <v>#DIV/0!</v>
      </c>
    </row>
    <row r="34" spans="1:37" x14ac:dyDescent="0.25">
      <c r="A34" s="71"/>
      <c r="B34" s="72"/>
      <c r="C34" s="73"/>
      <c r="D34" s="147"/>
      <c r="E34" s="75"/>
      <c r="F34" s="73"/>
      <c r="G34" s="147"/>
      <c r="H34" s="75"/>
      <c r="I34" s="73"/>
      <c r="J34" s="234"/>
      <c r="K34" s="73"/>
      <c r="L34" s="71"/>
      <c r="M34" s="73"/>
      <c r="N34" s="894"/>
      <c r="O34" s="73"/>
      <c r="P34" s="71"/>
      <c r="Q34" s="73"/>
      <c r="R34" s="894"/>
      <c r="S34" s="1199"/>
      <c r="T34" s="73"/>
      <c r="U34" s="894"/>
      <c r="V34" s="1199"/>
      <c r="W34" s="73"/>
      <c r="X34" s="894"/>
      <c r="Y34" s="1199"/>
      <c r="Z34" s="73"/>
      <c r="AA34" s="894"/>
      <c r="AB34" s="1199"/>
      <c r="AC34" s="73"/>
      <c r="AD34" s="1112">
        <f t="shared" ca="1" si="2"/>
        <v>0.56982271202683266</v>
      </c>
      <c r="AE34" s="1113">
        <f>SUM($B$9:B34)/($F$4-$B$4)*100</f>
        <v>11.186072512378214</v>
      </c>
      <c r="AF34" s="1110"/>
      <c r="AG34" s="238"/>
      <c r="AH34" s="838"/>
      <c r="AI34" s="839"/>
      <c r="AJ34" s="51" t="e">
        <f t="shared" si="3"/>
        <v>#DIV/0!</v>
      </c>
      <c r="AK34" s="51" t="e">
        <f t="shared" si="4"/>
        <v>#DIV/0!</v>
      </c>
    </row>
    <row r="35" spans="1:37" x14ac:dyDescent="0.25">
      <c r="A35" s="71"/>
      <c r="B35" s="72"/>
      <c r="C35" s="73"/>
      <c r="D35" s="147"/>
      <c r="E35" s="75"/>
      <c r="F35" s="73"/>
      <c r="G35" s="147"/>
      <c r="H35" s="75"/>
      <c r="I35" s="73"/>
      <c r="J35" s="234"/>
      <c r="K35" s="73"/>
      <c r="L35" s="71"/>
      <c r="M35" s="73"/>
      <c r="N35" s="894"/>
      <c r="O35" s="73"/>
      <c r="P35" s="71"/>
      <c r="Q35" s="73"/>
      <c r="R35" s="894"/>
      <c r="S35" s="1199"/>
      <c r="T35" s="73"/>
      <c r="U35" s="894"/>
      <c r="V35" s="1199"/>
      <c r="W35" s="73"/>
      <c r="X35" s="894"/>
      <c r="Y35" s="1199"/>
      <c r="Z35" s="73"/>
      <c r="AA35" s="894"/>
      <c r="AB35" s="1199"/>
      <c r="AC35" s="73"/>
      <c r="AD35" s="1112">
        <f t="shared" ca="1" si="2"/>
        <v>0.56982271202683266</v>
      </c>
      <c r="AE35" s="1113">
        <f>SUM($B$9:B35)/($F$4-$B$4)*100</f>
        <v>11.186072512378214</v>
      </c>
      <c r="AF35" s="1110"/>
      <c r="AG35" s="238"/>
      <c r="AH35" s="838"/>
      <c r="AI35" s="839"/>
      <c r="AJ35" s="51" t="e">
        <f t="shared" si="3"/>
        <v>#DIV/0!</v>
      </c>
      <c r="AK35" s="51" t="e">
        <f t="shared" si="4"/>
        <v>#DIV/0!</v>
      </c>
    </row>
    <row r="36" spans="1:37" x14ac:dyDescent="0.25">
      <c r="A36" s="71"/>
      <c r="B36" s="72"/>
      <c r="C36" s="73"/>
      <c r="D36" s="147"/>
      <c r="E36" s="75"/>
      <c r="F36" s="73"/>
      <c r="G36" s="147"/>
      <c r="H36" s="75"/>
      <c r="I36" s="73"/>
      <c r="J36" s="234"/>
      <c r="K36" s="73"/>
      <c r="L36" s="71"/>
      <c r="M36" s="73"/>
      <c r="N36" s="894"/>
      <c r="O36" s="73"/>
      <c r="P36" s="71"/>
      <c r="Q36" s="73"/>
      <c r="R36" s="894"/>
      <c r="S36" s="1199"/>
      <c r="T36" s="73"/>
      <c r="U36" s="894"/>
      <c r="V36" s="1199"/>
      <c r="W36" s="73"/>
      <c r="X36" s="894"/>
      <c r="Y36" s="1199"/>
      <c r="Z36" s="73"/>
      <c r="AA36" s="894"/>
      <c r="AB36" s="1199"/>
      <c r="AC36" s="73"/>
      <c r="AD36" s="1112">
        <f t="shared" ca="1" si="2"/>
        <v>0.56982271202683266</v>
      </c>
      <c r="AE36" s="1113">
        <f>SUM($B$9:B36)/($F$4-$B$4)*100</f>
        <v>11.186072512378214</v>
      </c>
      <c r="AF36" s="1110"/>
      <c r="AG36" s="238"/>
      <c r="AH36" s="838"/>
      <c r="AI36" s="839"/>
      <c r="AJ36" s="51" t="e">
        <f t="shared" si="3"/>
        <v>#DIV/0!</v>
      </c>
      <c r="AK36" s="51" t="e">
        <f t="shared" si="4"/>
        <v>#DIV/0!</v>
      </c>
    </row>
    <row r="37" spans="1:37" x14ac:dyDescent="0.25">
      <c r="A37" s="71"/>
      <c r="B37" s="72"/>
      <c r="C37" s="73"/>
      <c r="D37" s="147"/>
      <c r="E37" s="75"/>
      <c r="F37" s="73"/>
      <c r="G37" s="147"/>
      <c r="H37" s="75"/>
      <c r="I37" s="73"/>
      <c r="J37" s="234"/>
      <c r="K37" s="73"/>
      <c r="L37" s="71"/>
      <c r="M37" s="73"/>
      <c r="N37" s="894"/>
      <c r="O37" s="73"/>
      <c r="P37" s="71"/>
      <c r="Q37" s="73"/>
      <c r="R37" s="894"/>
      <c r="S37" s="1199"/>
      <c r="T37" s="73"/>
      <c r="U37" s="894"/>
      <c r="V37" s="1199"/>
      <c r="W37" s="73"/>
      <c r="X37" s="894"/>
      <c r="Y37" s="1199"/>
      <c r="Z37" s="73"/>
      <c r="AA37" s="894"/>
      <c r="AB37" s="1199"/>
      <c r="AC37" s="73"/>
      <c r="AD37" s="1112">
        <f t="shared" ca="1" si="2"/>
        <v>0.56982271202683266</v>
      </c>
      <c r="AE37" s="1113">
        <f>SUM($B$9:B37)/($F$4-$B$4)*100</f>
        <v>11.186072512378214</v>
      </c>
      <c r="AF37" s="1110"/>
      <c r="AG37" s="238"/>
      <c r="AH37" s="838"/>
      <c r="AI37" s="839"/>
      <c r="AJ37" s="51" t="e">
        <f t="shared" si="3"/>
        <v>#DIV/0!</v>
      </c>
      <c r="AK37" s="51" t="e">
        <f t="shared" si="4"/>
        <v>#DIV/0!</v>
      </c>
    </row>
    <row r="38" spans="1:37" x14ac:dyDescent="0.25">
      <c r="A38" s="71"/>
      <c r="B38" s="72"/>
      <c r="C38" s="73"/>
      <c r="D38" s="147"/>
      <c r="E38" s="75"/>
      <c r="F38" s="73"/>
      <c r="G38" s="147"/>
      <c r="H38" s="75"/>
      <c r="I38" s="73"/>
      <c r="J38" s="234"/>
      <c r="K38" s="73"/>
      <c r="L38" s="71"/>
      <c r="M38" s="73"/>
      <c r="N38" s="894"/>
      <c r="O38" s="73"/>
      <c r="P38" s="71"/>
      <c r="Q38" s="73"/>
      <c r="R38" s="894"/>
      <c r="S38" s="1199"/>
      <c r="T38" s="73"/>
      <c r="U38" s="894"/>
      <c r="V38" s="1199"/>
      <c r="W38" s="73"/>
      <c r="X38" s="894"/>
      <c r="Y38" s="1199"/>
      <c r="Z38" s="73"/>
      <c r="AA38" s="894"/>
      <c r="AB38" s="1199"/>
      <c r="AC38" s="73"/>
      <c r="AD38" s="1112">
        <f t="shared" ca="1" si="2"/>
        <v>0.56982271202683266</v>
      </c>
      <c r="AE38" s="1113">
        <f>SUM($B$9:B38)/($F$4-$B$4)*100</f>
        <v>11.186072512378214</v>
      </c>
      <c r="AF38" s="1110"/>
      <c r="AG38" s="238"/>
      <c r="AH38" s="838"/>
      <c r="AI38" s="839"/>
      <c r="AJ38" s="51" t="e">
        <f t="shared" si="3"/>
        <v>#DIV/0!</v>
      </c>
      <c r="AK38" s="51" t="e">
        <f t="shared" si="4"/>
        <v>#DIV/0!</v>
      </c>
    </row>
    <row r="39" spans="1:37" x14ac:dyDescent="0.25">
      <c r="A39" s="71"/>
      <c r="B39" s="72"/>
      <c r="C39" s="73"/>
      <c r="D39" s="147"/>
      <c r="E39" s="75"/>
      <c r="F39" s="73"/>
      <c r="G39" s="147"/>
      <c r="H39" s="75"/>
      <c r="I39" s="73"/>
      <c r="J39" s="234"/>
      <c r="K39" s="73"/>
      <c r="L39" s="71"/>
      <c r="M39" s="73"/>
      <c r="N39" s="894"/>
      <c r="O39" s="73"/>
      <c r="P39" s="71"/>
      <c r="Q39" s="73"/>
      <c r="R39" s="894"/>
      <c r="S39" s="1199"/>
      <c r="T39" s="73"/>
      <c r="U39" s="894"/>
      <c r="V39" s="1199"/>
      <c r="W39" s="73"/>
      <c r="X39" s="894"/>
      <c r="Y39" s="1199"/>
      <c r="Z39" s="73"/>
      <c r="AA39" s="894"/>
      <c r="AB39" s="1199"/>
      <c r="AC39" s="73"/>
      <c r="AD39" s="1112">
        <f t="shared" ca="1" si="2"/>
        <v>0.56982271202683266</v>
      </c>
      <c r="AE39" s="1113">
        <f>SUM($B$9:B39)/($F$4-$B$4)*100</f>
        <v>11.186072512378214</v>
      </c>
      <c r="AF39" s="1110"/>
      <c r="AG39" s="238"/>
      <c r="AH39" s="838"/>
      <c r="AI39" s="839"/>
      <c r="AJ39" s="51" t="e">
        <f t="shared" si="3"/>
        <v>#DIV/0!</v>
      </c>
      <c r="AK39" s="51" t="e">
        <f t="shared" si="4"/>
        <v>#DIV/0!</v>
      </c>
    </row>
    <row r="40" spans="1:37" x14ac:dyDescent="0.25">
      <c r="A40" s="71"/>
      <c r="B40" s="72"/>
      <c r="C40" s="73"/>
      <c r="D40" s="147"/>
      <c r="E40" s="75"/>
      <c r="F40" s="73"/>
      <c r="G40" s="147"/>
      <c r="H40" s="75"/>
      <c r="I40" s="73"/>
      <c r="J40" s="234"/>
      <c r="K40" s="73"/>
      <c r="L40" s="71"/>
      <c r="M40" s="73"/>
      <c r="N40" s="894"/>
      <c r="O40" s="73"/>
      <c r="P40" s="71"/>
      <c r="Q40" s="73"/>
      <c r="R40" s="894"/>
      <c r="S40" s="1199"/>
      <c r="T40" s="73"/>
      <c r="U40" s="894"/>
      <c r="V40" s="1199"/>
      <c r="W40" s="73"/>
      <c r="X40" s="894"/>
      <c r="Y40" s="1199"/>
      <c r="Z40" s="73"/>
      <c r="AA40" s="894"/>
      <c r="AB40" s="1199"/>
      <c r="AC40" s="73"/>
      <c r="AD40" s="1112">
        <f t="shared" ca="1" si="2"/>
        <v>0.56982271202683266</v>
      </c>
      <c r="AE40" s="1113">
        <f>SUM($B$9:B40)/($F$4-$B$4)*100</f>
        <v>11.186072512378214</v>
      </c>
      <c r="AF40" s="1110"/>
      <c r="AG40" s="238"/>
      <c r="AH40" s="838"/>
      <c r="AI40" s="839"/>
      <c r="AJ40" s="51" t="e">
        <f t="shared" si="3"/>
        <v>#DIV/0!</v>
      </c>
      <c r="AK40" s="51" t="e">
        <f t="shared" si="4"/>
        <v>#DIV/0!</v>
      </c>
    </row>
    <row r="41" spans="1:37" x14ac:dyDescent="0.25">
      <c r="A41" s="71"/>
      <c r="B41" s="72"/>
      <c r="C41" s="73"/>
      <c r="D41" s="147"/>
      <c r="E41" s="75"/>
      <c r="F41" s="73"/>
      <c r="G41" s="147"/>
      <c r="H41" s="75"/>
      <c r="I41" s="73"/>
      <c r="J41" s="234"/>
      <c r="K41" s="73"/>
      <c r="L41" s="71"/>
      <c r="M41" s="73"/>
      <c r="N41" s="894"/>
      <c r="O41" s="73"/>
      <c r="P41" s="71"/>
      <c r="Q41" s="73"/>
      <c r="R41" s="894"/>
      <c r="S41" s="1199"/>
      <c r="T41" s="73"/>
      <c r="U41" s="894"/>
      <c r="V41" s="1199"/>
      <c r="W41" s="73"/>
      <c r="X41" s="894"/>
      <c r="Y41" s="1199"/>
      <c r="Z41" s="73"/>
      <c r="AA41" s="894"/>
      <c r="AB41" s="1199"/>
      <c r="AC41" s="73"/>
      <c r="AD41" s="1112">
        <f t="shared" ca="1" si="2"/>
        <v>0.56982271202683266</v>
      </c>
      <c r="AE41" s="1113">
        <f>SUM($B$9:B41)/($F$4-$B$4)*100</f>
        <v>11.186072512378214</v>
      </c>
      <c r="AF41" s="1110"/>
      <c r="AG41" s="238"/>
      <c r="AH41" s="838"/>
      <c r="AI41" s="839"/>
      <c r="AJ41" s="51" t="e">
        <f t="shared" si="3"/>
        <v>#DIV/0!</v>
      </c>
      <c r="AK41" s="51" t="e">
        <f t="shared" si="4"/>
        <v>#DIV/0!</v>
      </c>
    </row>
    <row r="42" spans="1:37" x14ac:dyDescent="0.25">
      <c r="A42" s="71"/>
      <c r="B42" s="72"/>
      <c r="C42" s="73"/>
      <c r="D42" s="147"/>
      <c r="E42" s="75"/>
      <c r="F42" s="73"/>
      <c r="G42" s="147"/>
      <c r="H42" s="75"/>
      <c r="I42" s="73"/>
      <c r="J42" s="234"/>
      <c r="K42" s="73"/>
      <c r="L42" s="71"/>
      <c r="M42" s="73"/>
      <c r="N42" s="894"/>
      <c r="O42" s="73"/>
      <c r="P42" s="71"/>
      <c r="Q42" s="73"/>
      <c r="R42" s="894"/>
      <c r="S42" s="1199"/>
      <c r="T42" s="73"/>
      <c r="U42" s="894"/>
      <c r="V42" s="1199"/>
      <c r="W42" s="73"/>
      <c r="X42" s="894"/>
      <c r="Y42" s="1199"/>
      <c r="Z42" s="73"/>
      <c r="AA42" s="894"/>
      <c r="AB42" s="1199"/>
      <c r="AC42" s="73"/>
      <c r="AD42" s="1112">
        <f t="shared" ca="1" si="2"/>
        <v>0.56982271202683266</v>
      </c>
      <c r="AE42" s="1113">
        <f>SUM($B$9:B42)/($F$4-$B$4)*100</f>
        <v>11.186072512378214</v>
      </c>
      <c r="AF42" s="1110"/>
      <c r="AG42" s="238"/>
      <c r="AH42" s="838"/>
      <c r="AI42" s="839"/>
      <c r="AJ42" s="51" t="e">
        <f t="shared" si="3"/>
        <v>#DIV/0!</v>
      </c>
      <c r="AK42" s="51" t="e">
        <f t="shared" si="4"/>
        <v>#DIV/0!</v>
      </c>
    </row>
    <row r="43" spans="1:37" x14ac:dyDescent="0.25">
      <c r="A43" s="71"/>
      <c r="B43" s="72"/>
      <c r="C43" s="73"/>
      <c r="D43" s="147"/>
      <c r="E43" s="75"/>
      <c r="F43" s="73"/>
      <c r="G43" s="147"/>
      <c r="H43" s="75"/>
      <c r="I43" s="73"/>
      <c r="J43" s="234"/>
      <c r="K43" s="73"/>
      <c r="L43" s="71"/>
      <c r="M43" s="73"/>
      <c r="N43" s="894"/>
      <c r="O43" s="73"/>
      <c r="P43" s="71"/>
      <c r="Q43" s="73"/>
      <c r="R43" s="894"/>
      <c r="S43" s="1199"/>
      <c r="T43" s="73"/>
      <c r="U43" s="894"/>
      <c r="V43" s="1199"/>
      <c r="W43" s="73"/>
      <c r="X43" s="894"/>
      <c r="Y43" s="1199"/>
      <c r="Z43" s="73"/>
      <c r="AA43" s="894"/>
      <c r="AB43" s="1199"/>
      <c r="AC43" s="73"/>
      <c r="AD43" s="1112">
        <f t="shared" ca="1" si="2"/>
        <v>0.56982271202683266</v>
      </c>
      <c r="AE43" s="1113">
        <f>SUM($B$9:B43)/($F$4-$B$4)*100</f>
        <v>11.186072512378214</v>
      </c>
      <c r="AF43" s="1110"/>
      <c r="AG43" s="238"/>
      <c r="AH43" s="838"/>
      <c r="AI43" s="839"/>
      <c r="AJ43" s="51" t="e">
        <f t="shared" si="3"/>
        <v>#DIV/0!</v>
      </c>
      <c r="AK43" s="51" t="e">
        <f t="shared" si="4"/>
        <v>#DIV/0!</v>
      </c>
    </row>
    <row r="44" spans="1:37" x14ac:dyDescent="0.25">
      <c r="A44" s="71"/>
      <c r="B44" s="72"/>
      <c r="C44" s="73"/>
      <c r="D44" s="147"/>
      <c r="E44" s="75"/>
      <c r="F44" s="73"/>
      <c r="G44" s="147"/>
      <c r="H44" s="75"/>
      <c r="I44" s="73"/>
      <c r="J44" s="234"/>
      <c r="K44" s="73"/>
      <c r="L44" s="71"/>
      <c r="M44" s="73"/>
      <c r="N44" s="894"/>
      <c r="O44" s="73"/>
      <c r="P44" s="71"/>
      <c r="Q44" s="73"/>
      <c r="R44" s="894"/>
      <c r="S44" s="1199"/>
      <c r="T44" s="73"/>
      <c r="U44" s="894"/>
      <c r="V44" s="1199"/>
      <c r="W44" s="73"/>
      <c r="X44" s="894"/>
      <c r="Y44" s="1199"/>
      <c r="Z44" s="73"/>
      <c r="AA44" s="894"/>
      <c r="AB44" s="1199"/>
      <c r="AC44" s="73"/>
      <c r="AD44" s="1112">
        <f t="shared" ca="1" si="2"/>
        <v>0.56982271202683266</v>
      </c>
      <c r="AE44" s="1113">
        <f>SUM($B$9:B44)/($F$4-$B$4)*100</f>
        <v>11.186072512378214</v>
      </c>
      <c r="AF44" s="1110"/>
      <c r="AG44" s="238"/>
      <c r="AH44" s="838"/>
      <c r="AI44" s="839"/>
      <c r="AJ44" s="51" t="e">
        <f t="shared" si="3"/>
        <v>#DIV/0!</v>
      </c>
      <c r="AK44" s="51" t="e">
        <f t="shared" si="4"/>
        <v>#DIV/0!</v>
      </c>
    </row>
    <row r="45" spans="1:37" x14ac:dyDescent="0.25">
      <c r="A45" s="71"/>
      <c r="B45" s="72"/>
      <c r="C45" s="73"/>
      <c r="D45" s="147"/>
      <c r="E45" s="75"/>
      <c r="F45" s="73"/>
      <c r="G45" s="147"/>
      <c r="H45" s="75"/>
      <c r="I45" s="73"/>
      <c r="J45" s="234"/>
      <c r="K45" s="73"/>
      <c r="L45" s="71"/>
      <c r="M45" s="73"/>
      <c r="N45" s="894"/>
      <c r="O45" s="73"/>
      <c r="P45" s="71"/>
      <c r="Q45" s="73"/>
      <c r="R45" s="894"/>
      <c r="S45" s="1199"/>
      <c r="T45" s="73"/>
      <c r="U45" s="894"/>
      <c r="V45" s="1199"/>
      <c r="W45" s="73"/>
      <c r="X45" s="894"/>
      <c r="Y45" s="1199"/>
      <c r="Z45" s="73"/>
      <c r="AA45" s="894"/>
      <c r="AB45" s="1199"/>
      <c r="AC45" s="73"/>
      <c r="AD45" s="1112">
        <f t="shared" ca="1" si="2"/>
        <v>0.56982271202683266</v>
      </c>
      <c r="AE45" s="1113">
        <f>SUM($B$9:B45)/($F$4-$B$4)*100</f>
        <v>11.186072512378214</v>
      </c>
      <c r="AF45" s="1110"/>
      <c r="AG45" s="238"/>
      <c r="AH45" s="838"/>
      <c r="AI45" s="839"/>
      <c r="AJ45" s="51" t="e">
        <f t="shared" si="3"/>
        <v>#DIV/0!</v>
      </c>
      <c r="AK45" s="51" t="e">
        <f t="shared" si="4"/>
        <v>#DIV/0!</v>
      </c>
    </row>
    <row r="46" spans="1:37" x14ac:dyDescent="0.25">
      <c r="A46" s="71"/>
      <c r="B46" s="72"/>
      <c r="C46" s="73"/>
      <c r="D46" s="147"/>
      <c r="E46" s="75"/>
      <c r="F46" s="73"/>
      <c r="G46" s="147"/>
      <c r="H46" s="75"/>
      <c r="I46" s="73"/>
      <c r="J46" s="234"/>
      <c r="K46" s="73"/>
      <c r="L46" s="71"/>
      <c r="M46" s="73"/>
      <c r="N46" s="894"/>
      <c r="O46" s="73"/>
      <c r="P46" s="71"/>
      <c r="Q46" s="73"/>
      <c r="R46" s="894"/>
      <c r="S46" s="1199"/>
      <c r="T46" s="73"/>
      <c r="U46" s="894"/>
      <c r="V46" s="1199"/>
      <c r="W46" s="73"/>
      <c r="X46" s="894"/>
      <c r="Y46" s="1199"/>
      <c r="Z46" s="73"/>
      <c r="AA46" s="894"/>
      <c r="AB46" s="1199"/>
      <c r="AC46" s="73"/>
      <c r="AD46" s="1112">
        <f t="shared" ca="1" si="2"/>
        <v>0.56982271202683266</v>
      </c>
      <c r="AE46" s="1113">
        <f>SUM($B$9:B46)/($F$4-$B$4)*100</f>
        <v>11.186072512378214</v>
      </c>
      <c r="AF46" s="1110"/>
      <c r="AG46" s="238"/>
      <c r="AH46" s="838"/>
      <c r="AI46" s="839"/>
      <c r="AJ46" s="51" t="e">
        <f t="shared" si="3"/>
        <v>#DIV/0!</v>
      </c>
      <c r="AK46" s="51" t="e">
        <f t="shared" si="4"/>
        <v>#DIV/0!</v>
      </c>
    </row>
    <row r="47" spans="1:37" ht="16.5" thickBot="1" x14ac:dyDescent="0.3">
      <c r="A47" s="77" t="s">
        <v>15</v>
      </c>
      <c r="B47" s="78"/>
      <c r="C47" s="79"/>
      <c r="D47" s="148"/>
      <c r="E47" s="80"/>
      <c r="F47" s="79"/>
      <c r="G47" s="148"/>
      <c r="H47" s="80"/>
      <c r="I47" s="79"/>
      <c r="J47" s="235"/>
      <c r="K47" s="79"/>
      <c r="L47" s="77"/>
      <c r="M47" s="79"/>
      <c r="N47" s="1154"/>
      <c r="O47" s="79"/>
      <c r="P47" s="77"/>
      <c r="Q47" s="79"/>
      <c r="R47" s="1154"/>
      <c r="S47" s="1202"/>
      <c r="T47" s="79"/>
      <c r="U47" s="1154"/>
      <c r="V47" s="1202"/>
      <c r="W47" s="79"/>
      <c r="X47" s="1154"/>
      <c r="Y47" s="1202"/>
      <c r="Z47" s="79"/>
      <c r="AA47" s="896"/>
      <c r="AB47" s="1202"/>
      <c r="AC47" s="79"/>
      <c r="AD47" s="1115"/>
      <c r="AE47" s="1116"/>
      <c r="AF47" s="1114"/>
      <c r="AG47" s="239"/>
      <c r="AH47" s="840"/>
      <c r="AI47" s="841"/>
      <c r="AJ47" s="51"/>
    </row>
    <row r="48" spans="1:37" s="319" customFormat="1" ht="16.5" thickTop="1" x14ac:dyDescent="0.25">
      <c r="A48" s="551"/>
      <c r="B48" s="273"/>
      <c r="C48" s="552"/>
      <c r="D48" s="553"/>
      <c r="E48" s="270"/>
      <c r="F48" s="552"/>
      <c r="G48" s="553"/>
      <c r="H48" s="270"/>
      <c r="I48" s="552"/>
      <c r="J48" s="551"/>
      <c r="K48" s="552"/>
      <c r="L48" s="551"/>
      <c r="M48" s="552"/>
      <c r="N48" s="551"/>
      <c r="O48" s="552"/>
      <c r="P48" s="551"/>
      <c r="Q48" s="552"/>
      <c r="R48" s="553"/>
      <c r="S48" s="270"/>
      <c r="T48" s="552"/>
      <c r="U48" s="552"/>
      <c r="V48" s="552"/>
      <c r="W48" s="552"/>
      <c r="X48" s="553"/>
      <c r="Y48" s="270"/>
      <c r="Z48" s="552"/>
      <c r="AA48" s="1212"/>
      <c r="AB48" s="270"/>
      <c r="AC48" s="552"/>
      <c r="AD48" s="1108">
        <f ca="1">AVERAGE(AD9:AD47)</f>
        <v>0.72253360401482947</v>
      </c>
      <c r="AE48" s="1109">
        <f>AVERAGE(AE9:AE47)</f>
        <v>11.660197967366898</v>
      </c>
      <c r="AF48" s="593">
        <f ca="1">SUMIFS($AF$9:$AF$47,$A$9:$A$47,"&gt;="&amp;$C49,$A$9:$A$47,"&lt;="&amp;$D49)</f>
        <v>6261</v>
      </c>
      <c r="AG48" s="273"/>
      <c r="AH48" s="273"/>
      <c r="AI48" s="273"/>
      <c r="AJ48" s="1213"/>
    </row>
    <row r="49" spans="1:35" s="49" customFormat="1" ht="21" x14ac:dyDescent="0.25">
      <c r="A49" s="1187" t="s">
        <v>895</v>
      </c>
      <c r="B49" s="1187"/>
      <c r="C49" s="1209">
        <f>Prehľad!AV1</f>
        <v>43831</v>
      </c>
      <c r="D49" s="1209">
        <f ca="1">Prehľad!AX1</f>
        <v>44607</v>
      </c>
      <c r="E49" s="1469" t="s">
        <v>1127</v>
      </c>
      <c r="F49" s="1207">
        <f ca="1">I3+C50+F50+I50+K50+M50+O50+Q50+T50+W50+Z50+AC50</f>
        <v>0.5116227439706118</v>
      </c>
      <c r="G49" s="1208">
        <f ca="1">J4+C51+F51+I51+K51+M51+O51+Q51+T51+W51+Z51+AC51</f>
        <v>0.99999999999999978</v>
      </c>
      <c r="H49" s="1210" t="s">
        <v>962</v>
      </c>
      <c r="I49" s="1207">
        <f ca="1">F49-F5</f>
        <v>-5.8199968056220852E-2</v>
      </c>
      <c r="J49" s="1304">
        <f ca="1">(F49/F5)-1</f>
        <v>-0.10213697493595209</v>
      </c>
      <c r="K49" s="2253">
        <f ca="1">((D49-C49)/(365.25/12)*F3)+C52+F52+I52+K52+M52+O52+Q52+AC56</f>
        <v>3203.2699999999995</v>
      </c>
      <c r="L49" s="2253"/>
      <c r="M49" s="1472" t="s">
        <v>1135</v>
      </c>
      <c r="N49" s="1470"/>
      <c r="O49" s="1471"/>
      <c r="P49" s="1189">
        <f ca="1">K49/AF48</f>
        <v>0.51162274397061169</v>
      </c>
      <c r="Q49" s="1189"/>
      <c r="R49" s="1188"/>
      <c r="S49" s="1188"/>
      <c r="T49" s="1189"/>
      <c r="U49" s="1189"/>
      <c r="V49" s="1189"/>
      <c r="W49" s="1189"/>
      <c r="X49" s="1188"/>
      <c r="Y49" s="1188"/>
      <c r="Z49" s="1189"/>
      <c r="AA49" s="1188"/>
      <c r="AB49" s="1188"/>
      <c r="AC49" s="1189"/>
      <c r="AD49" s="1120" t="s">
        <v>712</v>
      </c>
      <c r="AE49" s="1121">
        <f>MAX(AE9:AE47)</f>
        <v>21.39</v>
      </c>
      <c r="AF49" s="826">
        <f>AVERAGE(AF9:AF47)</f>
        <v>368.29411764705884</v>
      </c>
      <c r="AG49" s="150"/>
      <c r="AH49" s="150"/>
      <c r="AI49" s="150"/>
    </row>
    <row r="50" spans="1:35" s="561" customFormat="1" x14ac:dyDescent="0.25">
      <c r="A50" s="1178" t="s">
        <v>877</v>
      </c>
      <c r="B50" s="1179"/>
      <c r="C50" s="1180">
        <f ca="1">C52/$AF$48</f>
        <v>0.1560613320555822</v>
      </c>
      <c r="D50" s="2252" t="s">
        <v>879</v>
      </c>
      <c r="E50" s="2246"/>
      <c r="F50" s="1180">
        <f ca="1">F52/$AF$48</f>
        <v>0.29172176968535374</v>
      </c>
      <c r="G50" s="2252" t="s">
        <v>881</v>
      </c>
      <c r="H50" s="2246"/>
      <c r="I50" s="1180">
        <f ca="1">I52/$AF$48</f>
        <v>2.459670979076825E-3</v>
      </c>
      <c r="J50" s="1181" t="s">
        <v>898</v>
      </c>
      <c r="K50" s="1180">
        <f ca="1">K52/$AF$48</f>
        <v>5.9926529308417182E-3</v>
      </c>
      <c r="L50" s="1181" t="s">
        <v>883</v>
      </c>
      <c r="M50" s="1180">
        <f ca="1">M52/$AF$48</f>
        <v>2.4149496885481559E-2</v>
      </c>
      <c r="N50" s="1181" t="s">
        <v>908</v>
      </c>
      <c r="O50" s="1180">
        <f ca="1">O52/$AF$48</f>
        <v>7.9859447372624178E-3</v>
      </c>
      <c r="P50" s="1181" t="s">
        <v>906</v>
      </c>
      <c r="Q50" s="1180">
        <f ca="1">Q52/$AF$48</f>
        <v>0</v>
      </c>
      <c r="R50" s="2252" t="s">
        <v>886</v>
      </c>
      <c r="S50" s="2246"/>
      <c r="T50" s="1180">
        <f ca="1">T52/$AF$48</f>
        <v>1.0474365117393388E-2</v>
      </c>
      <c r="U50" s="2252" t="s">
        <v>912</v>
      </c>
      <c r="V50" s="2246"/>
      <c r="W50" s="1180">
        <f ca="1">W52/$AF$48</f>
        <v>1.277751157961987E-2</v>
      </c>
      <c r="X50" s="2252" t="s">
        <v>889</v>
      </c>
      <c r="Y50" s="2246"/>
      <c r="Z50" s="1180">
        <f ca="1">Z52/$AF$48</f>
        <v>0</v>
      </c>
      <c r="AA50" s="2252" t="s">
        <v>891</v>
      </c>
      <c r="AB50" s="2246"/>
      <c r="AC50" s="1180">
        <f ca="1">AC52/$AF$48</f>
        <v>0</v>
      </c>
      <c r="AD50" s="944"/>
      <c r="AE50" s="49"/>
      <c r="AF50" s="1190"/>
      <c r="AG50" s="150"/>
      <c r="AH50" s="150"/>
      <c r="AI50" s="150"/>
    </row>
    <row r="51" spans="1:35" s="561" customFormat="1" x14ac:dyDescent="0.25">
      <c r="A51" s="1192" t="s">
        <v>896</v>
      </c>
      <c r="B51" s="1193">
        <f ca="1">B52/AF48*100</f>
        <v>11.186072512378214</v>
      </c>
      <c r="C51" s="1183">
        <f ca="1">C50/$F$49</f>
        <v>0.30503204537862871</v>
      </c>
      <c r="D51" s="1184"/>
      <c r="E51" s="1185"/>
      <c r="F51" s="1183">
        <f ca="1">F50/$F$49</f>
        <v>0.57018921289806956</v>
      </c>
      <c r="G51" s="1184"/>
      <c r="H51" s="1185"/>
      <c r="I51" s="1183">
        <f ca="1">I50/$F$49</f>
        <v>4.807587246782194E-3</v>
      </c>
      <c r="J51" s="1243">
        <f ca="1">COUNTIFS(J9:J47,"&gt;="&amp;$C$49,J9:J47,"&lt;=" &amp;$D$49)</f>
        <v>6</v>
      </c>
      <c r="K51" s="1183">
        <f ca="1">K50/$F$49</f>
        <v>1.1713030746705707E-2</v>
      </c>
      <c r="L51" s="1184"/>
      <c r="M51" s="1183">
        <f ca="1">M50/$F$49</f>
        <v>4.7201765695679736E-2</v>
      </c>
      <c r="N51" s="1184"/>
      <c r="O51" s="1183">
        <f ca="1">O50/$F$49</f>
        <v>1.560904950253959E-2</v>
      </c>
      <c r="P51" s="1184"/>
      <c r="Q51" s="1183">
        <f ca="1">Q50/$F$49</f>
        <v>0</v>
      </c>
      <c r="R51" s="1184"/>
      <c r="S51" s="1185"/>
      <c r="T51" s="1183">
        <f ca="1">T50/$F$49</f>
        <v>2.0472829327530927E-2</v>
      </c>
      <c r="U51" s="1184"/>
      <c r="V51" s="1185"/>
      <c r="W51" s="1183">
        <f ca="1">W50/$F$49</f>
        <v>2.4974479204063343E-2</v>
      </c>
      <c r="X51" s="1184"/>
      <c r="Y51" s="1185"/>
      <c r="Z51" s="1183">
        <f ca="1">Z50/$F$49</f>
        <v>0</v>
      </c>
      <c r="AA51" s="1184"/>
      <c r="AB51" s="1185"/>
      <c r="AC51" s="1183">
        <f ca="1">AC50/$F$49</f>
        <v>0</v>
      </c>
      <c r="AD51" s="1151"/>
      <c r="AE51" s="1"/>
      <c r="AF51" s="5"/>
    </row>
    <row r="52" spans="1:35" x14ac:dyDescent="0.25">
      <c r="A52" s="1191" t="s">
        <v>878</v>
      </c>
      <c r="B52" s="1196">
        <f ca="1">SUMIFS($B$9:$B$47,$A$9:$A$47,"&gt;="&amp;$C49,$A$9:$A$47,"&lt;="&amp;$D49)</f>
        <v>700.3599999999999</v>
      </c>
      <c r="C52" s="1197">
        <f ca="1">SUMIFS($C$9:$C$47,$A$9:$A$47,"&gt;="&amp;$C49,$A$9:$A$47,"&lt;="&amp;$D49)</f>
        <v>977.10000000000014</v>
      </c>
      <c r="D52" s="2251" t="s">
        <v>880</v>
      </c>
      <c r="E52" s="2250"/>
      <c r="F52" s="1197">
        <f ca="1">SUMIFS($F$9:$F$47,$D$9:$D$47,"&gt;="&amp;$C49,$D$9:$D$47,"&lt;="&amp;$D49)</f>
        <v>1826.4699999999998</v>
      </c>
      <c r="G52" s="2251" t="s">
        <v>882</v>
      </c>
      <c r="H52" s="2250"/>
      <c r="I52" s="1197">
        <f ca="1">SUMIFS($I$9:$I$47,$G$9:$G$47,"&gt;="&amp;$C49,$G$9:$G$47,"&lt;="&amp;$D49)</f>
        <v>15.4</v>
      </c>
      <c r="J52" s="1157" t="s">
        <v>899</v>
      </c>
      <c r="K52" s="1158">
        <f ca="1">SUMIFS(K9:K47,J9:J47,"&gt;="&amp;$C49,J9:J47,"&lt;="&amp;$D49)</f>
        <v>37.519999999999996</v>
      </c>
      <c r="L52" s="1157" t="s">
        <v>884</v>
      </c>
      <c r="M52" s="1158">
        <f ca="1">SUMIFS(M9:M47,L9:L47,"&gt;="&amp;$C49,L9:L47,"&lt;="&amp;$D49)</f>
        <v>151.20000000000005</v>
      </c>
      <c r="N52" s="1157" t="s">
        <v>909</v>
      </c>
      <c r="O52" s="1158">
        <f ca="1">SUMIFS(O9:O47,N9:N47,"&gt;="&amp;$C49,N9:N47,"&lt;="&amp;$D49)</f>
        <v>50</v>
      </c>
      <c r="P52" s="1157" t="s">
        <v>907</v>
      </c>
      <c r="Q52" s="1158">
        <f ca="1">SUMIFS(Q9:Q47,P9:P47,"&gt;="&amp;$C49,P9:P47,"&lt;="&amp;$D49)</f>
        <v>0</v>
      </c>
      <c r="R52" s="2251" t="s">
        <v>887</v>
      </c>
      <c r="S52" s="2250"/>
      <c r="T52" s="1158">
        <f ca="1">SUMIFS(T9:T47,R9:R47,"&gt;="&amp;$C49,R9:R47,"&lt;="&amp;$D49)</f>
        <v>65.58</v>
      </c>
      <c r="U52" s="2251" t="s">
        <v>913</v>
      </c>
      <c r="V52" s="2250"/>
      <c r="W52" s="1158">
        <f ca="1">SUMIFS(W9:W47,U9:U47,"&gt;="&amp;$C49,U9:U47,"&lt;="&amp;$D49)</f>
        <v>80</v>
      </c>
      <c r="X52" s="2251" t="s">
        <v>890</v>
      </c>
      <c r="Y52" s="2250"/>
      <c r="Z52" s="1158">
        <f ca="1">SUMIFS(Z9:Z47,X9:X47,"&gt;="&amp;$C49,X9:X47,"&lt;="&amp;$D49)</f>
        <v>0</v>
      </c>
      <c r="AA52" s="2251" t="s">
        <v>892</v>
      </c>
      <c r="AB52" s="2250"/>
      <c r="AC52" s="1158">
        <f ca="1">SUMIFS(AC9:AC47,AA9:AA47,"&gt;="&amp;$C49,AA9:AA47,"&lt;="&amp;$D49)</f>
        <v>0</v>
      </c>
      <c r="AD52" s="1151"/>
      <c r="AG52" s="1"/>
      <c r="AH52" s="1"/>
      <c r="AI52" s="1"/>
    </row>
    <row r="53" spans="1:35" x14ac:dyDescent="0.25">
      <c r="A53" s="1194" t="s">
        <v>897</v>
      </c>
      <c r="B53" s="1195"/>
      <c r="C53" s="1203">
        <f ca="1">C50-C6</f>
        <v>0</v>
      </c>
      <c r="D53" s="1205" t="s">
        <v>897</v>
      </c>
      <c r="E53" s="1195"/>
      <c r="F53" s="1206">
        <f ca="1">F50-F6</f>
        <v>0</v>
      </c>
      <c r="G53" s="1204" t="s">
        <v>897</v>
      </c>
      <c r="H53" s="1195"/>
      <c r="I53" s="1203">
        <f ca="1">I50-I6</f>
        <v>-4.2485226002236059E-2</v>
      </c>
      <c r="J53" s="1205" t="s">
        <v>897</v>
      </c>
      <c r="K53" s="1206">
        <f ca="1">K50-K6</f>
        <v>0</v>
      </c>
      <c r="L53" s="1204" t="s">
        <v>897</v>
      </c>
      <c r="M53" s="1203">
        <f ca="1">M50-M6</f>
        <v>-1.1691423095352187E-2</v>
      </c>
      <c r="N53" s="1204" t="s">
        <v>897</v>
      </c>
      <c r="O53" s="1203">
        <f ca="1">O50-O6</f>
        <v>0</v>
      </c>
      <c r="P53" s="1204" t="s">
        <v>897</v>
      </c>
      <c r="Q53" s="1203">
        <f ca="1">Q50-Q6</f>
        <v>0</v>
      </c>
      <c r="R53" s="1205" t="s">
        <v>897</v>
      </c>
      <c r="S53" s="1195"/>
      <c r="T53" s="1206">
        <f ca="1">T50-T6</f>
        <v>-4.0233189586328048E-3</v>
      </c>
      <c r="U53" s="1205" t="s">
        <v>897</v>
      </c>
      <c r="V53" s="1195"/>
      <c r="W53" s="1206">
        <f ca="1">W50-W6</f>
        <v>0</v>
      </c>
      <c r="X53" s="1205" t="s">
        <v>897</v>
      </c>
      <c r="Y53" s="1195"/>
      <c r="Z53" s="1206">
        <f ca="1">Z50-Z6</f>
        <v>0</v>
      </c>
      <c r="AA53" s="1205" t="s">
        <v>897</v>
      </c>
      <c r="AB53" s="1195"/>
      <c r="AC53" s="1206">
        <f ca="1">AC50-AC6</f>
        <v>0</v>
      </c>
      <c r="AD53" s="1"/>
      <c r="AE53" s="5"/>
      <c r="AF53" s="61"/>
      <c r="AG53" s="1"/>
      <c r="AH53" s="1"/>
      <c r="AI53" s="1"/>
    </row>
    <row r="54" spans="1:35" x14ac:dyDescent="0.25">
      <c r="A54" s="53"/>
      <c r="D54" s="56"/>
      <c r="E54" s="6"/>
      <c r="F54" s="55"/>
      <c r="I54" s="52"/>
      <c r="K54" s="229"/>
      <c r="M54" s="229"/>
      <c r="O54" s="229"/>
      <c r="Q54" s="229"/>
      <c r="R54" s="2245" t="s">
        <v>893</v>
      </c>
      <c r="S54" s="2246"/>
      <c r="T54" s="2246"/>
      <c r="U54" s="2246"/>
      <c r="V54" s="2246"/>
      <c r="W54" s="2246"/>
      <c r="X54" s="2246"/>
      <c r="Y54" s="2246"/>
      <c r="Z54" s="2246"/>
      <c r="AA54" s="2246"/>
      <c r="AB54" s="2246"/>
      <c r="AC54" s="1180">
        <f ca="1">AC56/$AF$48</f>
        <v>2.3251876697013254E-2</v>
      </c>
      <c r="AD54" s="1151"/>
      <c r="AG54" s="1"/>
      <c r="AH54" s="1"/>
      <c r="AI54" s="1"/>
    </row>
    <row r="55" spans="1:35" x14ac:dyDescent="0.25">
      <c r="A55" s="53"/>
      <c r="D55" s="56"/>
      <c r="E55" s="6"/>
      <c r="F55" s="55"/>
      <c r="I55" s="52"/>
      <c r="K55" s="229"/>
      <c r="M55" s="229"/>
      <c r="O55" s="229"/>
      <c r="Q55" s="229"/>
      <c r="R55" s="2247"/>
      <c r="S55" s="2248"/>
      <c r="T55" s="2248"/>
      <c r="U55" s="2248"/>
      <c r="V55" s="2248"/>
      <c r="W55" s="2248"/>
      <c r="X55" s="2248"/>
      <c r="Y55" s="2248"/>
      <c r="Z55" s="2248"/>
      <c r="AA55" s="2248"/>
      <c r="AB55" s="2248"/>
      <c r="AC55" s="1183">
        <f ca="1">AC54/$F$49</f>
        <v>4.5447308531594267E-2</v>
      </c>
      <c r="AD55" s="1151"/>
      <c r="AG55" s="1"/>
      <c r="AH55" s="1"/>
      <c r="AI55" s="1"/>
    </row>
    <row r="56" spans="1:35" s="828" customFormat="1" x14ac:dyDescent="0.25">
      <c r="A56" s="53"/>
      <c r="B56" s="61"/>
      <c r="C56" s="55"/>
      <c r="D56" s="56"/>
      <c r="E56" s="6"/>
      <c r="F56" s="55"/>
      <c r="G56" s="1"/>
      <c r="H56" s="1"/>
      <c r="I56" s="52"/>
      <c r="J56" s="478"/>
      <c r="K56" s="618"/>
      <c r="L56" s="827"/>
      <c r="M56" s="618"/>
      <c r="N56" s="827"/>
      <c r="O56" s="618"/>
      <c r="P56" s="827"/>
      <c r="Q56" s="618"/>
      <c r="R56" s="2249" t="s">
        <v>894</v>
      </c>
      <c r="S56" s="2250"/>
      <c r="T56" s="2250"/>
      <c r="U56" s="2250"/>
      <c r="V56" s="2250"/>
      <c r="W56" s="2250"/>
      <c r="X56" s="2250"/>
      <c r="Y56" s="2250"/>
      <c r="Z56" s="2250"/>
      <c r="AA56" s="2250"/>
      <c r="AB56" s="2250"/>
      <c r="AC56" s="1158">
        <f ca="1">T52+W52+Z52+AC52</f>
        <v>145.57999999999998</v>
      </c>
      <c r="AD56" s="618"/>
      <c r="AF56" s="829"/>
    </row>
    <row r="57" spans="1:35" s="800" customFormat="1" x14ac:dyDescent="0.25">
      <c r="A57" s="799">
        <v>43859</v>
      </c>
      <c r="B57" s="750" t="s">
        <v>385</v>
      </c>
      <c r="C57" s="750"/>
      <c r="D57" s="750" t="s">
        <v>979</v>
      </c>
      <c r="E57" s="776">
        <v>615355</v>
      </c>
      <c r="F57" s="764">
        <v>152.4</v>
      </c>
      <c r="G57" s="750" t="s">
        <v>810</v>
      </c>
      <c r="I57" s="750"/>
      <c r="J57" s="799"/>
      <c r="K57" s="764"/>
      <c r="L57" s="799"/>
      <c r="M57" s="764"/>
      <c r="N57" s="799"/>
      <c r="O57" s="764"/>
      <c r="P57" s="799"/>
      <c r="Q57" s="764"/>
      <c r="R57" s="799"/>
      <c r="S57" s="799"/>
      <c r="T57" s="764"/>
      <c r="U57" s="764"/>
      <c r="V57" s="764"/>
      <c r="W57" s="764"/>
      <c r="X57" s="799"/>
      <c r="Y57" s="799"/>
      <c r="Z57" s="764"/>
      <c r="AA57" s="799"/>
      <c r="AB57" s="799"/>
      <c r="AC57" s="764"/>
      <c r="AD57" s="764"/>
      <c r="AF57" s="801"/>
      <c r="AG57" s="802"/>
      <c r="AH57" s="802"/>
      <c r="AI57" s="802"/>
    </row>
    <row r="58" spans="1:35" s="800" customFormat="1" x14ac:dyDescent="0.25">
      <c r="A58" s="799">
        <v>43822</v>
      </c>
      <c r="B58" s="750" t="s">
        <v>836</v>
      </c>
      <c r="C58" s="750"/>
      <c r="D58" s="750" t="s">
        <v>837</v>
      </c>
      <c r="E58" s="776">
        <v>615199</v>
      </c>
      <c r="F58" s="764">
        <v>73.2</v>
      </c>
      <c r="G58" s="750" t="s">
        <v>838</v>
      </c>
      <c r="K58" s="750" t="s">
        <v>980</v>
      </c>
      <c r="L58" s="799"/>
      <c r="M58" s="764"/>
      <c r="N58" s="799"/>
      <c r="O58" s="764"/>
      <c r="P58" s="799"/>
      <c r="Q58" s="764"/>
      <c r="R58" s="799"/>
      <c r="S58" s="799"/>
      <c r="T58" s="764"/>
      <c r="U58" s="764"/>
      <c r="V58" s="764"/>
      <c r="W58" s="764"/>
      <c r="X58" s="799"/>
      <c r="Y58" s="799"/>
      <c r="Z58" s="764"/>
      <c r="AA58" s="799"/>
      <c r="AB58" s="799"/>
      <c r="AC58" s="764"/>
      <c r="AD58" s="764"/>
      <c r="AF58" s="801"/>
      <c r="AG58" s="802"/>
    </row>
    <row r="59" spans="1:35" s="800" customFormat="1" x14ac:dyDescent="0.25">
      <c r="A59" s="799">
        <v>43899</v>
      </c>
      <c r="B59" s="750" t="s">
        <v>376</v>
      </c>
      <c r="C59" s="750"/>
      <c r="D59" s="750" t="s">
        <v>1003</v>
      </c>
      <c r="E59" s="776">
        <v>616506</v>
      </c>
      <c r="F59" s="764">
        <v>561.25</v>
      </c>
      <c r="G59" s="750" t="s">
        <v>378</v>
      </c>
      <c r="K59" s="750" t="s">
        <v>1004</v>
      </c>
      <c r="L59" s="799"/>
      <c r="M59" s="764"/>
      <c r="N59" s="799"/>
      <c r="O59" s="764"/>
      <c r="P59" s="799"/>
      <c r="Q59" s="764"/>
      <c r="R59" s="799"/>
      <c r="S59" s="799"/>
      <c r="T59" s="764"/>
      <c r="U59" s="764"/>
      <c r="V59" s="764"/>
      <c r="W59" s="764"/>
      <c r="X59" s="799"/>
      <c r="Y59" s="799"/>
      <c r="Z59" s="764"/>
      <c r="AA59" s="799"/>
      <c r="AB59" s="799"/>
      <c r="AC59" s="764"/>
      <c r="AD59" s="764"/>
      <c r="AF59" s="801"/>
      <c r="AG59" s="802"/>
    </row>
    <row r="60" spans="1:35" s="800" customFormat="1" x14ac:dyDescent="0.25">
      <c r="A60" s="799">
        <v>43861</v>
      </c>
      <c r="B60" s="750" t="s">
        <v>385</v>
      </c>
      <c r="C60" s="750"/>
      <c r="D60" s="750" t="s">
        <v>982</v>
      </c>
      <c r="E60" s="776">
        <v>615355</v>
      </c>
      <c r="F60" s="764">
        <v>41.95</v>
      </c>
      <c r="G60" s="750" t="s">
        <v>983</v>
      </c>
      <c r="K60" s="750" t="s">
        <v>1045</v>
      </c>
      <c r="L60" s="799"/>
      <c r="M60" s="764"/>
      <c r="N60" s="799"/>
      <c r="O60" s="764"/>
      <c r="P60" s="799"/>
      <c r="Q60" s="764"/>
      <c r="R60" s="799"/>
      <c r="S60" s="799"/>
      <c r="T60" s="764"/>
      <c r="U60" s="764"/>
      <c r="V60" s="764"/>
      <c r="W60" s="764"/>
      <c r="X60" s="799"/>
      <c r="Y60" s="799"/>
      <c r="Z60" s="764"/>
      <c r="AA60" s="799"/>
      <c r="AB60" s="799"/>
      <c r="AC60" s="764"/>
      <c r="AD60" s="764"/>
      <c r="AF60" s="801"/>
      <c r="AG60" s="802"/>
    </row>
    <row r="61" spans="1:35" s="800" customFormat="1" x14ac:dyDescent="0.25">
      <c r="A61" s="799">
        <v>43949</v>
      </c>
      <c r="B61" s="750" t="s">
        <v>376</v>
      </c>
      <c r="C61" s="750"/>
      <c r="D61" s="750" t="s">
        <v>1097</v>
      </c>
      <c r="E61" s="776">
        <v>617050</v>
      </c>
      <c r="F61" s="764">
        <v>217.19</v>
      </c>
      <c r="G61" s="750" t="s">
        <v>1040</v>
      </c>
      <c r="K61" s="750" t="s">
        <v>1096</v>
      </c>
      <c r="L61" s="799"/>
      <c r="M61" s="764"/>
      <c r="N61" s="799"/>
      <c r="O61" s="764"/>
      <c r="P61" s="799"/>
      <c r="Q61" s="764"/>
      <c r="R61" s="799"/>
      <c r="S61" s="799"/>
      <c r="T61" s="764"/>
      <c r="U61" s="764"/>
      <c r="V61" s="764"/>
      <c r="W61" s="764"/>
      <c r="X61" s="799"/>
      <c r="Y61" s="799"/>
      <c r="Z61" s="764"/>
      <c r="AA61" s="799"/>
      <c r="AB61" s="799"/>
      <c r="AC61" s="764"/>
      <c r="AD61" s="764"/>
      <c r="AF61" s="801"/>
      <c r="AG61" s="802"/>
    </row>
    <row r="62" spans="1:35" s="800" customFormat="1" x14ac:dyDescent="0.25">
      <c r="A62" s="799">
        <v>43917</v>
      </c>
      <c r="B62" s="750" t="s">
        <v>385</v>
      </c>
      <c r="C62" s="750"/>
      <c r="D62" s="750" t="s">
        <v>1042</v>
      </c>
      <c r="E62" s="776" t="s">
        <v>1043</v>
      </c>
      <c r="F62" s="764">
        <v>277.79000000000002</v>
      </c>
      <c r="G62" s="750" t="s">
        <v>1049</v>
      </c>
      <c r="K62" s="750" t="s">
        <v>1044</v>
      </c>
      <c r="L62" s="799"/>
      <c r="M62" s="764"/>
      <c r="N62" s="799"/>
      <c r="O62" s="764"/>
      <c r="P62" s="799"/>
      <c r="Q62" s="764"/>
      <c r="R62" s="799"/>
      <c r="S62" s="799"/>
      <c r="T62" s="764"/>
      <c r="U62" s="764"/>
      <c r="V62" s="764"/>
      <c r="W62" s="764"/>
      <c r="X62" s="799"/>
      <c r="Y62" s="799"/>
      <c r="Z62" s="764"/>
      <c r="AA62" s="799"/>
      <c r="AB62" s="799"/>
      <c r="AC62" s="764"/>
      <c r="AD62" s="764"/>
      <c r="AF62" s="801"/>
      <c r="AG62" s="802"/>
    </row>
    <row r="63" spans="1:35" s="800" customFormat="1" x14ac:dyDescent="0.25">
      <c r="A63" s="799">
        <v>43935</v>
      </c>
      <c r="B63" s="750" t="s">
        <v>385</v>
      </c>
      <c r="C63" s="750"/>
      <c r="D63" s="750" t="s">
        <v>1071</v>
      </c>
      <c r="E63" s="776">
        <v>616848</v>
      </c>
      <c r="F63" s="764">
        <v>41.95</v>
      </c>
      <c r="G63" s="750" t="s">
        <v>983</v>
      </c>
      <c r="K63" s="750" t="s">
        <v>1070</v>
      </c>
      <c r="L63" s="799"/>
      <c r="M63" s="764"/>
      <c r="N63" s="799"/>
      <c r="O63" s="764"/>
      <c r="P63" s="799"/>
      <c r="Q63" s="764"/>
      <c r="R63" s="799"/>
      <c r="S63" s="799"/>
      <c r="T63" s="764"/>
      <c r="U63" s="764"/>
      <c r="V63" s="764"/>
      <c r="W63" s="764"/>
      <c r="X63" s="799"/>
      <c r="Y63" s="799"/>
      <c r="Z63" s="764"/>
      <c r="AA63" s="799"/>
      <c r="AB63" s="799"/>
      <c r="AC63" s="764"/>
      <c r="AD63" s="764"/>
      <c r="AF63" s="801"/>
      <c r="AG63" s="802"/>
    </row>
    <row r="64" spans="1:35" s="800" customFormat="1" x14ac:dyDescent="0.25">
      <c r="A64" s="799">
        <v>43998</v>
      </c>
      <c r="B64" s="750" t="s">
        <v>376</v>
      </c>
      <c r="C64" s="750"/>
      <c r="D64" s="750" t="s">
        <v>1132</v>
      </c>
      <c r="E64" s="776">
        <v>617243</v>
      </c>
      <c r="F64" s="764">
        <v>185.83</v>
      </c>
      <c r="G64" s="750" t="s">
        <v>1133</v>
      </c>
      <c r="K64" s="750" t="s">
        <v>1140</v>
      </c>
      <c r="L64" s="799"/>
      <c r="M64" s="764"/>
      <c r="N64" s="799"/>
      <c r="O64" s="764"/>
      <c r="P64" s="799"/>
      <c r="Q64" s="764"/>
      <c r="R64" s="799"/>
      <c r="S64" s="799"/>
      <c r="T64" s="764"/>
      <c r="U64" s="764"/>
      <c r="V64" s="764"/>
      <c r="W64" s="764"/>
      <c r="X64" s="799"/>
      <c r="Y64" s="799"/>
      <c r="Z64" s="764"/>
      <c r="AA64" s="799"/>
      <c r="AB64" s="799"/>
      <c r="AC64" s="764"/>
      <c r="AD64" s="764"/>
      <c r="AF64" s="801"/>
      <c r="AG64" s="802"/>
    </row>
    <row r="65" spans="1:35" s="600" customFormat="1" x14ac:dyDescent="0.25">
      <c r="A65" s="827">
        <v>44267</v>
      </c>
      <c r="B65" s="537" t="s">
        <v>376</v>
      </c>
      <c r="C65" s="537"/>
      <c r="D65" s="537" t="s">
        <v>1308</v>
      </c>
      <c r="E65" s="596">
        <v>621343</v>
      </c>
      <c r="F65" s="618">
        <v>348.11</v>
      </c>
      <c r="G65" s="537" t="s">
        <v>378</v>
      </c>
      <c r="I65" s="537"/>
      <c r="J65" s="751"/>
      <c r="K65" s="537" t="s">
        <v>1310</v>
      </c>
      <c r="L65" s="596"/>
      <c r="M65" s="597"/>
      <c r="N65" s="597"/>
    </row>
    <row r="66" spans="1:35" x14ac:dyDescent="0.25">
      <c r="E66" s="57"/>
      <c r="F66" s="121"/>
      <c r="I66" s="6"/>
      <c r="K66" s="229"/>
      <c r="M66" s="229"/>
      <c r="O66" s="229"/>
      <c r="Q66" s="229"/>
      <c r="T66" s="229"/>
      <c r="U66" s="229"/>
      <c r="V66" s="229"/>
      <c r="W66" s="229"/>
      <c r="Z66" s="229"/>
      <c r="AC66" s="229"/>
      <c r="AH66" s="7"/>
      <c r="AI66" s="7"/>
    </row>
    <row r="67" spans="1:35" x14ac:dyDescent="0.25">
      <c r="E67" s="57"/>
      <c r="I67" s="6"/>
      <c r="K67" s="229"/>
      <c r="M67" s="229"/>
      <c r="O67" s="229"/>
      <c r="Q67" s="229"/>
      <c r="T67" s="229"/>
      <c r="U67" s="229"/>
      <c r="V67" s="229"/>
      <c r="W67" s="229"/>
      <c r="Z67" s="229"/>
      <c r="AC67" s="229"/>
      <c r="AH67" s="7"/>
      <c r="AI67" s="7"/>
    </row>
    <row r="68" spans="1:35" x14ac:dyDescent="0.25">
      <c r="E68" s="57"/>
      <c r="I68" s="6"/>
      <c r="K68" s="229"/>
      <c r="M68" s="229"/>
      <c r="O68" s="229"/>
      <c r="Q68" s="229"/>
      <c r="T68" s="229"/>
      <c r="U68" s="229"/>
      <c r="V68" s="229"/>
      <c r="W68" s="229"/>
      <c r="Z68" s="229"/>
      <c r="AC68" s="229"/>
      <c r="AH68" s="600"/>
      <c r="AI68" s="600"/>
    </row>
    <row r="69" spans="1:35" x14ac:dyDescent="0.25">
      <c r="E69" s="57"/>
      <c r="I69" s="6"/>
    </row>
    <row r="70" spans="1:35" x14ac:dyDescent="0.25">
      <c r="E70" s="57"/>
      <c r="I70" s="476"/>
    </row>
    <row r="71" spans="1:35" x14ac:dyDescent="0.25">
      <c r="E71" s="57"/>
      <c r="I71" s="476"/>
    </row>
  </sheetData>
  <mergeCells count="44">
    <mergeCell ref="AH1:AI7"/>
    <mergeCell ref="R54:AB54"/>
    <mergeCell ref="R55:AB55"/>
    <mergeCell ref="R56:AB56"/>
    <mergeCell ref="AA52:AB52"/>
    <mergeCell ref="AA50:AB50"/>
    <mergeCell ref="X52:Y52"/>
    <mergeCell ref="X50:Y50"/>
    <mergeCell ref="R52:S52"/>
    <mergeCell ref="R50:S50"/>
    <mergeCell ref="U50:V50"/>
    <mergeCell ref="U52:V52"/>
    <mergeCell ref="R3:AB3"/>
    <mergeCell ref="R4:AB4"/>
    <mergeCell ref="R5:AB5"/>
    <mergeCell ref="U6:V6"/>
    <mergeCell ref="D50:E50"/>
    <mergeCell ref="G50:H50"/>
    <mergeCell ref="D52:E52"/>
    <mergeCell ref="G52:H52"/>
    <mergeCell ref="R6:S6"/>
    <mergeCell ref="R8:S8"/>
    <mergeCell ref="K49:L49"/>
    <mergeCell ref="B3:C3"/>
    <mergeCell ref="G3:H3"/>
    <mergeCell ref="D4:E4"/>
    <mergeCell ref="B4:C4"/>
    <mergeCell ref="U8:V8"/>
    <mergeCell ref="A5:D5"/>
    <mergeCell ref="H1:I1"/>
    <mergeCell ref="AF1:AF8"/>
    <mergeCell ref="AG1:AG8"/>
    <mergeCell ref="D8:E8"/>
    <mergeCell ref="G8:H8"/>
    <mergeCell ref="AE1:AE8"/>
    <mergeCell ref="D2:F2"/>
    <mergeCell ref="D6:E6"/>
    <mergeCell ref="G6:H6"/>
    <mergeCell ref="I2:J2"/>
    <mergeCell ref="AD1:AD8"/>
    <mergeCell ref="X6:Y6"/>
    <mergeCell ref="X8:Y8"/>
    <mergeCell ref="AA6:AB6"/>
    <mergeCell ref="AA8:AB8"/>
  </mergeCells>
  <conditionalFormatting sqref="AK9:AK48">
    <cfRule type="cellIs" dxfId="119" priority="8" operator="greaterThan">
      <formula>0</formula>
    </cfRule>
    <cfRule type="cellIs" dxfId="118" priority="9" operator="lessThan">
      <formula>0</formula>
    </cfRule>
  </conditionalFormatting>
  <conditionalFormatting sqref="AD9:AD46">
    <cfRule type="cellIs" dxfId="117" priority="288" operator="lessThan">
      <formula>$AD$48</formula>
    </cfRule>
    <cfRule type="cellIs" dxfId="116" priority="289" operator="greaterThan">
      <formula>$AD$48</formula>
    </cfRule>
  </conditionalFormatting>
  <conditionalFormatting sqref="AE9:AE46">
    <cfRule type="cellIs" dxfId="115" priority="290" operator="equal">
      <formula>$AE$49</formula>
    </cfRule>
    <cfRule type="cellIs" dxfId="114" priority="291" operator="lessThan">
      <formula>$AE$48</formula>
    </cfRule>
    <cfRule type="cellIs" dxfId="113" priority="292" operator="greaterThan">
      <formula>$AE$48</formula>
    </cfRule>
  </conditionalFormatting>
  <printOptions horizontalCentered="1"/>
  <pageMargins left="0.39370078740157483" right="0.39370078740157483" top="0.39370078740157483" bottom="0.39370078740157483" header="0" footer="0"/>
  <pageSetup paperSize="9" scale="27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>
    <tabColor rgb="FF92D050"/>
  </sheetPr>
  <dimension ref="A1:AO107"/>
  <sheetViews>
    <sheetView workbookViewId="0">
      <pane xSplit="1" ySplit="8" topLeftCell="B75" activePane="bottomRight" state="frozen"/>
      <selection activeCell="L43" sqref="L43:M43"/>
      <selection pane="topRight" activeCell="L43" sqref="L43:M43"/>
      <selection pane="bottomLeft" activeCell="L43" sqref="L43:M43"/>
      <selection pane="bottomRight" activeCell="L43" sqref="L43:M43"/>
    </sheetView>
  </sheetViews>
  <sheetFormatPr defaultRowHeight="15.75" x14ac:dyDescent="0.25"/>
  <cols>
    <col min="1" max="1" width="18" style="52" customWidth="1"/>
    <col min="2" max="2" width="9.375" style="61" customWidth="1"/>
    <col min="3" max="3" width="10.625" style="55" customWidth="1"/>
    <col min="4" max="4" width="11" style="1" customWidth="1"/>
    <col min="5" max="5" width="32.25" style="5" customWidth="1"/>
    <col min="6" max="6" width="11.375" style="5" bestFit="1" customWidth="1"/>
    <col min="7" max="7" width="11" style="1" bestFit="1" customWidth="1"/>
    <col min="8" max="8" width="31.625" style="1" customWidth="1"/>
    <col min="9" max="9" width="10.375" style="1" customWidth="1"/>
    <col min="10" max="10" width="15" style="478" customWidth="1"/>
    <col min="11" max="11" width="10.375" style="51" customWidth="1"/>
    <col min="12" max="12" width="12.25" style="478" customWidth="1"/>
    <col min="13" max="13" width="10.375" style="51" customWidth="1"/>
    <col min="14" max="14" width="12.25" style="478" customWidth="1"/>
    <col min="15" max="15" width="10.375" style="51" customWidth="1"/>
    <col min="16" max="16" width="12.25" style="478" customWidth="1"/>
    <col min="17" max="17" width="10.375" style="51" customWidth="1"/>
    <col min="18" max="18" width="12.25" style="478" customWidth="1"/>
    <col min="19" max="19" width="10.375" style="51" customWidth="1"/>
    <col min="20" max="20" width="9.125" style="478" customWidth="1"/>
    <col min="21" max="21" width="16.625" style="478" customWidth="1"/>
    <col min="22" max="23" width="10.375" style="51" customWidth="1"/>
    <col min="24" max="24" width="19.125" style="51" customWidth="1"/>
    <col min="25" max="25" width="10.375" style="51" customWidth="1"/>
    <col min="26" max="26" width="9.125" style="478" customWidth="1"/>
    <col min="27" max="27" width="23.625" style="478" customWidth="1"/>
    <col min="28" max="28" width="10.375" style="51" customWidth="1"/>
    <col min="29" max="29" width="9.125" style="478" customWidth="1"/>
    <col min="30" max="30" width="16.125" style="478" customWidth="1"/>
    <col min="31" max="31" width="10.375" style="51" customWidth="1"/>
    <col min="32" max="32" width="8.625" style="1217" customWidth="1"/>
    <col min="33" max="33" width="8.625" style="1" customWidth="1"/>
    <col min="34" max="34" width="12.25" style="5" customWidth="1"/>
    <col min="35" max="35" width="9" style="61"/>
    <col min="36" max="36" width="10.75" style="61" customWidth="1"/>
    <col min="37" max="16384" width="9" style="1"/>
  </cols>
  <sheetData>
    <row r="1" spans="1:38" s="1165" customFormat="1" ht="18.75" customHeight="1" thickTop="1" thickBot="1" x14ac:dyDescent="0.3">
      <c r="A1" s="1166" t="s">
        <v>1139</v>
      </c>
      <c r="B1" s="1569" t="s">
        <v>1137</v>
      </c>
      <c r="C1" s="1569"/>
      <c r="D1" s="1569"/>
      <c r="E1" s="1569"/>
      <c r="F1" s="1569"/>
      <c r="G1" s="1569"/>
      <c r="H1" s="2243" t="s">
        <v>1163</v>
      </c>
      <c r="I1" s="2244"/>
      <c r="J1" s="1572">
        <v>5255</v>
      </c>
      <c r="K1" s="1573">
        <f>J1-B4</f>
        <v>5247</v>
      </c>
      <c r="L1" s="1163"/>
      <c r="M1" s="1164"/>
      <c r="N1" s="1163"/>
      <c r="O1" s="1164"/>
      <c r="P1" s="1163"/>
      <c r="Q1" s="1164"/>
      <c r="R1" s="1163"/>
      <c r="S1" s="1164"/>
      <c r="T1" s="1163"/>
      <c r="U1" s="1163"/>
      <c r="V1" s="1164"/>
      <c r="W1" s="1164"/>
      <c r="X1" s="1164"/>
      <c r="Y1" s="1164"/>
      <c r="Z1" s="1163"/>
      <c r="AA1" s="1163"/>
      <c r="AB1" s="1164"/>
      <c r="AC1" s="1163"/>
      <c r="AD1" s="1163"/>
      <c r="AE1" s="1164"/>
      <c r="AF1" s="2268" t="s">
        <v>51</v>
      </c>
      <c r="AG1" s="2272" t="s">
        <v>52</v>
      </c>
      <c r="AH1" s="2275" t="s">
        <v>102</v>
      </c>
      <c r="AI1" s="2279" t="s">
        <v>101</v>
      </c>
      <c r="AJ1" s="2290" t="s">
        <v>171</v>
      </c>
    </row>
    <row r="2" spans="1:38" s="561" customFormat="1" ht="16.5" thickTop="1" x14ac:dyDescent="0.25">
      <c r="A2" s="1167" t="s">
        <v>927</v>
      </c>
      <c r="B2" s="1251">
        <v>44004</v>
      </c>
      <c r="C2" s="1251">
        <v>44004</v>
      </c>
      <c r="D2" s="2263" t="s">
        <v>871</v>
      </c>
      <c r="E2" s="2264"/>
      <c r="F2" s="2264"/>
      <c r="G2" s="1168">
        <f ca="1">IF((TODAY()-B2)/365.25&lt;I2,I2,(TODAY()-B2)/365.25)</f>
        <v>13.842573579739904</v>
      </c>
      <c r="H2" s="1177" t="s">
        <v>888</v>
      </c>
      <c r="I2" s="2265">
        <f ca="1">Prehľad!H29</f>
        <v>13.842573579739904</v>
      </c>
      <c r="J2" s="2266"/>
      <c r="K2" s="1155"/>
      <c r="L2" s="1159"/>
      <c r="M2" s="1155"/>
      <c r="N2" s="1159"/>
      <c r="O2" s="1155"/>
      <c r="P2" s="1159"/>
      <c r="Q2" s="1155"/>
      <c r="R2" s="1159"/>
      <c r="S2" s="1155"/>
      <c r="T2" s="1159"/>
      <c r="U2" s="1159"/>
      <c r="V2" s="1155"/>
      <c r="W2" s="1155"/>
      <c r="X2" s="1155"/>
      <c r="Y2" s="1155"/>
      <c r="Z2" s="1159"/>
      <c r="AA2" s="1159"/>
      <c r="AB2" s="1155"/>
      <c r="AC2" s="1159"/>
      <c r="AD2" s="1159"/>
      <c r="AE2" s="1155"/>
      <c r="AF2" s="2269"/>
      <c r="AG2" s="2273"/>
      <c r="AH2" s="2276"/>
      <c r="AI2" s="2280"/>
      <c r="AJ2" s="2281"/>
    </row>
    <row r="3" spans="1:38" s="561" customFormat="1" x14ac:dyDescent="0.25">
      <c r="A3" s="1167" t="s">
        <v>870</v>
      </c>
      <c r="B3" s="2264">
        <v>33200</v>
      </c>
      <c r="C3" s="2264"/>
      <c r="D3" s="1523" t="s">
        <v>874</v>
      </c>
      <c r="E3" s="1169"/>
      <c r="F3" s="1175">
        <f ca="1">B3/G2/12</f>
        <v>199.86649525316454</v>
      </c>
      <c r="G3" s="2267" t="s">
        <v>875</v>
      </c>
      <c r="H3" s="2267"/>
      <c r="I3" s="1524">
        <f ca="1">F3/(I4/((TODAY()-C2)/365.25*12))</f>
        <v>0.40129449526807803</v>
      </c>
      <c r="J3" s="1171" t="e">
        <f ca="1">I3/$F$5</f>
        <v>#NAME?</v>
      </c>
      <c r="K3" s="1375">
        <f ca="1">(B3/G2/365.25)/(I4/(TODAY()-C2))</f>
        <v>0.40129449526807809</v>
      </c>
      <c r="L3" s="645" t="s">
        <v>1017</v>
      </c>
      <c r="M3" s="1155"/>
      <c r="N3" s="1159"/>
      <c r="O3" s="1155"/>
      <c r="P3" s="1159"/>
      <c r="Q3" s="1155"/>
      <c r="R3" s="1159"/>
      <c r="S3" s="1155"/>
      <c r="T3" s="2245" t="s">
        <v>893</v>
      </c>
      <c r="U3" s="2246"/>
      <c r="V3" s="2246"/>
      <c r="W3" s="2246"/>
      <c r="X3" s="2246"/>
      <c r="Y3" s="2246"/>
      <c r="Z3" s="2246"/>
      <c r="AA3" s="2246"/>
      <c r="AB3" s="2246"/>
      <c r="AC3" s="2246"/>
      <c r="AD3" s="2246"/>
      <c r="AE3" s="1180">
        <f>AE5/$I$4</f>
        <v>0.16314381270903008</v>
      </c>
      <c r="AF3" s="2270"/>
      <c r="AG3" s="2273"/>
      <c r="AH3" s="2276"/>
      <c r="AI3" s="2280"/>
      <c r="AJ3" s="2281"/>
    </row>
    <row r="4" spans="1:38" s="561" customFormat="1" ht="19.5" thickBot="1" x14ac:dyDescent="0.3">
      <c r="A4" s="1167" t="s">
        <v>869</v>
      </c>
      <c r="B4" s="2283">
        <v>8</v>
      </c>
      <c r="C4" s="2283"/>
      <c r="D4" s="2284" t="s">
        <v>872</v>
      </c>
      <c r="E4" s="2285"/>
      <c r="F4" s="1570">
        <f>IF(VLOOKUP(A1,'Ubehnuté km'!A1:D26,2,FALSE)&lt;J1,J1,VLOOKUP(A1,'Ubehnuté km'!A1:D26,2,FALSE))</f>
        <v>9875</v>
      </c>
      <c r="G4" s="1172" t="s">
        <v>876</v>
      </c>
      <c r="H4" s="1173"/>
      <c r="I4" s="1224">
        <f>F4-B4</f>
        <v>9867</v>
      </c>
      <c r="J4" s="1227">
        <f ca="1">I3/F85</f>
        <v>0.40536200464758237</v>
      </c>
      <c r="K4" s="1155"/>
      <c r="L4" s="1159"/>
      <c r="M4" s="1155"/>
      <c r="N4" s="1159"/>
      <c r="O4" s="1155"/>
      <c r="P4" s="1159"/>
      <c r="Q4" s="1155"/>
      <c r="R4" s="1159"/>
      <c r="S4" s="1155"/>
      <c r="T4" s="2247"/>
      <c r="U4" s="2248"/>
      <c r="V4" s="2248"/>
      <c r="W4" s="2248"/>
      <c r="X4" s="2248"/>
      <c r="Y4" s="2248"/>
      <c r="Z4" s="2248"/>
      <c r="AA4" s="2248"/>
      <c r="AB4" s="2248"/>
      <c r="AC4" s="2248"/>
      <c r="AD4" s="2248"/>
      <c r="AE4" s="1183" t="e">
        <f ca="1">AE3/$F$5</f>
        <v>#NAME?</v>
      </c>
      <c r="AF4" s="2270"/>
      <c r="AG4" s="2273"/>
      <c r="AH4" s="2276"/>
      <c r="AI4" s="2280"/>
      <c r="AJ4" s="2281"/>
    </row>
    <row r="5" spans="1:38" s="561" customFormat="1" ht="19.5" thickBot="1" x14ac:dyDescent="0.3">
      <c r="A5" s="2286" t="s">
        <v>873</v>
      </c>
      <c r="B5" s="2287"/>
      <c r="C5" s="2287"/>
      <c r="D5" s="2287"/>
      <c r="E5" s="1469" t="s">
        <v>1127</v>
      </c>
      <c r="F5" s="1216" t="e">
        <f ca="1">I3+C6+F6+I6+K6+M6+O6+Q6+S6+V6+Y6+AB6+AE6</f>
        <v>#NAME?</v>
      </c>
      <c r="G5" s="1211" t="e">
        <f ca="1">J3+C7+F7+I7+K7+M7+O7+Q7+S7+V7+Y7+AB7+AE7</f>
        <v>#NAME?</v>
      </c>
      <c r="H5" s="1380" t="e">
        <f>B3+C8+F8+I8+K8+M8+O8+Q8+S8+AE5</f>
        <v>#NAME?</v>
      </c>
      <c r="I5" s="1381" t="s">
        <v>1018</v>
      </c>
      <c r="J5" s="1382"/>
      <c r="K5" s="1155"/>
      <c r="L5" s="1159"/>
      <c r="M5" s="1155"/>
      <c r="N5" s="1159"/>
      <c r="O5" s="1155"/>
      <c r="P5" s="1159"/>
      <c r="Q5" s="1155"/>
      <c r="R5" s="1159"/>
      <c r="S5" s="1155"/>
      <c r="T5" s="2249" t="s">
        <v>894</v>
      </c>
      <c r="U5" s="2250"/>
      <c r="V5" s="2250"/>
      <c r="W5" s="2250"/>
      <c r="X5" s="2250"/>
      <c r="Y5" s="2250"/>
      <c r="Z5" s="2250"/>
      <c r="AA5" s="2250"/>
      <c r="AB5" s="2250"/>
      <c r="AC5" s="2250"/>
      <c r="AD5" s="2250"/>
      <c r="AE5" s="1158">
        <f>V8+Y8+AB8+AE8</f>
        <v>1609.7399999999998</v>
      </c>
      <c r="AF5" s="2270"/>
      <c r="AG5" s="2273"/>
      <c r="AH5" s="2276"/>
      <c r="AI5" s="2280"/>
      <c r="AJ5" s="2281"/>
    </row>
    <row r="6" spans="1:38" s="561" customFormat="1" x14ac:dyDescent="0.25">
      <c r="A6" s="1178" t="s">
        <v>877</v>
      </c>
      <c r="B6" s="1179"/>
      <c r="C6" s="1180">
        <f>C8/$K$1</f>
        <v>0.13184295788069372</v>
      </c>
      <c r="D6" s="2252" t="s">
        <v>879</v>
      </c>
      <c r="E6" s="2246"/>
      <c r="F6" s="1180">
        <f>F8/$I$4</f>
        <v>3.2757677105503188E-2</v>
      </c>
      <c r="G6" s="2252" t="s">
        <v>881</v>
      </c>
      <c r="H6" s="2246"/>
      <c r="I6" s="1180">
        <f>I8/$I$4</f>
        <v>6.8572007702442485E-3</v>
      </c>
      <c r="J6" s="1181" t="s">
        <v>898</v>
      </c>
      <c r="K6" s="1180" t="e">
        <f>K8/$I$4</f>
        <v>#NAME?</v>
      </c>
      <c r="L6" s="1181" t="s">
        <v>883</v>
      </c>
      <c r="M6" s="1180">
        <f>M8/$I$4</f>
        <v>3.3480287828113901E-2</v>
      </c>
      <c r="N6" s="1181" t="s">
        <v>908</v>
      </c>
      <c r="O6" s="1180">
        <f>O8/$I$4</f>
        <v>5.067396371744198E-3</v>
      </c>
      <c r="P6" s="1181" t="s">
        <v>910</v>
      </c>
      <c r="Q6" s="1180">
        <f>Q8/$I$4</f>
        <v>0</v>
      </c>
      <c r="R6" s="1181" t="s">
        <v>906</v>
      </c>
      <c r="S6" s="1241">
        <f>S8/$I$4</f>
        <v>0</v>
      </c>
      <c r="T6" s="2252" t="s">
        <v>886</v>
      </c>
      <c r="U6" s="2246"/>
      <c r="V6" s="1180">
        <f>V8/$I$4</f>
        <v>6.2876254180602E-3</v>
      </c>
      <c r="W6" s="2252" t="s">
        <v>912</v>
      </c>
      <c r="X6" s="2246"/>
      <c r="Y6" s="1180">
        <f>Y8/$I$4</f>
        <v>1.7117664943751901E-2</v>
      </c>
      <c r="Z6" s="2255" t="s">
        <v>1152</v>
      </c>
      <c r="AA6" s="2256"/>
      <c r="AB6" s="1180">
        <f>AB8/$I$4</f>
        <v>7.3961690483429599E-2</v>
      </c>
      <c r="AC6" s="2252" t="s">
        <v>891</v>
      </c>
      <c r="AD6" s="2246"/>
      <c r="AE6" s="1182">
        <f>AE8/$I$4</f>
        <v>6.5776831863788382E-2</v>
      </c>
      <c r="AF6" s="2269"/>
      <c r="AG6" s="2273"/>
      <c r="AH6" s="2277"/>
      <c r="AI6" s="2281"/>
      <c r="AJ6" s="2281"/>
    </row>
    <row r="7" spans="1:38" s="561" customFormat="1" x14ac:dyDescent="0.25">
      <c r="A7" s="1192" t="s">
        <v>896</v>
      </c>
      <c r="B7" s="1193">
        <f>B8/K1*100</f>
        <v>10.346293119878025</v>
      </c>
      <c r="C7" s="1183" t="e">
        <f ca="1">C6/$F$5</f>
        <v>#NAME?</v>
      </c>
      <c r="D7" s="1184"/>
      <c r="E7" s="1185"/>
      <c r="F7" s="1183" t="e">
        <f ca="1">F6/$F$5</f>
        <v>#NAME?</v>
      </c>
      <c r="G7" s="1184"/>
      <c r="H7" s="1185"/>
      <c r="I7" s="1183" t="e">
        <f ca="1">I6/$F$5</f>
        <v>#NAME?</v>
      </c>
      <c r="J7" s="1243">
        <f>COUNT(J9:J83)</f>
        <v>2</v>
      </c>
      <c r="K7" s="1183" t="e">
        <f ca="1">K6/$F$5</f>
        <v>#NAME?</v>
      </c>
      <c r="L7" s="1184"/>
      <c r="M7" s="1183" t="e">
        <f ca="1">M6/$F$5</f>
        <v>#NAME?</v>
      </c>
      <c r="N7" s="1184"/>
      <c r="O7" s="1183" t="e">
        <f ca="1">O6/$F$5</f>
        <v>#NAME?</v>
      </c>
      <c r="P7" s="1184"/>
      <c r="Q7" s="1183" t="e">
        <f ca="1">Q6/$F$5</f>
        <v>#NAME?</v>
      </c>
      <c r="R7" s="1223"/>
      <c r="S7" s="1183" t="e">
        <f ca="1">S6/$F$5</f>
        <v>#NAME?</v>
      </c>
      <c r="T7" s="1184"/>
      <c r="U7" s="1185"/>
      <c r="V7" s="1183" t="e">
        <f ca="1">V6/$F$5</f>
        <v>#NAME?</v>
      </c>
      <c r="W7" s="1184"/>
      <c r="X7" s="1185"/>
      <c r="Y7" s="1183" t="e">
        <f ca="1">Y6/$F$5</f>
        <v>#NAME?</v>
      </c>
      <c r="Z7" s="1184"/>
      <c r="AA7" s="1185"/>
      <c r="AB7" s="1183" t="e">
        <f ca="1">AB6/$F$5</f>
        <v>#NAME?</v>
      </c>
      <c r="AC7" s="1184"/>
      <c r="AD7" s="1185"/>
      <c r="AE7" s="1186" t="e">
        <f ca="1">AE6/$F$5</f>
        <v>#NAME?</v>
      </c>
      <c r="AF7" s="2269"/>
      <c r="AG7" s="2273"/>
      <c r="AH7" s="2277"/>
      <c r="AI7" s="2281"/>
      <c r="AJ7" s="2280"/>
    </row>
    <row r="8" spans="1:38" x14ac:dyDescent="0.25">
      <c r="A8" s="1191" t="s">
        <v>878</v>
      </c>
      <c r="B8" s="1220">
        <f>SUM(B9:B83)</f>
        <v>542.87</v>
      </c>
      <c r="C8" s="1156">
        <f>SUM(C9:C83)</f>
        <v>691.78</v>
      </c>
      <c r="D8" s="2251" t="s">
        <v>880</v>
      </c>
      <c r="E8" s="2250"/>
      <c r="F8" s="1158">
        <f>SUM(F9:F83)</f>
        <v>323.21999999999997</v>
      </c>
      <c r="G8" s="2251" t="s">
        <v>882</v>
      </c>
      <c r="H8" s="2250"/>
      <c r="I8" s="1158">
        <f>SUM(I9:I83)</f>
        <v>67.66</v>
      </c>
      <c r="J8" s="1157" t="s">
        <v>899</v>
      </c>
      <c r="K8" s="1158" t="e">
        <f>SUM(K9:K20K83)</f>
        <v>#NAME?</v>
      </c>
      <c r="L8" s="1157" t="s">
        <v>884</v>
      </c>
      <c r="M8" s="1158">
        <f>SUM(M9:M83)</f>
        <v>330.34999999999985</v>
      </c>
      <c r="N8" s="1157" t="s">
        <v>909</v>
      </c>
      <c r="O8" s="1158">
        <f>SUM(O9:O83)</f>
        <v>50</v>
      </c>
      <c r="P8" s="1157" t="s">
        <v>911</v>
      </c>
      <c r="Q8" s="1158">
        <f>SUM(Q9:Q83)</f>
        <v>0</v>
      </c>
      <c r="R8" s="1157" t="s">
        <v>907</v>
      </c>
      <c r="S8" s="1158">
        <f>SUM(S9:S83)</f>
        <v>0</v>
      </c>
      <c r="T8" s="2251" t="s">
        <v>887</v>
      </c>
      <c r="U8" s="2250"/>
      <c r="V8" s="1158">
        <f>SUM(V9:V83)</f>
        <v>62.039999999999992</v>
      </c>
      <c r="W8" s="2251" t="s">
        <v>913</v>
      </c>
      <c r="X8" s="2250"/>
      <c r="Y8" s="1158">
        <f>SUM(Y9:Y83)</f>
        <v>168.9</v>
      </c>
      <c r="Z8" s="2251" t="s">
        <v>890</v>
      </c>
      <c r="AA8" s="2250"/>
      <c r="AB8" s="1158">
        <f>SUM(AB9:AB83)</f>
        <v>729.77999999999986</v>
      </c>
      <c r="AC8" s="2251" t="s">
        <v>892</v>
      </c>
      <c r="AD8" s="2250"/>
      <c r="AE8" s="1176">
        <f>SUM(AE9:AE83)</f>
        <v>649.02</v>
      </c>
      <c r="AF8" s="2271"/>
      <c r="AG8" s="2274"/>
      <c r="AH8" s="2278"/>
      <c r="AI8" s="2282"/>
      <c r="AJ8" s="343">
        <f>SUM(AJ9:AJ83)</f>
        <v>0</v>
      </c>
      <c r="AK8" s="54">
        <f>SUM(C9:C83)/SUM(B9:B83)</f>
        <v>1.2743013981247813</v>
      </c>
    </row>
    <row r="9" spans="1:38" x14ac:dyDescent="0.25">
      <c r="A9" s="71">
        <v>44012</v>
      </c>
      <c r="B9" s="72">
        <v>97.82</v>
      </c>
      <c r="C9" s="73">
        <v>117.14</v>
      </c>
      <c r="D9" s="147">
        <v>44104</v>
      </c>
      <c r="E9" s="75" t="s">
        <v>510</v>
      </c>
      <c r="F9" s="73">
        <v>6.02</v>
      </c>
      <c r="G9" s="147">
        <v>44006</v>
      </c>
      <c r="H9" s="75" t="s">
        <v>1149</v>
      </c>
      <c r="I9" s="73">
        <v>30</v>
      </c>
      <c r="J9" s="431"/>
      <c r="K9" s="347"/>
      <c r="L9" s="1609">
        <v>43992</v>
      </c>
      <c r="M9" s="73">
        <f>166.8-10.8</f>
        <v>156</v>
      </c>
      <c r="N9" s="945">
        <v>44007</v>
      </c>
      <c r="O9" s="347">
        <v>50</v>
      </c>
      <c r="P9" s="1160"/>
      <c r="Q9" s="347"/>
      <c r="R9" s="1160"/>
      <c r="S9" s="73"/>
      <c r="T9" s="894">
        <v>44004</v>
      </c>
      <c r="U9" s="1199" t="s">
        <v>1153</v>
      </c>
      <c r="V9" s="73">
        <v>22</v>
      </c>
      <c r="W9" s="945"/>
      <c r="X9" s="1201"/>
      <c r="Y9" s="347"/>
      <c r="Z9" s="894">
        <v>44004</v>
      </c>
      <c r="AA9" s="1199" t="s">
        <v>1153</v>
      </c>
      <c r="AB9" s="73">
        <v>112.98</v>
      </c>
      <c r="AC9" s="945">
        <v>44019</v>
      </c>
      <c r="AD9" s="1201" t="s">
        <v>1151</v>
      </c>
      <c r="AE9" s="347">
        <v>324.51</v>
      </c>
      <c r="AF9" s="1112">
        <v>0.97</v>
      </c>
      <c r="AG9" s="1113">
        <v>9.92</v>
      </c>
      <c r="AH9" s="1110">
        <v>986</v>
      </c>
      <c r="AI9" s="238">
        <v>68</v>
      </c>
      <c r="AJ9" s="238"/>
      <c r="AK9" s="51">
        <f t="shared" ref="AK9:AK58" si="0">C9/B9</f>
        <v>1.1975056225720713</v>
      </c>
      <c r="AL9" s="51">
        <f t="shared" ref="AL9:AL58" si="1">AK9-$AK$8</f>
        <v>-7.6795775552709999E-2</v>
      </c>
    </row>
    <row r="10" spans="1:38" x14ac:dyDescent="0.25">
      <c r="A10" s="71">
        <v>44043</v>
      </c>
      <c r="B10" s="72">
        <v>36.47</v>
      </c>
      <c r="C10" s="73">
        <v>44.02</v>
      </c>
      <c r="D10" s="147"/>
      <c r="E10" s="75"/>
      <c r="F10" s="73"/>
      <c r="G10" s="147">
        <v>44043</v>
      </c>
      <c r="H10" s="75" t="s">
        <v>510</v>
      </c>
      <c r="I10" s="73">
        <f>23.94+3.2+6.02</f>
        <v>33.159999999999997</v>
      </c>
      <c r="J10" s="234"/>
      <c r="K10" s="73"/>
      <c r="L10" s="1609">
        <v>43992</v>
      </c>
      <c r="M10" s="73">
        <v>6.35</v>
      </c>
      <c r="N10" s="894"/>
      <c r="O10" s="73"/>
      <c r="P10" s="71"/>
      <c r="Q10" s="73"/>
      <c r="R10" s="71"/>
      <c r="S10" s="73"/>
      <c r="T10" s="894">
        <v>44091</v>
      </c>
      <c r="U10" s="1199" t="s">
        <v>1224</v>
      </c>
      <c r="V10" s="73">
        <v>20.02</v>
      </c>
      <c r="W10" s="894"/>
      <c r="X10" s="1199"/>
      <c r="Y10" s="73"/>
      <c r="Z10" s="894">
        <v>44091</v>
      </c>
      <c r="AA10" s="1199" t="s">
        <v>1224</v>
      </c>
      <c r="AB10" s="73">
        <v>102.8</v>
      </c>
      <c r="AC10" s="894"/>
      <c r="AD10" s="1199"/>
      <c r="AE10" s="73"/>
      <c r="AF10" s="1112">
        <v>1.08</v>
      </c>
      <c r="AG10" s="1113">
        <v>10.44</v>
      </c>
      <c r="AH10" s="1110">
        <v>300</v>
      </c>
      <c r="AI10" s="238">
        <v>90</v>
      </c>
      <c r="AJ10" s="238"/>
      <c r="AK10" s="51">
        <f t="shared" si="0"/>
        <v>1.2070194680559365</v>
      </c>
      <c r="AL10" s="51">
        <f t="shared" si="1"/>
        <v>-6.7281930068844753E-2</v>
      </c>
    </row>
    <row r="11" spans="1:38" x14ac:dyDescent="0.25">
      <c r="A11" s="71">
        <v>44074</v>
      </c>
      <c r="B11" s="72">
        <v>0</v>
      </c>
      <c r="C11" s="73">
        <v>0</v>
      </c>
      <c r="D11" s="528"/>
      <c r="E11" s="516"/>
      <c r="F11" s="380"/>
      <c r="G11" s="147">
        <v>44196</v>
      </c>
      <c r="H11" s="75" t="s">
        <v>510</v>
      </c>
      <c r="I11" s="73">
        <v>4.5</v>
      </c>
      <c r="J11" s="234"/>
      <c r="K11" s="73"/>
      <c r="L11" s="1609">
        <v>44025</v>
      </c>
      <c r="M11" s="73">
        <v>8.4</v>
      </c>
      <c r="N11" s="894"/>
      <c r="O11" s="73"/>
      <c r="P11" s="71"/>
      <c r="Q11" s="73"/>
      <c r="R11" s="71"/>
      <c r="S11" s="73"/>
      <c r="T11" s="894"/>
      <c r="U11" s="1199"/>
      <c r="V11" s="73"/>
      <c r="W11" s="894"/>
      <c r="X11" s="1199"/>
      <c r="Y11" s="73"/>
      <c r="Z11" s="894"/>
      <c r="AA11" s="1199"/>
      <c r="AB11" s="73"/>
      <c r="AC11" s="894"/>
      <c r="AD11" s="1199"/>
      <c r="AE11" s="73"/>
      <c r="AF11" s="1112">
        <v>1.23</v>
      </c>
      <c r="AG11" s="1113">
        <v>10.43</v>
      </c>
      <c r="AH11" s="1110">
        <v>0</v>
      </c>
      <c r="AI11" s="238">
        <v>90</v>
      </c>
      <c r="AJ11" s="238"/>
      <c r="AK11" s="51" t="e">
        <f t="shared" si="0"/>
        <v>#DIV/0!</v>
      </c>
      <c r="AL11" s="51" t="e">
        <f t="shared" si="1"/>
        <v>#DIV/0!</v>
      </c>
    </row>
    <row r="12" spans="1:38" x14ac:dyDescent="0.25">
      <c r="A12" s="71">
        <v>44104</v>
      </c>
      <c r="B12" s="72">
        <v>0</v>
      </c>
      <c r="C12" s="73">
        <v>0</v>
      </c>
      <c r="D12" s="147"/>
      <c r="E12" s="75"/>
      <c r="F12" s="73"/>
      <c r="G12" s="147"/>
      <c r="H12" s="75"/>
      <c r="I12" s="73"/>
      <c r="J12" s="234"/>
      <c r="K12" s="73"/>
      <c r="L12" s="1609">
        <v>44053</v>
      </c>
      <c r="M12" s="73">
        <v>8.4</v>
      </c>
      <c r="N12" s="894"/>
      <c r="O12" s="73"/>
      <c r="P12" s="71"/>
      <c r="Q12" s="73"/>
      <c r="R12" s="71"/>
      <c r="S12" s="73"/>
      <c r="T12" s="894"/>
      <c r="U12" s="1199"/>
      <c r="V12" s="73"/>
      <c r="W12" s="894"/>
      <c r="X12" s="1199"/>
      <c r="Y12" s="73"/>
      <c r="Z12" s="894"/>
      <c r="AA12" s="1199"/>
      <c r="AB12" s="73"/>
      <c r="AC12" s="894"/>
      <c r="AD12" s="1199"/>
      <c r="AE12" s="73"/>
      <c r="AF12" s="1112">
        <v>1.48</v>
      </c>
      <c r="AG12" s="1113">
        <v>10.43</v>
      </c>
      <c r="AH12" s="1110">
        <v>1</v>
      </c>
      <c r="AI12" s="238">
        <v>90</v>
      </c>
      <c r="AJ12" s="238"/>
      <c r="AK12" s="51" t="e">
        <f t="shared" si="0"/>
        <v>#DIV/0!</v>
      </c>
      <c r="AL12" s="51" t="e">
        <f t="shared" si="1"/>
        <v>#DIV/0!</v>
      </c>
    </row>
    <row r="13" spans="1:38" x14ac:dyDescent="0.25">
      <c r="A13" s="71">
        <v>44135</v>
      </c>
      <c r="B13" s="72">
        <v>25.27</v>
      </c>
      <c r="C13" s="73">
        <v>30.32</v>
      </c>
      <c r="D13" s="147"/>
      <c r="E13" s="75"/>
      <c r="F13" s="73"/>
      <c r="G13" s="147"/>
      <c r="H13" s="75"/>
      <c r="I13" s="73"/>
      <c r="J13" s="234"/>
      <c r="K13" s="73"/>
      <c r="L13" s="1609">
        <v>44084</v>
      </c>
      <c r="M13" s="73">
        <v>8.4</v>
      </c>
      <c r="N13" s="894"/>
      <c r="O13" s="73"/>
      <c r="P13" s="71"/>
      <c r="Q13" s="73"/>
      <c r="R13" s="71"/>
      <c r="S13" s="73"/>
      <c r="T13" s="894"/>
      <c r="U13" s="1199"/>
      <c r="V13" s="73"/>
      <c r="W13" s="894"/>
      <c r="X13" s="1199"/>
      <c r="Y13" s="73"/>
      <c r="Z13" s="894"/>
      <c r="AA13" s="1199"/>
      <c r="AB13" s="73"/>
      <c r="AC13" s="894"/>
      <c r="AD13" s="1199"/>
      <c r="AE13" s="73"/>
      <c r="AF13" s="1112">
        <v>1.42</v>
      </c>
      <c r="AG13" s="1113">
        <v>9.86</v>
      </c>
      <c r="AH13" s="1110">
        <v>247</v>
      </c>
      <c r="AI13" s="238">
        <v>90</v>
      </c>
      <c r="AJ13" s="238"/>
      <c r="AK13" s="51">
        <f t="shared" si="0"/>
        <v>1.1998417095370004</v>
      </c>
      <c r="AL13" s="51">
        <f t="shared" si="1"/>
        <v>-7.4459688587780848E-2</v>
      </c>
    </row>
    <row r="14" spans="1:38" x14ac:dyDescent="0.25">
      <c r="A14" s="71">
        <v>44165</v>
      </c>
      <c r="B14" s="72">
        <v>14.06</v>
      </c>
      <c r="C14" s="73">
        <v>16.91</v>
      </c>
      <c r="D14" s="147"/>
      <c r="E14" s="75"/>
      <c r="F14" s="73"/>
      <c r="G14" s="147"/>
      <c r="H14" s="75"/>
      <c r="I14" s="73"/>
      <c r="J14" s="234"/>
      <c r="K14" s="73"/>
      <c r="L14" s="1609">
        <v>44119</v>
      </c>
      <c r="M14" s="73">
        <v>8.4</v>
      </c>
      <c r="N14" s="894"/>
      <c r="O14" s="73"/>
      <c r="P14" s="71"/>
      <c r="Q14" s="73"/>
      <c r="R14" s="71"/>
      <c r="S14" s="73"/>
      <c r="T14" s="894"/>
      <c r="U14" s="1199"/>
      <c r="V14" s="73"/>
      <c r="W14" s="894"/>
      <c r="X14" s="1199"/>
      <c r="Y14" s="73"/>
      <c r="Z14" s="894"/>
      <c r="AA14" s="1199"/>
      <c r="AB14" s="73"/>
      <c r="AC14" s="894"/>
      <c r="AD14" s="1199"/>
      <c r="AE14" s="73"/>
      <c r="AF14" s="1112">
        <v>1.77</v>
      </c>
      <c r="AG14" s="1113">
        <v>10.66</v>
      </c>
      <c r="AH14" s="1110">
        <v>85</v>
      </c>
      <c r="AI14" s="238">
        <v>90</v>
      </c>
      <c r="AJ14" s="238"/>
      <c r="AK14" s="51">
        <f t="shared" si="0"/>
        <v>1.2027027027027026</v>
      </c>
      <c r="AL14" s="51">
        <f t="shared" si="1"/>
        <v>-7.159869542207864E-2</v>
      </c>
    </row>
    <row r="15" spans="1:38" x14ac:dyDescent="0.25">
      <c r="A15" s="71">
        <v>44196</v>
      </c>
      <c r="B15" s="72">
        <v>3</v>
      </c>
      <c r="C15" s="73">
        <v>3.61</v>
      </c>
      <c r="D15" s="147"/>
      <c r="E15" s="75"/>
      <c r="F15" s="73"/>
      <c r="G15" s="147"/>
      <c r="H15" s="75"/>
      <c r="I15" s="73"/>
      <c r="J15" s="234"/>
      <c r="K15" s="73"/>
      <c r="L15" s="1609">
        <v>44145</v>
      </c>
      <c r="M15" s="73">
        <v>8.4</v>
      </c>
      <c r="N15" s="894"/>
      <c r="O15" s="73"/>
      <c r="P15" s="71"/>
      <c r="Q15" s="73"/>
      <c r="R15" s="71"/>
      <c r="S15" s="73"/>
      <c r="T15" s="894"/>
      <c r="U15" s="1199"/>
      <c r="V15" s="73"/>
      <c r="W15" s="894"/>
      <c r="X15" s="1199"/>
      <c r="Y15" s="73"/>
      <c r="Z15" s="894"/>
      <c r="AA15" s="1199"/>
      <c r="AB15" s="73"/>
      <c r="AC15" s="894"/>
      <c r="AD15" s="1199"/>
      <c r="AE15" s="73"/>
      <c r="AF15" s="1112">
        <v>1.43</v>
      </c>
      <c r="AG15" s="1113">
        <v>10.91</v>
      </c>
      <c r="AH15" s="1110">
        <v>9</v>
      </c>
      <c r="AI15" s="238">
        <v>87</v>
      </c>
      <c r="AJ15" s="238"/>
      <c r="AK15" s="51">
        <f t="shared" si="0"/>
        <v>1.2033333333333334</v>
      </c>
      <c r="AL15" s="51">
        <f t="shared" si="1"/>
        <v>-7.0968064791447905E-2</v>
      </c>
    </row>
    <row r="16" spans="1:38" x14ac:dyDescent="0.25">
      <c r="A16" s="71">
        <v>44227</v>
      </c>
      <c r="B16" s="72">
        <v>2</v>
      </c>
      <c r="C16" s="73">
        <v>2.4</v>
      </c>
      <c r="D16" s="345">
        <v>44512</v>
      </c>
      <c r="E16" s="346" t="s">
        <v>1477</v>
      </c>
      <c r="F16" s="347">
        <v>64.88</v>
      </c>
      <c r="G16" s="147"/>
      <c r="H16" s="75"/>
      <c r="I16" s="73"/>
      <c r="J16" s="234">
        <v>44483</v>
      </c>
      <c r="K16" s="73">
        <f>6.67*1.2</f>
        <v>8.0039999999999996</v>
      </c>
      <c r="L16" s="1609">
        <v>44196</v>
      </c>
      <c r="M16" s="73">
        <v>8.4</v>
      </c>
      <c r="N16" s="894"/>
      <c r="O16" s="73"/>
      <c r="P16" s="71"/>
      <c r="Q16" s="73"/>
      <c r="R16" s="71"/>
      <c r="S16" s="73"/>
      <c r="T16" s="894"/>
      <c r="U16" s="1199"/>
      <c r="V16" s="73"/>
      <c r="W16" s="894">
        <v>44312</v>
      </c>
      <c r="X16" s="1199" t="s">
        <v>1330</v>
      </c>
      <c r="Y16" s="73">
        <v>78.900000000000006</v>
      </c>
      <c r="Z16" s="894">
        <v>44197</v>
      </c>
      <c r="AA16" s="1199" t="s">
        <v>1517</v>
      </c>
      <c r="AB16" s="73">
        <v>102.8</v>
      </c>
      <c r="AC16" s="894"/>
      <c r="AD16" s="1199"/>
      <c r="AE16" s="73"/>
      <c r="AF16" s="1112">
        <v>1.44</v>
      </c>
      <c r="AG16" s="1113">
        <v>10.97</v>
      </c>
      <c r="AH16" s="1110">
        <v>0</v>
      </c>
      <c r="AI16" s="238">
        <v>85</v>
      </c>
      <c r="AJ16" s="238"/>
      <c r="AK16" s="51">
        <f t="shared" si="0"/>
        <v>1.2</v>
      </c>
      <c r="AL16" s="51">
        <f t="shared" si="1"/>
        <v>-7.4301398124781315E-2</v>
      </c>
    </row>
    <row r="17" spans="1:38" x14ac:dyDescent="0.25">
      <c r="A17" s="71">
        <v>44255</v>
      </c>
      <c r="B17" s="72">
        <v>0</v>
      </c>
      <c r="C17" s="73">
        <v>0</v>
      </c>
      <c r="D17" s="147"/>
      <c r="E17" s="75"/>
      <c r="F17" s="73"/>
      <c r="G17" s="147"/>
      <c r="H17" s="75"/>
      <c r="I17" s="73"/>
      <c r="J17" s="234"/>
      <c r="K17" s="73"/>
      <c r="L17" s="1609">
        <v>44225</v>
      </c>
      <c r="M17" s="73">
        <v>8.4</v>
      </c>
      <c r="N17" s="894"/>
      <c r="O17" s="73"/>
      <c r="P17" s="71"/>
      <c r="Q17" s="73"/>
      <c r="R17" s="71"/>
      <c r="S17" s="73"/>
      <c r="T17" s="894"/>
      <c r="U17" s="1199"/>
      <c r="V17" s="73"/>
      <c r="W17" s="894">
        <v>44312</v>
      </c>
      <c r="X17" s="1199" t="s">
        <v>1329</v>
      </c>
      <c r="Y17" s="73">
        <v>90</v>
      </c>
      <c r="Z17" s="894">
        <v>44287</v>
      </c>
      <c r="AA17" s="1199" t="s">
        <v>1518</v>
      </c>
      <c r="AB17" s="73">
        <v>102.8</v>
      </c>
      <c r="AC17" s="894"/>
      <c r="AD17" s="1199"/>
      <c r="AE17" s="73"/>
      <c r="AF17" s="1112">
        <v>1.44</v>
      </c>
      <c r="AG17" s="1113">
        <v>10.97</v>
      </c>
      <c r="AH17" s="1110">
        <v>0</v>
      </c>
      <c r="AI17" s="238">
        <v>85</v>
      </c>
      <c r="AJ17" s="238"/>
      <c r="AK17" s="51" t="e">
        <f t="shared" si="0"/>
        <v>#DIV/0!</v>
      </c>
      <c r="AL17" s="51" t="e">
        <f t="shared" si="1"/>
        <v>#DIV/0!</v>
      </c>
    </row>
    <row r="18" spans="1:38" x14ac:dyDescent="0.25">
      <c r="A18" s="71">
        <v>44286</v>
      </c>
      <c r="B18" s="72">
        <v>26.1</v>
      </c>
      <c r="C18" s="73">
        <v>32.409999999999997</v>
      </c>
      <c r="D18" s="528"/>
      <c r="E18" s="516"/>
      <c r="F18" s="380"/>
      <c r="G18" s="147"/>
      <c r="H18" s="75"/>
      <c r="I18" s="73"/>
      <c r="J18" s="234"/>
      <c r="K18" s="73"/>
      <c r="L18" s="1609">
        <v>44231</v>
      </c>
      <c r="M18" s="73">
        <v>8.4</v>
      </c>
      <c r="N18" s="894"/>
      <c r="O18" s="73"/>
      <c r="P18" s="71"/>
      <c r="Q18" s="73"/>
      <c r="R18" s="71"/>
      <c r="S18" s="73"/>
      <c r="T18" s="894">
        <v>44378</v>
      </c>
      <c r="U18" s="1199" t="s">
        <v>1402</v>
      </c>
      <c r="V18" s="73">
        <v>20.02</v>
      </c>
      <c r="W18" s="894"/>
      <c r="X18" s="1199"/>
      <c r="Y18" s="73"/>
      <c r="Z18" s="894">
        <v>44378</v>
      </c>
      <c r="AA18" s="1199" t="s">
        <v>1402</v>
      </c>
      <c r="AB18" s="73">
        <v>102.8</v>
      </c>
      <c r="AC18" s="894"/>
      <c r="AD18" s="1199"/>
      <c r="AE18" s="73"/>
      <c r="AF18" s="1112">
        <v>1.26</v>
      </c>
      <c r="AG18" s="1113">
        <v>11.07</v>
      </c>
      <c r="AH18" s="1110">
        <v>222</v>
      </c>
      <c r="AI18" s="238">
        <v>90</v>
      </c>
      <c r="AJ18" s="238"/>
      <c r="AK18" s="51">
        <f t="shared" si="0"/>
        <v>1.2417624521072794</v>
      </c>
      <c r="AL18" s="51">
        <f t="shared" si="1"/>
        <v>-3.2538946017501846E-2</v>
      </c>
    </row>
    <row r="19" spans="1:38" x14ac:dyDescent="0.25">
      <c r="A19" s="71">
        <v>44316</v>
      </c>
      <c r="B19" s="72">
        <v>71.31</v>
      </c>
      <c r="C19" s="73">
        <v>91.95</v>
      </c>
      <c r="D19" s="147"/>
      <c r="E19" s="75"/>
      <c r="F19" s="73"/>
      <c r="G19" s="147"/>
      <c r="H19" s="75"/>
      <c r="I19" s="73"/>
      <c r="J19" s="234"/>
      <c r="K19" s="73"/>
      <c r="L19" s="1609">
        <v>44264</v>
      </c>
      <c r="M19" s="73">
        <v>8.4</v>
      </c>
      <c r="N19" s="894"/>
      <c r="O19" s="73"/>
      <c r="P19" s="71"/>
      <c r="Q19" s="73"/>
      <c r="R19" s="71"/>
      <c r="S19" s="73"/>
      <c r="T19" s="894"/>
      <c r="U19" s="1199"/>
      <c r="V19" s="73"/>
      <c r="W19" s="894"/>
      <c r="X19" s="1199"/>
      <c r="Y19" s="73"/>
      <c r="Z19" s="894">
        <v>44470</v>
      </c>
      <c r="AA19" s="1199" t="s">
        <v>1516</v>
      </c>
      <c r="AB19" s="73">
        <v>102.8</v>
      </c>
      <c r="AC19" s="894"/>
      <c r="AD19" s="1199"/>
      <c r="AE19" s="73"/>
      <c r="AF19" s="1112">
        <v>1.1299999999999999</v>
      </c>
      <c r="AG19" s="1113">
        <v>10.69</v>
      </c>
      <c r="AH19" s="1110">
        <v>740</v>
      </c>
      <c r="AI19" s="238">
        <v>90</v>
      </c>
      <c r="AJ19" s="238"/>
      <c r="AK19" s="51">
        <f t="shared" si="0"/>
        <v>1.2894404711821623</v>
      </c>
      <c r="AL19" s="51">
        <f t="shared" si="1"/>
        <v>1.5139073057381047E-2</v>
      </c>
    </row>
    <row r="20" spans="1:38" x14ac:dyDescent="0.25">
      <c r="A20" s="71">
        <v>44347</v>
      </c>
      <c r="B20" s="72">
        <v>177.68</v>
      </c>
      <c r="C20" s="73">
        <v>233.56</v>
      </c>
      <c r="D20" s="147"/>
      <c r="E20" s="75"/>
      <c r="F20" s="73"/>
      <c r="G20" s="147"/>
      <c r="H20" s="75"/>
      <c r="I20" s="73"/>
      <c r="J20" s="234"/>
      <c r="K20" s="73"/>
      <c r="L20" s="1609">
        <v>44295</v>
      </c>
      <c r="M20" s="73">
        <v>8.4</v>
      </c>
      <c r="N20" s="894"/>
      <c r="O20" s="73"/>
      <c r="P20" s="71"/>
      <c r="Q20" s="73"/>
      <c r="R20" s="71"/>
      <c r="S20" s="73"/>
      <c r="T20" s="894"/>
      <c r="U20" s="1199"/>
      <c r="V20" s="73"/>
      <c r="W20" s="894"/>
      <c r="X20" s="1199"/>
      <c r="Y20" s="73"/>
      <c r="Z20" s="894"/>
      <c r="AA20" s="1199"/>
      <c r="AB20" s="73"/>
      <c r="AC20" s="894"/>
      <c r="AD20" s="1199"/>
      <c r="AE20" s="73"/>
      <c r="AF20" s="1112">
        <v>0.87</v>
      </c>
      <c r="AG20" s="1113">
        <v>10.33</v>
      </c>
      <c r="AH20" s="1110">
        <v>1803</v>
      </c>
      <c r="AI20" s="238">
        <v>90</v>
      </c>
      <c r="AJ20" s="238"/>
      <c r="AK20" s="51">
        <f t="shared" si="0"/>
        <v>1.314497973885637</v>
      </c>
      <c r="AL20" s="51">
        <f t="shared" si="1"/>
        <v>4.0196575760855779E-2</v>
      </c>
    </row>
    <row r="21" spans="1:38" x14ac:dyDescent="0.25">
      <c r="A21" s="71">
        <v>44377</v>
      </c>
      <c r="B21" s="72">
        <v>89.16</v>
      </c>
      <c r="C21" s="73">
        <v>119.46</v>
      </c>
      <c r="D21" s="147"/>
      <c r="E21" s="75"/>
      <c r="F21" s="73"/>
      <c r="G21" s="147"/>
      <c r="H21" s="75"/>
      <c r="I21" s="73"/>
      <c r="J21" s="234"/>
      <c r="K21" s="73"/>
      <c r="L21" s="1609">
        <v>44320</v>
      </c>
      <c r="M21" s="73">
        <v>8.4</v>
      </c>
      <c r="N21" s="894"/>
      <c r="O21" s="73"/>
      <c r="P21" s="71"/>
      <c r="Q21" s="73"/>
      <c r="R21" s="71"/>
      <c r="S21" s="73"/>
      <c r="T21" s="894"/>
      <c r="U21" s="1199"/>
      <c r="V21" s="73"/>
      <c r="W21" s="894"/>
      <c r="X21" s="1199"/>
      <c r="Y21" s="73"/>
      <c r="Z21" s="894"/>
      <c r="AA21" s="1199"/>
      <c r="AB21" s="73"/>
      <c r="AC21" s="894">
        <v>44369</v>
      </c>
      <c r="AD21" s="1199" t="s">
        <v>1341</v>
      </c>
      <c r="AE21" s="73">
        <v>324.51</v>
      </c>
      <c r="AF21" s="1112">
        <v>0.87</v>
      </c>
      <c r="AG21" s="1113">
        <v>10.35</v>
      </c>
      <c r="AH21" s="1110">
        <v>854</v>
      </c>
      <c r="AI21" s="238">
        <v>78</v>
      </c>
      <c r="AJ21" s="238"/>
      <c r="AK21" s="51">
        <f t="shared" si="0"/>
        <v>1.3398384925975775</v>
      </c>
      <c r="AL21" s="51">
        <f t="shared" si="1"/>
        <v>6.5537094472796209E-2</v>
      </c>
    </row>
    <row r="22" spans="1:38" x14ac:dyDescent="0.25">
      <c r="A22" s="71"/>
      <c r="B22" s="72"/>
      <c r="C22" s="73"/>
      <c r="D22" s="147"/>
      <c r="E22" s="75"/>
      <c r="F22" s="73"/>
      <c r="G22" s="147"/>
      <c r="H22" s="75"/>
      <c r="I22" s="73"/>
      <c r="J22" s="234"/>
      <c r="K22" s="73"/>
      <c r="L22" s="1785">
        <v>44351</v>
      </c>
      <c r="M22" s="73">
        <v>8.4</v>
      </c>
      <c r="N22" s="894"/>
      <c r="O22" s="73"/>
      <c r="P22" s="71"/>
      <c r="Q22" s="73"/>
      <c r="R22" s="71"/>
      <c r="S22" s="73"/>
      <c r="T22" s="894"/>
      <c r="U22" s="1199"/>
      <c r="V22" s="73"/>
      <c r="W22" s="894"/>
      <c r="X22" s="1199"/>
      <c r="Y22" s="73"/>
      <c r="Z22" s="894"/>
      <c r="AA22" s="1199"/>
      <c r="AB22" s="73"/>
      <c r="AC22" s="894"/>
      <c r="AD22" s="1199"/>
      <c r="AE22" s="73"/>
      <c r="AF22" s="1112" t="e">
        <f t="shared" ref="AF22:AF72" ca="1" si="2">$F$5</f>
        <v>#NAME?</v>
      </c>
      <c r="AG22" s="1113">
        <f>SUM($B$9:B22)/($J$1-$B$4)*100</f>
        <v>10.346293119878025</v>
      </c>
      <c r="AH22" s="1110"/>
      <c r="AI22" s="238"/>
      <c r="AJ22" s="238"/>
      <c r="AK22" s="51" t="e">
        <f t="shared" si="0"/>
        <v>#DIV/0!</v>
      </c>
      <c r="AL22" s="51" t="e">
        <f t="shared" si="1"/>
        <v>#DIV/0!</v>
      </c>
    </row>
    <row r="23" spans="1:38" x14ac:dyDescent="0.25">
      <c r="A23" s="71"/>
      <c r="B23" s="72"/>
      <c r="C23" s="73"/>
      <c r="D23" s="147"/>
      <c r="E23" s="75"/>
      <c r="F23" s="73"/>
      <c r="G23" s="147"/>
      <c r="H23" s="75"/>
      <c r="I23" s="73"/>
      <c r="J23" s="234"/>
      <c r="K23" s="73"/>
      <c r="L23" s="1609">
        <v>44383</v>
      </c>
      <c r="M23" s="73">
        <v>8.4</v>
      </c>
      <c r="N23" s="894"/>
      <c r="O23" s="73"/>
      <c r="P23" s="71"/>
      <c r="Q23" s="73"/>
      <c r="R23" s="71"/>
      <c r="S23" s="73"/>
      <c r="T23" s="894"/>
      <c r="U23" s="1199"/>
      <c r="V23" s="73"/>
      <c r="W23" s="894"/>
      <c r="X23" s="1199"/>
      <c r="Y23" s="73"/>
      <c r="Z23" s="894"/>
      <c r="AA23" s="1199"/>
      <c r="AB23" s="73"/>
      <c r="AC23" s="894"/>
      <c r="AD23" s="1199"/>
      <c r="AE23" s="73"/>
      <c r="AF23" s="1112" t="e">
        <f t="shared" ca="1" si="2"/>
        <v>#NAME?</v>
      </c>
      <c r="AG23" s="1113">
        <f>SUM($B$9:B23)/($J$1-$B$4)*100</f>
        <v>10.346293119878025</v>
      </c>
      <c r="AH23" s="1110"/>
      <c r="AI23" s="238"/>
      <c r="AJ23" s="238"/>
      <c r="AK23" s="51" t="e">
        <f t="shared" si="0"/>
        <v>#DIV/0!</v>
      </c>
      <c r="AL23" s="51" t="e">
        <f t="shared" si="1"/>
        <v>#DIV/0!</v>
      </c>
    </row>
    <row r="24" spans="1:38" x14ac:dyDescent="0.25">
      <c r="A24" s="71"/>
      <c r="B24" s="72"/>
      <c r="C24" s="73"/>
      <c r="D24" s="147"/>
      <c r="E24" s="75"/>
      <c r="F24" s="73"/>
      <c r="G24" s="147"/>
      <c r="H24" s="75"/>
      <c r="I24" s="73"/>
      <c r="J24" s="234"/>
      <c r="K24" s="73"/>
      <c r="L24" s="1785">
        <v>44415</v>
      </c>
      <c r="M24" s="73">
        <v>8.4</v>
      </c>
      <c r="N24" s="894"/>
      <c r="O24" s="73"/>
      <c r="P24" s="71"/>
      <c r="Q24" s="73"/>
      <c r="R24" s="71"/>
      <c r="S24" s="73"/>
      <c r="T24" s="894"/>
      <c r="U24" s="1199"/>
      <c r="V24" s="73"/>
      <c r="W24" s="894"/>
      <c r="X24" s="1199"/>
      <c r="Y24" s="73"/>
      <c r="Z24" s="894"/>
      <c r="AA24" s="1199"/>
      <c r="AB24" s="73"/>
      <c r="AC24" s="894"/>
      <c r="AD24" s="1199"/>
      <c r="AE24" s="73"/>
      <c r="AF24" s="1112" t="e">
        <f t="shared" ca="1" si="2"/>
        <v>#NAME?</v>
      </c>
      <c r="AG24" s="1113">
        <f>SUM($B$9:B24)/($J$1-$B$4)*100</f>
        <v>10.346293119878025</v>
      </c>
      <c r="AH24" s="1110"/>
      <c r="AI24" s="238"/>
      <c r="AJ24" s="238"/>
      <c r="AK24" s="51" t="e">
        <f t="shared" si="0"/>
        <v>#DIV/0!</v>
      </c>
      <c r="AL24" s="51" t="e">
        <f t="shared" si="1"/>
        <v>#DIV/0!</v>
      </c>
    </row>
    <row r="25" spans="1:38" x14ac:dyDescent="0.25">
      <c r="A25" s="71"/>
      <c r="B25" s="72"/>
      <c r="C25" s="73"/>
      <c r="D25" s="147"/>
      <c r="E25" s="75"/>
      <c r="F25" s="73"/>
      <c r="G25" s="147"/>
      <c r="H25" s="75"/>
      <c r="I25" s="73"/>
      <c r="J25" s="234"/>
      <c r="K25" s="73"/>
      <c r="L25" s="1609">
        <v>44446</v>
      </c>
      <c r="M25" s="73">
        <v>8.4</v>
      </c>
      <c r="N25" s="894"/>
      <c r="O25" s="73"/>
      <c r="P25" s="71"/>
      <c r="Q25" s="73"/>
      <c r="R25" s="71"/>
      <c r="S25" s="73"/>
      <c r="T25" s="894"/>
      <c r="U25" s="1199"/>
      <c r="V25" s="73"/>
      <c r="W25" s="894"/>
      <c r="X25" s="1199"/>
      <c r="Y25" s="73"/>
      <c r="Z25" s="894"/>
      <c r="AA25" s="1199"/>
      <c r="AB25" s="73"/>
      <c r="AC25" s="894"/>
      <c r="AD25" s="1199"/>
      <c r="AE25" s="73"/>
      <c r="AF25" s="1112" t="e">
        <f t="shared" ca="1" si="2"/>
        <v>#NAME?</v>
      </c>
      <c r="AG25" s="1113">
        <f>SUM($B$9:B25)/($J$1-$B$4)*100</f>
        <v>10.346293119878025</v>
      </c>
      <c r="AH25" s="1110"/>
      <c r="AI25" s="238"/>
      <c r="AJ25" s="238"/>
      <c r="AK25" s="51" t="e">
        <f t="shared" si="0"/>
        <v>#DIV/0!</v>
      </c>
      <c r="AL25" s="51" t="e">
        <f t="shared" si="1"/>
        <v>#DIV/0!</v>
      </c>
    </row>
    <row r="26" spans="1:38" x14ac:dyDescent="0.25">
      <c r="A26" s="71"/>
      <c r="B26" s="72"/>
      <c r="C26" s="73"/>
      <c r="D26" s="147"/>
      <c r="E26" s="75"/>
      <c r="F26" s="73"/>
      <c r="G26" s="147"/>
      <c r="H26" s="75"/>
      <c r="I26" s="73"/>
      <c r="J26" s="234"/>
      <c r="K26" s="73"/>
      <c r="L26" s="1609">
        <v>44470</v>
      </c>
      <c r="M26" s="73">
        <v>8.4</v>
      </c>
      <c r="N26" s="894"/>
      <c r="O26" s="73"/>
      <c r="P26" s="71"/>
      <c r="Q26" s="73"/>
      <c r="R26" s="71"/>
      <c r="S26" s="73"/>
      <c r="T26" s="894"/>
      <c r="U26" s="1199"/>
      <c r="V26" s="73"/>
      <c r="W26" s="894"/>
      <c r="X26" s="1199"/>
      <c r="Y26" s="73"/>
      <c r="Z26" s="894"/>
      <c r="AA26" s="1199"/>
      <c r="AB26" s="73"/>
      <c r="AC26" s="894"/>
      <c r="AD26" s="1199"/>
      <c r="AE26" s="73"/>
      <c r="AF26" s="1112" t="e">
        <f t="shared" ca="1" si="2"/>
        <v>#NAME?</v>
      </c>
      <c r="AG26" s="1113">
        <f>SUM($B$9:B26)/($J$1-$B$4)*100</f>
        <v>10.346293119878025</v>
      </c>
      <c r="AH26" s="1110"/>
      <c r="AI26" s="238"/>
      <c r="AJ26" s="238"/>
      <c r="AK26" s="51" t="e">
        <f t="shared" si="0"/>
        <v>#DIV/0!</v>
      </c>
      <c r="AL26" s="51" t="e">
        <f t="shared" si="1"/>
        <v>#DIV/0!</v>
      </c>
    </row>
    <row r="27" spans="1:38" x14ac:dyDescent="0.25">
      <c r="A27" s="71"/>
      <c r="B27" s="72"/>
      <c r="C27" s="73"/>
      <c r="D27" s="147"/>
      <c r="E27" s="75"/>
      <c r="F27" s="73"/>
      <c r="G27" s="147"/>
      <c r="H27" s="75"/>
      <c r="I27" s="73"/>
      <c r="J27" s="234"/>
      <c r="K27" s="73"/>
      <c r="L27" s="1609">
        <v>44504</v>
      </c>
      <c r="M27" s="73">
        <v>8.4</v>
      </c>
      <c r="N27" s="894"/>
      <c r="O27" s="73"/>
      <c r="P27" s="71"/>
      <c r="Q27" s="73"/>
      <c r="R27" s="71"/>
      <c r="S27" s="73"/>
      <c r="T27" s="894"/>
      <c r="U27" s="1199"/>
      <c r="V27" s="73"/>
      <c r="W27" s="894"/>
      <c r="X27" s="1199"/>
      <c r="Y27" s="73"/>
      <c r="Z27" s="894"/>
      <c r="AA27" s="1199"/>
      <c r="AB27" s="73"/>
      <c r="AC27" s="894"/>
      <c r="AD27" s="1199"/>
      <c r="AE27" s="73"/>
      <c r="AF27" s="1112" t="e">
        <f t="shared" ca="1" si="2"/>
        <v>#NAME?</v>
      </c>
      <c r="AG27" s="1113">
        <f>SUM($B$9:B27)/($J$1-$B$4)*100</f>
        <v>10.346293119878025</v>
      </c>
      <c r="AH27" s="1110"/>
      <c r="AI27" s="238"/>
      <c r="AJ27" s="238"/>
      <c r="AK27" s="51" t="e">
        <f t="shared" si="0"/>
        <v>#DIV/0!</v>
      </c>
      <c r="AL27" s="51" t="e">
        <f t="shared" si="1"/>
        <v>#DIV/0!</v>
      </c>
    </row>
    <row r="28" spans="1:38" x14ac:dyDescent="0.25">
      <c r="A28" s="71"/>
      <c r="B28" s="72"/>
      <c r="C28" s="73"/>
      <c r="D28" s="147">
        <v>44599</v>
      </c>
      <c r="E28" s="346" t="s">
        <v>1544</v>
      </c>
      <c r="F28" s="73">
        <v>252.32</v>
      </c>
      <c r="G28" s="147"/>
      <c r="H28" s="75"/>
      <c r="I28" s="73"/>
      <c r="J28" s="234">
        <v>44551</v>
      </c>
      <c r="K28" s="73">
        <f>6.67*1.2</f>
        <v>8.0039999999999996</v>
      </c>
      <c r="L28" s="1609">
        <v>44531</v>
      </c>
      <c r="M28" s="73">
        <v>8.4</v>
      </c>
      <c r="N28" s="894"/>
      <c r="O28" s="73"/>
      <c r="P28" s="71"/>
      <c r="Q28" s="73"/>
      <c r="R28" s="71"/>
      <c r="S28" s="73"/>
      <c r="T28" s="894"/>
      <c r="U28" s="1199"/>
      <c r="V28" s="73"/>
      <c r="W28" s="894"/>
      <c r="X28" s="1199"/>
      <c r="Y28" s="73"/>
      <c r="Z28" s="894">
        <v>44562</v>
      </c>
      <c r="AA28" s="1199" t="s">
        <v>1541</v>
      </c>
      <c r="AB28" s="73">
        <v>102.8</v>
      </c>
      <c r="AC28" s="894"/>
      <c r="AD28" s="1199"/>
      <c r="AE28" s="73"/>
      <c r="AF28" s="1112" t="e">
        <f t="shared" ca="1" si="2"/>
        <v>#NAME?</v>
      </c>
      <c r="AG28" s="1113">
        <f>SUM($B$9:B28)/($J$1-$B$4)*100</f>
        <v>10.346293119878025</v>
      </c>
      <c r="AH28" s="1110"/>
      <c r="AI28" s="238"/>
      <c r="AJ28" s="238"/>
      <c r="AK28" s="51" t="e">
        <f t="shared" si="0"/>
        <v>#DIV/0!</v>
      </c>
      <c r="AL28" s="51" t="e">
        <f t="shared" si="1"/>
        <v>#DIV/0!</v>
      </c>
    </row>
    <row r="29" spans="1:38" x14ac:dyDescent="0.25">
      <c r="A29" s="71"/>
      <c r="B29" s="72"/>
      <c r="C29" s="73"/>
      <c r="D29" s="147"/>
      <c r="E29" s="75"/>
      <c r="F29" s="73"/>
      <c r="G29" s="147"/>
      <c r="H29" s="75"/>
      <c r="I29" s="73"/>
      <c r="J29" s="234"/>
      <c r="K29" s="73"/>
      <c r="L29" s="1609">
        <v>44565</v>
      </c>
      <c r="M29" s="73">
        <v>8.4</v>
      </c>
      <c r="N29" s="894"/>
      <c r="O29" s="73"/>
      <c r="P29" s="71"/>
      <c r="Q29" s="73"/>
      <c r="R29" s="71"/>
      <c r="S29" s="73"/>
      <c r="T29" s="894"/>
      <c r="U29" s="1199"/>
      <c r="V29" s="73"/>
      <c r="W29" s="894"/>
      <c r="X29" s="1199"/>
      <c r="Y29" s="73"/>
      <c r="Z29" s="894"/>
      <c r="AA29" s="1199"/>
      <c r="AB29" s="73"/>
      <c r="AC29" s="894"/>
      <c r="AD29" s="1199"/>
      <c r="AE29" s="73"/>
      <c r="AF29" s="1112" t="e">
        <f t="shared" ca="1" si="2"/>
        <v>#NAME?</v>
      </c>
      <c r="AG29" s="1113">
        <f>SUM($B$9:B29)/($J$1-$B$4)*100</f>
        <v>10.346293119878025</v>
      </c>
      <c r="AH29" s="1110"/>
      <c r="AI29" s="238"/>
      <c r="AJ29" s="238"/>
      <c r="AK29" s="51" t="e">
        <f t="shared" si="0"/>
        <v>#DIV/0!</v>
      </c>
      <c r="AL29" s="51" t="e">
        <f t="shared" si="1"/>
        <v>#DIV/0!</v>
      </c>
    </row>
    <row r="30" spans="1:38" x14ac:dyDescent="0.25">
      <c r="A30" s="71"/>
      <c r="B30" s="72"/>
      <c r="C30" s="73"/>
      <c r="D30" s="147"/>
      <c r="E30" s="75"/>
      <c r="F30" s="73"/>
      <c r="G30" s="147"/>
      <c r="H30" s="75"/>
      <c r="I30" s="73"/>
      <c r="J30" s="234"/>
      <c r="K30" s="73"/>
      <c r="L30" s="1609">
        <v>44594</v>
      </c>
      <c r="M30" s="73">
        <v>8.4</v>
      </c>
      <c r="N30" s="894"/>
      <c r="O30" s="73"/>
      <c r="P30" s="71"/>
      <c r="Q30" s="73"/>
      <c r="R30" s="71"/>
      <c r="S30" s="73"/>
      <c r="T30" s="894"/>
      <c r="U30" s="1199"/>
      <c r="V30" s="73"/>
      <c r="W30" s="894"/>
      <c r="X30" s="1199"/>
      <c r="Y30" s="73"/>
      <c r="Z30" s="894"/>
      <c r="AA30" s="1199"/>
      <c r="AB30" s="73"/>
      <c r="AC30" s="894"/>
      <c r="AD30" s="1199"/>
      <c r="AE30" s="73"/>
      <c r="AF30" s="1112" t="e">
        <f t="shared" ca="1" si="2"/>
        <v>#NAME?</v>
      </c>
      <c r="AG30" s="1113">
        <f>SUM($B$9:B30)/($J$1-$B$4)*100</f>
        <v>10.346293119878025</v>
      </c>
      <c r="AH30" s="1110"/>
      <c r="AI30" s="238"/>
      <c r="AJ30" s="238"/>
      <c r="AK30" s="51" t="e">
        <f t="shared" si="0"/>
        <v>#DIV/0!</v>
      </c>
      <c r="AL30" s="51" t="e">
        <f t="shared" si="1"/>
        <v>#DIV/0!</v>
      </c>
    </row>
    <row r="31" spans="1:38" x14ac:dyDescent="0.25">
      <c r="A31" s="71"/>
      <c r="B31" s="72"/>
      <c r="C31" s="73"/>
      <c r="D31" s="147"/>
      <c r="E31" s="75"/>
      <c r="F31" s="73"/>
      <c r="G31" s="147"/>
      <c r="H31" s="75"/>
      <c r="I31" s="73"/>
      <c r="J31" s="234"/>
      <c r="K31" s="73"/>
      <c r="L31" s="1609"/>
      <c r="M31" s="73"/>
      <c r="N31" s="894"/>
      <c r="O31" s="73"/>
      <c r="P31" s="71"/>
      <c r="Q31" s="73"/>
      <c r="R31" s="71"/>
      <c r="S31" s="73"/>
      <c r="T31" s="894"/>
      <c r="U31" s="1199"/>
      <c r="V31" s="73"/>
      <c r="W31" s="894"/>
      <c r="X31" s="1199"/>
      <c r="Y31" s="73"/>
      <c r="Z31" s="894"/>
      <c r="AA31" s="1199"/>
      <c r="AB31" s="73"/>
      <c r="AC31" s="894"/>
      <c r="AD31" s="1199"/>
      <c r="AE31" s="73"/>
      <c r="AF31" s="1112" t="e">
        <f t="shared" ca="1" si="2"/>
        <v>#NAME?</v>
      </c>
      <c r="AG31" s="1113">
        <f>SUM($B$9:B31)/($J$1-$B$4)*100</f>
        <v>10.346293119878025</v>
      </c>
      <c r="AH31" s="1110"/>
      <c r="AI31" s="238"/>
      <c r="AJ31" s="238"/>
      <c r="AK31" s="51" t="e">
        <f t="shared" si="0"/>
        <v>#DIV/0!</v>
      </c>
      <c r="AL31" s="51" t="e">
        <f t="shared" si="1"/>
        <v>#DIV/0!</v>
      </c>
    </row>
    <row r="32" spans="1:38" x14ac:dyDescent="0.25">
      <c r="A32" s="71"/>
      <c r="B32" s="72"/>
      <c r="C32" s="73"/>
      <c r="D32" s="147"/>
      <c r="E32" s="75"/>
      <c r="F32" s="73"/>
      <c r="G32" s="147"/>
      <c r="H32" s="75"/>
      <c r="I32" s="73"/>
      <c r="J32" s="234"/>
      <c r="K32" s="73"/>
      <c r="L32" s="1609"/>
      <c r="M32" s="73"/>
      <c r="N32" s="894"/>
      <c r="O32" s="73"/>
      <c r="P32" s="71"/>
      <c r="Q32" s="73"/>
      <c r="R32" s="71"/>
      <c r="S32" s="73"/>
      <c r="T32" s="894"/>
      <c r="U32" s="1199"/>
      <c r="V32" s="73"/>
      <c r="W32" s="894"/>
      <c r="X32" s="1199"/>
      <c r="Y32" s="73"/>
      <c r="Z32" s="894"/>
      <c r="AA32" s="1199"/>
      <c r="AB32" s="73"/>
      <c r="AC32" s="894"/>
      <c r="AD32" s="1199"/>
      <c r="AE32" s="73"/>
      <c r="AF32" s="1112" t="e">
        <f t="shared" ca="1" si="2"/>
        <v>#NAME?</v>
      </c>
      <c r="AG32" s="1113">
        <f>SUM($B$9:B32)/($J$1-$B$4)*100</f>
        <v>10.346293119878025</v>
      </c>
      <c r="AH32" s="1110"/>
      <c r="AI32" s="238"/>
      <c r="AJ32" s="238"/>
      <c r="AK32" s="51" t="e">
        <f t="shared" si="0"/>
        <v>#DIV/0!</v>
      </c>
      <c r="AL32" s="51" t="e">
        <f t="shared" si="1"/>
        <v>#DIV/0!</v>
      </c>
    </row>
    <row r="33" spans="1:38" x14ac:dyDescent="0.25">
      <c r="A33" s="71"/>
      <c r="B33" s="72"/>
      <c r="C33" s="73"/>
      <c r="D33" s="147"/>
      <c r="E33" s="75"/>
      <c r="F33" s="73"/>
      <c r="G33" s="147"/>
      <c r="H33" s="75"/>
      <c r="I33" s="73"/>
      <c r="J33" s="234"/>
      <c r="K33" s="73"/>
      <c r="L33" s="1609"/>
      <c r="M33" s="73"/>
      <c r="N33" s="894"/>
      <c r="O33" s="73"/>
      <c r="P33" s="71"/>
      <c r="Q33" s="73"/>
      <c r="R33" s="71"/>
      <c r="S33" s="73"/>
      <c r="T33" s="894"/>
      <c r="U33" s="1199"/>
      <c r="V33" s="73"/>
      <c r="W33" s="894"/>
      <c r="X33" s="1199"/>
      <c r="Y33" s="73"/>
      <c r="Z33" s="894"/>
      <c r="AA33" s="1199"/>
      <c r="AB33" s="73"/>
      <c r="AC33" s="894"/>
      <c r="AD33" s="1199"/>
      <c r="AE33" s="73"/>
      <c r="AF33" s="1112" t="e">
        <f t="shared" ca="1" si="2"/>
        <v>#NAME?</v>
      </c>
      <c r="AG33" s="1113">
        <f>SUM($B$9:B33)/($J$1-$B$4)*100</f>
        <v>10.346293119878025</v>
      </c>
      <c r="AH33" s="1110"/>
      <c r="AI33" s="238"/>
      <c r="AJ33" s="238"/>
      <c r="AK33" s="51" t="e">
        <f t="shared" si="0"/>
        <v>#DIV/0!</v>
      </c>
      <c r="AL33" s="51" t="e">
        <f t="shared" si="1"/>
        <v>#DIV/0!</v>
      </c>
    </row>
    <row r="34" spans="1:38" x14ac:dyDescent="0.25">
      <c r="A34" s="71"/>
      <c r="B34" s="72"/>
      <c r="C34" s="73"/>
      <c r="D34" s="147"/>
      <c r="E34" s="75"/>
      <c r="F34" s="73"/>
      <c r="G34" s="147"/>
      <c r="H34" s="75"/>
      <c r="I34" s="73"/>
      <c r="J34" s="234"/>
      <c r="K34" s="73"/>
      <c r="L34" s="1609"/>
      <c r="M34" s="73"/>
      <c r="N34" s="894"/>
      <c r="O34" s="73"/>
      <c r="P34" s="71"/>
      <c r="Q34" s="73"/>
      <c r="R34" s="71"/>
      <c r="S34" s="73"/>
      <c r="T34" s="894"/>
      <c r="U34" s="1199"/>
      <c r="V34" s="73"/>
      <c r="W34" s="894"/>
      <c r="X34" s="1199"/>
      <c r="Y34" s="73"/>
      <c r="Z34" s="894"/>
      <c r="AA34" s="1199"/>
      <c r="AB34" s="73"/>
      <c r="AC34" s="894"/>
      <c r="AD34" s="1199"/>
      <c r="AE34" s="73"/>
      <c r="AF34" s="1112" t="e">
        <f t="shared" ca="1" si="2"/>
        <v>#NAME?</v>
      </c>
      <c r="AG34" s="1113">
        <f>SUM($B$9:B34)/($J$1-$B$4)*100</f>
        <v>10.346293119878025</v>
      </c>
      <c r="AH34" s="1110"/>
      <c r="AI34" s="238"/>
      <c r="AJ34" s="238"/>
      <c r="AK34" s="51" t="e">
        <f t="shared" si="0"/>
        <v>#DIV/0!</v>
      </c>
      <c r="AL34" s="51" t="e">
        <f t="shared" si="1"/>
        <v>#DIV/0!</v>
      </c>
    </row>
    <row r="35" spans="1:38" x14ac:dyDescent="0.25">
      <c r="A35" s="71"/>
      <c r="B35" s="72"/>
      <c r="C35" s="73"/>
      <c r="D35" s="147"/>
      <c r="E35" s="75"/>
      <c r="F35" s="73"/>
      <c r="G35" s="147"/>
      <c r="H35" s="75"/>
      <c r="I35" s="73"/>
      <c r="J35" s="234"/>
      <c r="K35" s="73"/>
      <c r="L35" s="1609"/>
      <c r="M35" s="73"/>
      <c r="N35" s="894"/>
      <c r="O35" s="73"/>
      <c r="P35" s="71"/>
      <c r="Q35" s="73"/>
      <c r="R35" s="71"/>
      <c r="S35" s="73"/>
      <c r="T35" s="894"/>
      <c r="U35" s="1199"/>
      <c r="V35" s="73"/>
      <c r="W35" s="894"/>
      <c r="X35" s="1199"/>
      <c r="Y35" s="73"/>
      <c r="Z35" s="894"/>
      <c r="AA35" s="1199"/>
      <c r="AB35" s="73"/>
      <c r="AC35" s="894"/>
      <c r="AD35" s="1199"/>
      <c r="AE35" s="73"/>
      <c r="AF35" s="1112" t="e">
        <f t="shared" ca="1" si="2"/>
        <v>#NAME?</v>
      </c>
      <c r="AG35" s="1113">
        <f>SUM($B$9:B35)/($J$1-$B$4)*100</f>
        <v>10.346293119878025</v>
      </c>
      <c r="AH35" s="1110"/>
      <c r="AI35" s="238"/>
      <c r="AJ35" s="238"/>
      <c r="AK35" s="51" t="e">
        <f t="shared" si="0"/>
        <v>#DIV/0!</v>
      </c>
      <c r="AL35" s="51" t="e">
        <f t="shared" si="1"/>
        <v>#DIV/0!</v>
      </c>
    </row>
    <row r="36" spans="1:38" x14ac:dyDescent="0.25">
      <c r="A36" s="71"/>
      <c r="B36" s="72"/>
      <c r="C36" s="73"/>
      <c r="D36" s="147"/>
      <c r="E36" s="75"/>
      <c r="F36" s="73"/>
      <c r="G36" s="147"/>
      <c r="H36" s="75"/>
      <c r="I36" s="73"/>
      <c r="J36" s="234"/>
      <c r="K36" s="73"/>
      <c r="L36" s="1609"/>
      <c r="M36" s="73"/>
      <c r="N36" s="894"/>
      <c r="O36" s="73"/>
      <c r="P36" s="71"/>
      <c r="Q36" s="73"/>
      <c r="R36" s="71"/>
      <c r="S36" s="73"/>
      <c r="T36" s="894"/>
      <c r="U36" s="1199"/>
      <c r="V36" s="73"/>
      <c r="W36" s="894"/>
      <c r="X36" s="1199"/>
      <c r="Y36" s="73"/>
      <c r="Z36" s="894"/>
      <c r="AA36" s="1199"/>
      <c r="AB36" s="73"/>
      <c r="AC36" s="894"/>
      <c r="AD36" s="1199"/>
      <c r="AE36" s="73"/>
      <c r="AF36" s="1112" t="e">
        <f t="shared" ca="1" si="2"/>
        <v>#NAME?</v>
      </c>
      <c r="AG36" s="1113">
        <f>SUM($B$9:B36)/($J$1-$B$4)*100</f>
        <v>10.346293119878025</v>
      </c>
      <c r="AH36" s="1110"/>
      <c r="AI36" s="238"/>
      <c r="AJ36" s="238"/>
      <c r="AK36" s="51" t="e">
        <f t="shared" si="0"/>
        <v>#DIV/0!</v>
      </c>
      <c r="AL36" s="51" t="e">
        <f t="shared" si="1"/>
        <v>#DIV/0!</v>
      </c>
    </row>
    <row r="37" spans="1:38" x14ac:dyDescent="0.25">
      <c r="A37" s="71"/>
      <c r="B37" s="72"/>
      <c r="C37" s="73"/>
      <c r="D37" s="147"/>
      <c r="E37" s="75"/>
      <c r="F37" s="73"/>
      <c r="G37" s="147"/>
      <c r="H37" s="75"/>
      <c r="I37" s="73"/>
      <c r="J37" s="234"/>
      <c r="K37" s="73"/>
      <c r="L37" s="1609"/>
      <c r="M37" s="73"/>
      <c r="N37" s="894"/>
      <c r="O37" s="73"/>
      <c r="P37" s="71"/>
      <c r="Q37" s="73"/>
      <c r="R37" s="71"/>
      <c r="S37" s="73"/>
      <c r="T37" s="894"/>
      <c r="U37" s="1199"/>
      <c r="V37" s="73"/>
      <c r="W37" s="894"/>
      <c r="X37" s="1199"/>
      <c r="Y37" s="73"/>
      <c r="Z37" s="894"/>
      <c r="AA37" s="1199"/>
      <c r="AB37" s="73"/>
      <c r="AC37" s="894"/>
      <c r="AD37" s="1199"/>
      <c r="AE37" s="73"/>
      <c r="AF37" s="1112" t="e">
        <f t="shared" ca="1" si="2"/>
        <v>#NAME?</v>
      </c>
      <c r="AG37" s="1113">
        <f>SUM($B$9:B37)/($J$1-$B$4)*100</f>
        <v>10.346293119878025</v>
      </c>
      <c r="AH37" s="1110"/>
      <c r="AI37" s="238"/>
      <c r="AJ37" s="238"/>
      <c r="AK37" s="51" t="e">
        <f t="shared" si="0"/>
        <v>#DIV/0!</v>
      </c>
      <c r="AL37" s="51" t="e">
        <f t="shared" si="1"/>
        <v>#DIV/0!</v>
      </c>
    </row>
    <row r="38" spans="1:38" x14ac:dyDescent="0.25">
      <c r="A38" s="71"/>
      <c r="B38" s="72"/>
      <c r="C38" s="73"/>
      <c r="D38" s="147"/>
      <c r="E38" s="75"/>
      <c r="F38" s="73"/>
      <c r="G38" s="147"/>
      <c r="H38" s="75"/>
      <c r="I38" s="73"/>
      <c r="J38" s="234"/>
      <c r="K38" s="73"/>
      <c r="L38" s="1609"/>
      <c r="M38" s="73"/>
      <c r="N38" s="894"/>
      <c r="O38" s="73"/>
      <c r="P38" s="71"/>
      <c r="Q38" s="73"/>
      <c r="R38" s="71"/>
      <c r="S38" s="73"/>
      <c r="T38" s="894"/>
      <c r="U38" s="1199"/>
      <c r="V38" s="73"/>
      <c r="W38" s="894"/>
      <c r="X38" s="1199"/>
      <c r="Y38" s="73"/>
      <c r="Z38" s="894"/>
      <c r="AA38" s="1199"/>
      <c r="AB38" s="73"/>
      <c r="AC38" s="894"/>
      <c r="AD38" s="1199"/>
      <c r="AE38" s="73"/>
      <c r="AF38" s="1112" t="e">
        <f t="shared" ca="1" si="2"/>
        <v>#NAME?</v>
      </c>
      <c r="AG38" s="1113">
        <f>SUM($B$9:B38)/($J$1-$B$4)*100</f>
        <v>10.346293119878025</v>
      </c>
      <c r="AH38" s="1110"/>
      <c r="AI38" s="238"/>
      <c r="AJ38" s="238"/>
      <c r="AK38" s="51" t="e">
        <f t="shared" si="0"/>
        <v>#DIV/0!</v>
      </c>
      <c r="AL38" s="51" t="e">
        <f t="shared" si="1"/>
        <v>#DIV/0!</v>
      </c>
    </row>
    <row r="39" spans="1:38" x14ac:dyDescent="0.25">
      <c r="A39" s="71"/>
      <c r="B39" s="72"/>
      <c r="C39" s="73"/>
      <c r="D39" s="147"/>
      <c r="E39" s="75"/>
      <c r="F39" s="73"/>
      <c r="G39" s="147"/>
      <c r="H39" s="75"/>
      <c r="I39" s="73"/>
      <c r="J39" s="234"/>
      <c r="K39" s="73"/>
      <c r="L39" s="1609"/>
      <c r="M39" s="73"/>
      <c r="N39" s="894"/>
      <c r="O39" s="73"/>
      <c r="P39" s="71"/>
      <c r="Q39" s="73"/>
      <c r="R39" s="71"/>
      <c r="S39" s="73"/>
      <c r="T39" s="894"/>
      <c r="U39" s="1199"/>
      <c r="V39" s="73"/>
      <c r="W39" s="894"/>
      <c r="X39" s="1199"/>
      <c r="Y39" s="73"/>
      <c r="Z39" s="894"/>
      <c r="AA39" s="1199"/>
      <c r="AB39" s="73"/>
      <c r="AC39" s="894"/>
      <c r="AD39" s="1199"/>
      <c r="AE39" s="73"/>
      <c r="AF39" s="1112" t="e">
        <f t="shared" ca="1" si="2"/>
        <v>#NAME?</v>
      </c>
      <c r="AG39" s="1113">
        <f>SUM($B$9:B39)/($J$1-$B$4)*100</f>
        <v>10.346293119878025</v>
      </c>
      <c r="AH39" s="1110"/>
      <c r="AI39" s="238"/>
      <c r="AJ39" s="238"/>
      <c r="AK39" s="51" t="e">
        <f t="shared" si="0"/>
        <v>#DIV/0!</v>
      </c>
      <c r="AL39" s="51" t="e">
        <f t="shared" si="1"/>
        <v>#DIV/0!</v>
      </c>
    </row>
    <row r="40" spans="1:38" x14ac:dyDescent="0.25">
      <c r="A40" s="71"/>
      <c r="B40" s="72"/>
      <c r="C40" s="73"/>
      <c r="D40" s="147"/>
      <c r="E40" s="75"/>
      <c r="F40" s="73"/>
      <c r="G40" s="147"/>
      <c r="H40" s="75"/>
      <c r="I40" s="73"/>
      <c r="J40" s="234"/>
      <c r="K40" s="73"/>
      <c r="L40" s="1609"/>
      <c r="M40" s="73"/>
      <c r="N40" s="894"/>
      <c r="O40" s="73"/>
      <c r="P40" s="71"/>
      <c r="Q40" s="73"/>
      <c r="R40" s="71"/>
      <c r="S40" s="73"/>
      <c r="T40" s="894"/>
      <c r="U40" s="1199"/>
      <c r="V40" s="73"/>
      <c r="W40" s="894"/>
      <c r="X40" s="1199"/>
      <c r="Y40" s="73"/>
      <c r="Z40" s="894"/>
      <c r="AA40" s="1199"/>
      <c r="AB40" s="73"/>
      <c r="AC40" s="894"/>
      <c r="AD40" s="1199"/>
      <c r="AE40" s="73"/>
      <c r="AF40" s="1112" t="e">
        <f t="shared" ca="1" si="2"/>
        <v>#NAME?</v>
      </c>
      <c r="AG40" s="1113">
        <f>SUM($B$9:B40)/($J$1-$B$4)*100</f>
        <v>10.346293119878025</v>
      </c>
      <c r="AH40" s="1110"/>
      <c r="AI40" s="238"/>
      <c r="AJ40" s="238"/>
      <c r="AK40" s="51" t="e">
        <f t="shared" si="0"/>
        <v>#DIV/0!</v>
      </c>
      <c r="AL40" s="51" t="e">
        <f t="shared" si="1"/>
        <v>#DIV/0!</v>
      </c>
    </row>
    <row r="41" spans="1:38" x14ac:dyDescent="0.25">
      <c r="A41" s="71"/>
      <c r="B41" s="72"/>
      <c r="C41" s="73"/>
      <c r="D41" s="147"/>
      <c r="E41" s="75"/>
      <c r="F41" s="73"/>
      <c r="G41" s="147"/>
      <c r="H41" s="75"/>
      <c r="I41" s="73"/>
      <c r="J41" s="234"/>
      <c r="K41" s="73"/>
      <c r="L41" s="1609"/>
      <c r="M41" s="73"/>
      <c r="N41" s="894"/>
      <c r="O41" s="73"/>
      <c r="P41" s="71"/>
      <c r="Q41" s="73"/>
      <c r="R41" s="71"/>
      <c r="S41" s="73"/>
      <c r="T41" s="894"/>
      <c r="U41" s="1199"/>
      <c r="V41" s="73"/>
      <c r="W41" s="894"/>
      <c r="X41" s="1199"/>
      <c r="Y41" s="73"/>
      <c r="Z41" s="894"/>
      <c r="AA41" s="1199"/>
      <c r="AB41" s="73"/>
      <c r="AC41" s="894"/>
      <c r="AD41" s="1199"/>
      <c r="AE41" s="73"/>
      <c r="AF41" s="1112" t="e">
        <f t="shared" ca="1" si="2"/>
        <v>#NAME?</v>
      </c>
      <c r="AG41" s="1113">
        <f>SUM($B$9:B41)/($J$1-$B$4)*100</f>
        <v>10.346293119878025</v>
      </c>
      <c r="AH41" s="1110"/>
      <c r="AI41" s="238"/>
      <c r="AJ41" s="238"/>
      <c r="AK41" s="51" t="e">
        <f t="shared" si="0"/>
        <v>#DIV/0!</v>
      </c>
      <c r="AL41" s="51" t="e">
        <f t="shared" si="1"/>
        <v>#DIV/0!</v>
      </c>
    </row>
    <row r="42" spans="1:38" x14ac:dyDescent="0.25">
      <c r="A42" s="71"/>
      <c r="B42" s="72"/>
      <c r="C42" s="73"/>
      <c r="D42" s="147"/>
      <c r="E42" s="75"/>
      <c r="F42" s="73"/>
      <c r="G42" s="147"/>
      <c r="H42" s="75"/>
      <c r="I42" s="73"/>
      <c r="J42" s="234"/>
      <c r="K42" s="73"/>
      <c r="L42" s="1609"/>
      <c r="M42" s="73"/>
      <c r="N42" s="894"/>
      <c r="O42" s="73"/>
      <c r="P42" s="71"/>
      <c r="Q42" s="73"/>
      <c r="R42" s="71"/>
      <c r="S42" s="73"/>
      <c r="T42" s="894"/>
      <c r="U42" s="1199"/>
      <c r="V42" s="73"/>
      <c r="W42" s="894"/>
      <c r="X42" s="1199"/>
      <c r="Y42" s="73"/>
      <c r="Z42" s="894"/>
      <c r="AA42" s="1199"/>
      <c r="AB42" s="73"/>
      <c r="AC42" s="894"/>
      <c r="AD42" s="1199"/>
      <c r="AE42" s="73"/>
      <c r="AF42" s="1112" t="e">
        <f t="shared" ca="1" si="2"/>
        <v>#NAME?</v>
      </c>
      <c r="AG42" s="1113">
        <f>SUM($B$9:B42)/($J$1-$B$4)*100</f>
        <v>10.346293119878025</v>
      </c>
      <c r="AH42" s="1110"/>
      <c r="AI42" s="238"/>
      <c r="AJ42" s="238"/>
      <c r="AK42" s="51" t="e">
        <f t="shared" si="0"/>
        <v>#DIV/0!</v>
      </c>
      <c r="AL42" s="51" t="e">
        <f t="shared" si="1"/>
        <v>#DIV/0!</v>
      </c>
    </row>
    <row r="43" spans="1:38" x14ac:dyDescent="0.25">
      <c r="A43" s="71"/>
      <c r="B43" s="72"/>
      <c r="C43" s="73"/>
      <c r="D43" s="147"/>
      <c r="E43" s="75"/>
      <c r="F43" s="73"/>
      <c r="G43" s="147"/>
      <c r="H43" s="75"/>
      <c r="I43" s="73"/>
      <c r="J43" s="234"/>
      <c r="K43" s="73"/>
      <c r="L43" s="1609"/>
      <c r="M43" s="73"/>
      <c r="N43" s="894"/>
      <c r="O43" s="73"/>
      <c r="P43" s="71"/>
      <c r="Q43" s="73"/>
      <c r="R43" s="71"/>
      <c r="S43" s="73"/>
      <c r="T43" s="894"/>
      <c r="U43" s="1199"/>
      <c r="V43" s="73"/>
      <c r="W43" s="894"/>
      <c r="X43" s="1199"/>
      <c r="Y43" s="73"/>
      <c r="Z43" s="894"/>
      <c r="AA43" s="1199"/>
      <c r="AB43" s="73"/>
      <c r="AC43" s="894"/>
      <c r="AD43" s="1199"/>
      <c r="AE43" s="73"/>
      <c r="AF43" s="1112" t="e">
        <f t="shared" ca="1" si="2"/>
        <v>#NAME?</v>
      </c>
      <c r="AG43" s="1113">
        <f>SUM($B$9:B43)/($J$1-$B$4)*100</f>
        <v>10.346293119878025</v>
      </c>
      <c r="AH43" s="1110"/>
      <c r="AI43" s="238"/>
      <c r="AJ43" s="238"/>
      <c r="AK43" s="51" t="e">
        <f t="shared" si="0"/>
        <v>#DIV/0!</v>
      </c>
      <c r="AL43" s="51" t="e">
        <f t="shared" si="1"/>
        <v>#DIV/0!</v>
      </c>
    </row>
    <row r="44" spans="1:38" x14ac:dyDescent="0.25">
      <c r="A44" s="71"/>
      <c r="B44" s="72"/>
      <c r="C44" s="73"/>
      <c r="D44" s="147"/>
      <c r="E44" s="75"/>
      <c r="F44" s="73"/>
      <c r="G44" s="147"/>
      <c r="H44" s="75"/>
      <c r="I44" s="73"/>
      <c r="J44" s="234"/>
      <c r="K44" s="73"/>
      <c r="L44" s="1609"/>
      <c r="M44" s="73"/>
      <c r="N44" s="894"/>
      <c r="O44" s="73"/>
      <c r="P44" s="71"/>
      <c r="Q44" s="73"/>
      <c r="R44" s="71"/>
      <c r="S44" s="73"/>
      <c r="T44" s="894"/>
      <c r="U44" s="1199"/>
      <c r="V44" s="73"/>
      <c r="W44" s="894"/>
      <c r="X44" s="1199"/>
      <c r="Y44" s="73"/>
      <c r="Z44" s="894"/>
      <c r="AA44" s="1199"/>
      <c r="AB44" s="73"/>
      <c r="AC44" s="894"/>
      <c r="AD44" s="1199"/>
      <c r="AE44" s="73"/>
      <c r="AF44" s="1112" t="e">
        <f t="shared" ca="1" si="2"/>
        <v>#NAME?</v>
      </c>
      <c r="AG44" s="1113">
        <f>SUM($B$9:B44)/($J$1-$B$4)*100</f>
        <v>10.346293119878025</v>
      </c>
      <c r="AH44" s="1110"/>
      <c r="AI44" s="238"/>
      <c r="AJ44" s="238"/>
      <c r="AK44" s="51" t="e">
        <f t="shared" si="0"/>
        <v>#DIV/0!</v>
      </c>
      <c r="AL44" s="51" t="e">
        <f t="shared" si="1"/>
        <v>#DIV/0!</v>
      </c>
    </row>
    <row r="45" spans="1:38" x14ac:dyDescent="0.25">
      <c r="A45" s="71"/>
      <c r="B45" s="72"/>
      <c r="C45" s="73"/>
      <c r="D45" s="147"/>
      <c r="E45" s="75"/>
      <c r="F45" s="73"/>
      <c r="G45" s="147"/>
      <c r="H45" s="75"/>
      <c r="I45" s="73"/>
      <c r="J45" s="234"/>
      <c r="K45" s="73"/>
      <c r="L45" s="1609"/>
      <c r="M45" s="73"/>
      <c r="N45" s="894"/>
      <c r="O45" s="73"/>
      <c r="P45" s="71"/>
      <c r="Q45" s="73"/>
      <c r="R45" s="71"/>
      <c r="S45" s="73"/>
      <c r="T45" s="894"/>
      <c r="U45" s="1199"/>
      <c r="V45" s="73"/>
      <c r="W45" s="894"/>
      <c r="X45" s="1199"/>
      <c r="Y45" s="73"/>
      <c r="Z45" s="894"/>
      <c r="AA45" s="1199"/>
      <c r="AB45" s="73"/>
      <c r="AC45" s="894"/>
      <c r="AD45" s="1199"/>
      <c r="AE45" s="73"/>
      <c r="AF45" s="1112" t="e">
        <f t="shared" ca="1" si="2"/>
        <v>#NAME?</v>
      </c>
      <c r="AG45" s="1113">
        <f>SUM($B$9:B45)/($J$1-$B$4)*100</f>
        <v>10.346293119878025</v>
      </c>
      <c r="AH45" s="1110"/>
      <c r="AI45" s="238"/>
      <c r="AJ45" s="238"/>
      <c r="AK45" s="51" t="e">
        <f t="shared" si="0"/>
        <v>#DIV/0!</v>
      </c>
      <c r="AL45" s="51" t="e">
        <f t="shared" si="1"/>
        <v>#DIV/0!</v>
      </c>
    </row>
    <row r="46" spans="1:38" x14ac:dyDescent="0.25">
      <c r="A46" s="71"/>
      <c r="B46" s="72"/>
      <c r="C46" s="73"/>
      <c r="D46" s="147"/>
      <c r="E46" s="75"/>
      <c r="F46" s="73"/>
      <c r="G46" s="147"/>
      <c r="H46" s="75"/>
      <c r="I46" s="73"/>
      <c r="J46" s="234"/>
      <c r="K46" s="73"/>
      <c r="L46" s="1609"/>
      <c r="M46" s="73"/>
      <c r="N46" s="894"/>
      <c r="O46" s="73"/>
      <c r="P46" s="71"/>
      <c r="Q46" s="73"/>
      <c r="R46" s="71"/>
      <c r="S46" s="73"/>
      <c r="T46" s="894"/>
      <c r="U46" s="1199"/>
      <c r="V46" s="73"/>
      <c r="W46" s="894"/>
      <c r="X46" s="1199"/>
      <c r="Y46" s="73"/>
      <c r="Z46" s="894"/>
      <c r="AA46" s="1199"/>
      <c r="AB46" s="73"/>
      <c r="AC46" s="894"/>
      <c r="AD46" s="1199"/>
      <c r="AE46" s="73"/>
      <c r="AF46" s="1112" t="e">
        <f t="shared" ca="1" si="2"/>
        <v>#NAME?</v>
      </c>
      <c r="AG46" s="1113">
        <f>SUM($B$9:B46)/($J$1-$B$4)*100</f>
        <v>10.346293119878025</v>
      </c>
      <c r="AH46" s="1110"/>
      <c r="AI46" s="238"/>
      <c r="AJ46" s="238"/>
      <c r="AK46" s="51" t="e">
        <f t="shared" si="0"/>
        <v>#DIV/0!</v>
      </c>
      <c r="AL46" s="51" t="e">
        <f t="shared" si="1"/>
        <v>#DIV/0!</v>
      </c>
    </row>
    <row r="47" spans="1:38" x14ac:dyDescent="0.25">
      <c r="A47" s="71"/>
      <c r="B47" s="72"/>
      <c r="C47" s="73"/>
      <c r="D47" s="147"/>
      <c r="E47" s="75"/>
      <c r="F47" s="73"/>
      <c r="G47" s="147"/>
      <c r="H47" s="75"/>
      <c r="I47" s="73"/>
      <c r="J47" s="234"/>
      <c r="K47" s="73"/>
      <c r="L47" s="1609"/>
      <c r="M47" s="73"/>
      <c r="N47" s="894"/>
      <c r="O47" s="73"/>
      <c r="P47" s="71"/>
      <c r="Q47" s="73"/>
      <c r="R47" s="71"/>
      <c r="S47" s="73"/>
      <c r="T47" s="894"/>
      <c r="U47" s="1199"/>
      <c r="V47" s="73"/>
      <c r="W47" s="894"/>
      <c r="X47" s="1199"/>
      <c r="Y47" s="73"/>
      <c r="Z47" s="894"/>
      <c r="AA47" s="1199"/>
      <c r="AB47" s="73"/>
      <c r="AC47" s="894"/>
      <c r="AD47" s="1199"/>
      <c r="AE47" s="73"/>
      <c r="AF47" s="1112" t="e">
        <f t="shared" ca="1" si="2"/>
        <v>#NAME?</v>
      </c>
      <c r="AG47" s="1113">
        <f>SUM($B$9:B47)/($J$1-$B$4)*100</f>
        <v>10.346293119878025</v>
      </c>
      <c r="AH47" s="1110"/>
      <c r="AI47" s="238"/>
      <c r="AJ47" s="238"/>
      <c r="AK47" s="51" t="e">
        <f t="shared" si="0"/>
        <v>#DIV/0!</v>
      </c>
      <c r="AL47" s="51" t="e">
        <f t="shared" si="1"/>
        <v>#DIV/0!</v>
      </c>
    </row>
    <row r="48" spans="1:38" x14ac:dyDescent="0.25">
      <c r="A48" s="71"/>
      <c r="B48" s="72"/>
      <c r="C48" s="73"/>
      <c r="D48" s="147"/>
      <c r="E48" s="75"/>
      <c r="F48" s="73"/>
      <c r="G48" s="147"/>
      <c r="H48" s="75"/>
      <c r="I48" s="73"/>
      <c r="J48" s="234"/>
      <c r="K48" s="73"/>
      <c r="L48" s="1609"/>
      <c r="M48" s="73"/>
      <c r="N48" s="894"/>
      <c r="O48" s="73"/>
      <c r="P48" s="71"/>
      <c r="Q48" s="73"/>
      <c r="R48" s="71"/>
      <c r="S48" s="73"/>
      <c r="T48" s="894"/>
      <c r="U48" s="1199"/>
      <c r="V48" s="73"/>
      <c r="W48" s="894"/>
      <c r="X48" s="1199"/>
      <c r="Y48" s="73"/>
      <c r="Z48" s="894"/>
      <c r="AA48" s="1199"/>
      <c r="AB48" s="73"/>
      <c r="AC48" s="894"/>
      <c r="AD48" s="1199"/>
      <c r="AE48" s="73"/>
      <c r="AF48" s="1112" t="e">
        <f t="shared" ca="1" si="2"/>
        <v>#NAME?</v>
      </c>
      <c r="AG48" s="1113">
        <f>SUM($B$9:B48)/($J$1-$B$4)*100</f>
        <v>10.346293119878025</v>
      </c>
      <c r="AH48" s="1110"/>
      <c r="AI48" s="238"/>
      <c r="AJ48" s="238"/>
      <c r="AK48" s="51" t="e">
        <f t="shared" si="0"/>
        <v>#DIV/0!</v>
      </c>
      <c r="AL48" s="51" t="e">
        <f t="shared" si="1"/>
        <v>#DIV/0!</v>
      </c>
    </row>
    <row r="49" spans="1:38" x14ac:dyDescent="0.25">
      <c r="A49" s="71"/>
      <c r="B49" s="72"/>
      <c r="C49" s="73"/>
      <c r="D49" s="147"/>
      <c r="E49" s="75"/>
      <c r="F49" s="73"/>
      <c r="G49" s="147"/>
      <c r="H49" s="75"/>
      <c r="I49" s="73"/>
      <c r="J49" s="234"/>
      <c r="K49" s="73"/>
      <c r="L49" s="1609"/>
      <c r="M49" s="73"/>
      <c r="N49" s="894"/>
      <c r="O49" s="73"/>
      <c r="P49" s="71"/>
      <c r="Q49" s="73"/>
      <c r="R49" s="71"/>
      <c r="S49" s="73"/>
      <c r="T49" s="894"/>
      <c r="U49" s="1199"/>
      <c r="V49" s="73"/>
      <c r="W49" s="894"/>
      <c r="X49" s="1199"/>
      <c r="Y49" s="73"/>
      <c r="Z49" s="894"/>
      <c r="AA49" s="1199"/>
      <c r="AB49" s="73"/>
      <c r="AC49" s="894"/>
      <c r="AD49" s="1199"/>
      <c r="AE49" s="73"/>
      <c r="AF49" s="1112" t="e">
        <f t="shared" ca="1" si="2"/>
        <v>#NAME?</v>
      </c>
      <c r="AG49" s="1113">
        <f>SUM($B$9:B49)/($J$1-$B$4)*100</f>
        <v>10.346293119878025</v>
      </c>
      <c r="AH49" s="1110"/>
      <c r="AI49" s="238"/>
      <c r="AJ49" s="238"/>
      <c r="AK49" s="51" t="e">
        <f t="shared" si="0"/>
        <v>#DIV/0!</v>
      </c>
      <c r="AL49" s="51" t="e">
        <f t="shared" si="1"/>
        <v>#DIV/0!</v>
      </c>
    </row>
    <row r="50" spans="1:38" x14ac:dyDescent="0.25">
      <c r="A50" s="71"/>
      <c r="B50" s="72"/>
      <c r="C50" s="73"/>
      <c r="D50" s="147"/>
      <c r="E50" s="75"/>
      <c r="F50" s="73"/>
      <c r="G50" s="147"/>
      <c r="H50" s="75"/>
      <c r="I50" s="73"/>
      <c r="J50" s="234"/>
      <c r="K50" s="73"/>
      <c r="L50" s="1609"/>
      <c r="M50" s="73"/>
      <c r="N50" s="894"/>
      <c r="O50" s="73"/>
      <c r="P50" s="71"/>
      <c r="Q50" s="73"/>
      <c r="R50" s="71"/>
      <c r="S50" s="73"/>
      <c r="T50" s="894"/>
      <c r="U50" s="1199"/>
      <c r="V50" s="73"/>
      <c r="W50" s="894"/>
      <c r="X50" s="1199"/>
      <c r="Y50" s="73"/>
      <c r="Z50" s="894"/>
      <c r="AA50" s="1199"/>
      <c r="AB50" s="73"/>
      <c r="AC50" s="894"/>
      <c r="AD50" s="1199"/>
      <c r="AE50" s="73"/>
      <c r="AF50" s="1112" t="e">
        <f t="shared" ca="1" si="2"/>
        <v>#NAME?</v>
      </c>
      <c r="AG50" s="1113">
        <f>SUM($B$9:B50)/($J$1-$B$4)*100</f>
        <v>10.346293119878025</v>
      </c>
      <c r="AH50" s="1110"/>
      <c r="AI50" s="238"/>
      <c r="AJ50" s="238"/>
      <c r="AK50" s="51" t="e">
        <f t="shared" si="0"/>
        <v>#DIV/0!</v>
      </c>
      <c r="AL50" s="51" t="e">
        <f t="shared" si="1"/>
        <v>#DIV/0!</v>
      </c>
    </row>
    <row r="51" spans="1:38" x14ac:dyDescent="0.25">
      <c r="A51" s="71"/>
      <c r="B51" s="72"/>
      <c r="C51" s="73"/>
      <c r="D51" s="147"/>
      <c r="E51" s="75"/>
      <c r="F51" s="73"/>
      <c r="G51" s="147"/>
      <c r="H51" s="75"/>
      <c r="I51" s="73"/>
      <c r="J51" s="234"/>
      <c r="K51" s="73"/>
      <c r="L51" s="1609"/>
      <c r="M51" s="73"/>
      <c r="N51" s="894"/>
      <c r="O51" s="73"/>
      <c r="P51" s="71"/>
      <c r="Q51" s="73"/>
      <c r="R51" s="71"/>
      <c r="S51" s="73"/>
      <c r="T51" s="894"/>
      <c r="U51" s="1199"/>
      <c r="V51" s="73"/>
      <c r="W51" s="894"/>
      <c r="X51" s="1199"/>
      <c r="Y51" s="73"/>
      <c r="Z51" s="894"/>
      <c r="AA51" s="1199"/>
      <c r="AB51" s="73"/>
      <c r="AC51" s="894"/>
      <c r="AD51" s="1199"/>
      <c r="AE51" s="73"/>
      <c r="AF51" s="1112" t="e">
        <f t="shared" ca="1" si="2"/>
        <v>#NAME?</v>
      </c>
      <c r="AG51" s="1113">
        <f>SUM($B$9:B51)/($J$1-$B$4)*100</f>
        <v>10.346293119878025</v>
      </c>
      <c r="AH51" s="1110"/>
      <c r="AI51" s="238"/>
      <c r="AJ51" s="238"/>
      <c r="AK51" s="51" t="e">
        <f t="shared" si="0"/>
        <v>#DIV/0!</v>
      </c>
      <c r="AL51" s="51" t="e">
        <f t="shared" si="1"/>
        <v>#DIV/0!</v>
      </c>
    </row>
    <row r="52" spans="1:38" x14ac:dyDescent="0.25">
      <c r="A52" s="71"/>
      <c r="B52" s="72"/>
      <c r="C52" s="73"/>
      <c r="D52" s="147"/>
      <c r="E52" s="75"/>
      <c r="F52" s="73"/>
      <c r="G52" s="147"/>
      <c r="H52" s="75"/>
      <c r="I52" s="73"/>
      <c r="J52" s="234"/>
      <c r="K52" s="73"/>
      <c r="L52" s="1609"/>
      <c r="M52" s="73"/>
      <c r="N52" s="894"/>
      <c r="O52" s="73"/>
      <c r="P52" s="71"/>
      <c r="Q52" s="73"/>
      <c r="R52" s="71"/>
      <c r="S52" s="73"/>
      <c r="T52" s="894"/>
      <c r="U52" s="1199"/>
      <c r="V52" s="73"/>
      <c r="W52" s="894"/>
      <c r="X52" s="1199"/>
      <c r="Y52" s="73"/>
      <c r="Z52" s="894"/>
      <c r="AA52" s="1199"/>
      <c r="AB52" s="73"/>
      <c r="AC52" s="894"/>
      <c r="AD52" s="1199"/>
      <c r="AE52" s="73"/>
      <c r="AF52" s="1112" t="e">
        <f t="shared" ca="1" si="2"/>
        <v>#NAME?</v>
      </c>
      <c r="AG52" s="1113">
        <f>SUM($B$9:B52)/($J$1-$B$4)*100</f>
        <v>10.346293119878025</v>
      </c>
      <c r="AH52" s="1110"/>
      <c r="AI52" s="238"/>
      <c r="AJ52" s="238"/>
      <c r="AK52" s="51" t="e">
        <f t="shared" si="0"/>
        <v>#DIV/0!</v>
      </c>
      <c r="AL52" s="51" t="e">
        <f t="shared" si="1"/>
        <v>#DIV/0!</v>
      </c>
    </row>
    <row r="53" spans="1:38" x14ac:dyDescent="0.25">
      <c r="A53" s="71"/>
      <c r="B53" s="72"/>
      <c r="C53" s="73"/>
      <c r="D53" s="147"/>
      <c r="E53" s="75"/>
      <c r="F53" s="73"/>
      <c r="G53" s="147"/>
      <c r="H53" s="75"/>
      <c r="I53" s="73"/>
      <c r="J53" s="234"/>
      <c r="K53" s="73"/>
      <c r="L53" s="1609"/>
      <c r="M53" s="73"/>
      <c r="N53" s="894"/>
      <c r="O53" s="73"/>
      <c r="P53" s="71"/>
      <c r="Q53" s="73"/>
      <c r="R53" s="71"/>
      <c r="S53" s="73"/>
      <c r="T53" s="894"/>
      <c r="U53" s="1199"/>
      <c r="V53" s="73"/>
      <c r="W53" s="894"/>
      <c r="X53" s="1199"/>
      <c r="Y53" s="73"/>
      <c r="Z53" s="894"/>
      <c r="AA53" s="1199"/>
      <c r="AB53" s="73"/>
      <c r="AC53" s="894"/>
      <c r="AD53" s="1199"/>
      <c r="AE53" s="73"/>
      <c r="AF53" s="1112" t="e">
        <f t="shared" ca="1" si="2"/>
        <v>#NAME?</v>
      </c>
      <c r="AG53" s="1113">
        <f>SUM($B$9:B53)/($J$1-$B$4)*100</f>
        <v>10.346293119878025</v>
      </c>
      <c r="AH53" s="1110"/>
      <c r="AI53" s="238"/>
      <c r="AJ53" s="238"/>
      <c r="AK53" s="51" t="e">
        <f t="shared" si="0"/>
        <v>#DIV/0!</v>
      </c>
      <c r="AL53" s="51" t="e">
        <f t="shared" si="1"/>
        <v>#DIV/0!</v>
      </c>
    </row>
    <row r="54" spans="1:38" x14ac:dyDescent="0.25">
      <c r="A54" s="71"/>
      <c r="B54" s="72"/>
      <c r="C54" s="73"/>
      <c r="D54" s="147"/>
      <c r="E54" s="75"/>
      <c r="F54" s="73"/>
      <c r="G54" s="147"/>
      <c r="H54" s="75"/>
      <c r="I54" s="73"/>
      <c r="J54" s="234"/>
      <c r="K54" s="73"/>
      <c r="L54" s="1609"/>
      <c r="M54" s="73"/>
      <c r="N54" s="894"/>
      <c r="O54" s="73"/>
      <c r="P54" s="71"/>
      <c r="Q54" s="73"/>
      <c r="R54" s="71"/>
      <c r="S54" s="73"/>
      <c r="T54" s="894"/>
      <c r="U54" s="1199"/>
      <c r="V54" s="73"/>
      <c r="W54" s="894"/>
      <c r="X54" s="1199"/>
      <c r="Y54" s="73"/>
      <c r="Z54" s="894"/>
      <c r="AA54" s="1199"/>
      <c r="AB54" s="73"/>
      <c r="AC54" s="894"/>
      <c r="AD54" s="1199"/>
      <c r="AE54" s="73"/>
      <c r="AF54" s="1112" t="e">
        <f t="shared" ca="1" si="2"/>
        <v>#NAME?</v>
      </c>
      <c r="AG54" s="1113">
        <f>SUM($B$9:B54)/($J$1-$B$4)*100</f>
        <v>10.346293119878025</v>
      </c>
      <c r="AH54" s="1110"/>
      <c r="AI54" s="238"/>
      <c r="AJ54" s="238"/>
      <c r="AK54" s="51" t="e">
        <f t="shared" si="0"/>
        <v>#DIV/0!</v>
      </c>
      <c r="AL54" s="51" t="e">
        <f t="shared" si="1"/>
        <v>#DIV/0!</v>
      </c>
    </row>
    <row r="55" spans="1:38" x14ac:dyDescent="0.25">
      <c r="A55" s="71"/>
      <c r="B55" s="72"/>
      <c r="C55" s="73"/>
      <c r="D55" s="147"/>
      <c r="E55" s="75"/>
      <c r="F55" s="73"/>
      <c r="G55" s="147"/>
      <c r="H55" s="75"/>
      <c r="I55" s="73"/>
      <c r="J55" s="234"/>
      <c r="K55" s="73"/>
      <c r="L55" s="1609"/>
      <c r="M55" s="73"/>
      <c r="N55" s="894"/>
      <c r="O55" s="73"/>
      <c r="P55" s="71"/>
      <c r="Q55" s="73"/>
      <c r="R55" s="71"/>
      <c r="S55" s="73"/>
      <c r="T55" s="894"/>
      <c r="U55" s="1199"/>
      <c r="V55" s="73"/>
      <c r="W55" s="894"/>
      <c r="X55" s="1199"/>
      <c r="Y55" s="73"/>
      <c r="Z55" s="894"/>
      <c r="AA55" s="1199"/>
      <c r="AB55" s="73"/>
      <c r="AC55" s="894"/>
      <c r="AD55" s="1199"/>
      <c r="AE55" s="73"/>
      <c r="AF55" s="1112" t="e">
        <f t="shared" ca="1" si="2"/>
        <v>#NAME?</v>
      </c>
      <c r="AG55" s="1113">
        <f>SUM($B$9:B55)/($J$1-$B$4)*100</f>
        <v>10.346293119878025</v>
      </c>
      <c r="AH55" s="1110"/>
      <c r="AI55" s="238"/>
      <c r="AJ55" s="238"/>
      <c r="AK55" s="51" t="e">
        <f t="shared" si="0"/>
        <v>#DIV/0!</v>
      </c>
      <c r="AL55" s="51" t="e">
        <f t="shared" si="1"/>
        <v>#DIV/0!</v>
      </c>
    </row>
    <row r="56" spans="1:38" x14ac:dyDescent="0.25">
      <c r="A56" s="71"/>
      <c r="B56" s="72"/>
      <c r="C56" s="73"/>
      <c r="D56" s="147"/>
      <c r="E56" s="75"/>
      <c r="F56" s="73"/>
      <c r="G56" s="147"/>
      <c r="H56" s="75"/>
      <c r="I56" s="73"/>
      <c r="J56" s="234"/>
      <c r="K56" s="73"/>
      <c r="L56" s="1609"/>
      <c r="M56" s="73"/>
      <c r="N56" s="894"/>
      <c r="O56" s="73"/>
      <c r="P56" s="71"/>
      <c r="Q56" s="73"/>
      <c r="R56" s="71"/>
      <c r="S56" s="73"/>
      <c r="T56" s="894"/>
      <c r="U56" s="1199"/>
      <c r="V56" s="73"/>
      <c r="W56" s="894"/>
      <c r="X56" s="1199"/>
      <c r="Y56" s="73"/>
      <c r="Z56" s="894"/>
      <c r="AA56" s="1199"/>
      <c r="AB56" s="73"/>
      <c r="AC56" s="894"/>
      <c r="AD56" s="1199"/>
      <c r="AE56" s="73"/>
      <c r="AF56" s="1112" t="e">
        <f t="shared" ca="1" si="2"/>
        <v>#NAME?</v>
      </c>
      <c r="AG56" s="1113">
        <f>SUM($B$9:B56)/($J$1-$B$4)*100</f>
        <v>10.346293119878025</v>
      </c>
      <c r="AH56" s="1110"/>
      <c r="AI56" s="238"/>
      <c r="AJ56" s="238"/>
      <c r="AK56" s="51" t="e">
        <f t="shared" si="0"/>
        <v>#DIV/0!</v>
      </c>
      <c r="AL56" s="51" t="e">
        <f t="shared" si="1"/>
        <v>#DIV/0!</v>
      </c>
    </row>
    <row r="57" spans="1:38" x14ac:dyDescent="0.25">
      <c r="A57" s="71"/>
      <c r="B57" s="72"/>
      <c r="C57" s="73"/>
      <c r="D57" s="147"/>
      <c r="E57" s="75"/>
      <c r="F57" s="73"/>
      <c r="G57" s="147"/>
      <c r="H57" s="75"/>
      <c r="I57" s="73"/>
      <c r="J57" s="234"/>
      <c r="K57" s="73"/>
      <c r="L57" s="1609"/>
      <c r="M57" s="73"/>
      <c r="N57" s="894"/>
      <c r="O57" s="73"/>
      <c r="P57" s="71"/>
      <c r="Q57" s="73"/>
      <c r="R57" s="71"/>
      <c r="S57" s="73"/>
      <c r="T57" s="894"/>
      <c r="U57" s="1199"/>
      <c r="V57" s="73"/>
      <c r="W57" s="894"/>
      <c r="X57" s="1199"/>
      <c r="Y57" s="73"/>
      <c r="Z57" s="894"/>
      <c r="AA57" s="1199"/>
      <c r="AB57" s="73"/>
      <c r="AC57" s="894"/>
      <c r="AD57" s="1199"/>
      <c r="AE57" s="73"/>
      <c r="AF57" s="1112" t="e">
        <f t="shared" ca="1" si="2"/>
        <v>#NAME?</v>
      </c>
      <c r="AG57" s="1113">
        <f>SUM($B$9:B57)/($J$1-$B$4)*100</f>
        <v>10.346293119878025</v>
      </c>
      <c r="AH57" s="1110"/>
      <c r="AI57" s="238"/>
      <c r="AJ57" s="238"/>
      <c r="AK57" s="51" t="e">
        <f t="shared" si="0"/>
        <v>#DIV/0!</v>
      </c>
      <c r="AL57" s="51" t="e">
        <f t="shared" si="1"/>
        <v>#DIV/0!</v>
      </c>
    </row>
    <row r="58" spans="1:38" x14ac:dyDescent="0.25">
      <c r="A58" s="71"/>
      <c r="B58" s="72"/>
      <c r="C58" s="73"/>
      <c r="D58" s="147"/>
      <c r="E58" s="75"/>
      <c r="F58" s="73"/>
      <c r="G58" s="147"/>
      <c r="H58" s="75"/>
      <c r="I58" s="73"/>
      <c r="J58" s="234"/>
      <c r="K58" s="73"/>
      <c r="L58" s="1609"/>
      <c r="M58" s="73"/>
      <c r="N58" s="894"/>
      <c r="O58" s="73"/>
      <c r="P58" s="71"/>
      <c r="Q58" s="73"/>
      <c r="R58" s="71"/>
      <c r="S58" s="73"/>
      <c r="T58" s="894"/>
      <c r="U58" s="1199"/>
      <c r="V58" s="73"/>
      <c r="W58" s="894"/>
      <c r="X58" s="1199"/>
      <c r="Y58" s="73"/>
      <c r="Z58" s="894"/>
      <c r="AA58" s="1199"/>
      <c r="AB58" s="73"/>
      <c r="AC58" s="894"/>
      <c r="AD58" s="1199"/>
      <c r="AE58" s="73"/>
      <c r="AF58" s="1112" t="e">
        <f t="shared" ca="1" si="2"/>
        <v>#NAME?</v>
      </c>
      <c r="AG58" s="1113">
        <f>SUM($B$9:B58)/($J$1-$B$4)*100</f>
        <v>10.346293119878025</v>
      </c>
      <c r="AH58" s="1110"/>
      <c r="AI58" s="238"/>
      <c r="AJ58" s="238"/>
      <c r="AK58" s="51" t="e">
        <f t="shared" si="0"/>
        <v>#DIV/0!</v>
      </c>
      <c r="AL58" s="51" t="e">
        <f t="shared" si="1"/>
        <v>#DIV/0!</v>
      </c>
    </row>
    <row r="59" spans="1:38" x14ac:dyDescent="0.25">
      <c r="A59" s="71"/>
      <c r="B59" s="72"/>
      <c r="C59" s="73"/>
      <c r="D59" s="147"/>
      <c r="E59" s="75"/>
      <c r="F59" s="73"/>
      <c r="G59" s="147"/>
      <c r="H59" s="75"/>
      <c r="I59" s="73"/>
      <c r="J59" s="234"/>
      <c r="K59" s="73"/>
      <c r="L59" s="1609"/>
      <c r="M59" s="73"/>
      <c r="N59" s="894"/>
      <c r="O59" s="73"/>
      <c r="P59" s="71"/>
      <c r="Q59" s="73"/>
      <c r="R59" s="71"/>
      <c r="S59" s="73"/>
      <c r="T59" s="894"/>
      <c r="U59" s="1199"/>
      <c r="V59" s="73"/>
      <c r="W59" s="894"/>
      <c r="X59" s="1199"/>
      <c r="Y59" s="73"/>
      <c r="Z59" s="894"/>
      <c r="AA59" s="1199"/>
      <c r="AB59" s="73"/>
      <c r="AC59" s="894"/>
      <c r="AD59" s="1199"/>
      <c r="AE59" s="73"/>
      <c r="AF59" s="1112" t="e">
        <f t="shared" ca="1" si="2"/>
        <v>#NAME?</v>
      </c>
      <c r="AG59" s="1113">
        <f>SUM($B$9:B59)/($J$1-$B$4)*100</f>
        <v>10.346293119878025</v>
      </c>
      <c r="AH59" s="1110"/>
      <c r="AI59" s="238"/>
      <c r="AJ59" s="238"/>
      <c r="AK59" s="51" t="e">
        <f t="shared" ref="AK59:AK82" si="3">C59/B59</f>
        <v>#DIV/0!</v>
      </c>
      <c r="AL59" s="51" t="e">
        <f t="shared" ref="AL59:AL82" si="4">AK59-$AK$8</f>
        <v>#DIV/0!</v>
      </c>
    </row>
    <row r="60" spans="1:38" x14ac:dyDescent="0.25">
      <c r="A60" s="71"/>
      <c r="B60" s="72"/>
      <c r="C60" s="73"/>
      <c r="D60" s="147"/>
      <c r="E60" s="75"/>
      <c r="F60" s="73"/>
      <c r="G60" s="147"/>
      <c r="H60" s="75"/>
      <c r="I60" s="73"/>
      <c r="J60" s="234"/>
      <c r="K60" s="73"/>
      <c r="L60" s="1609"/>
      <c r="M60" s="73"/>
      <c r="N60" s="894"/>
      <c r="O60" s="73"/>
      <c r="P60" s="71"/>
      <c r="Q60" s="73"/>
      <c r="R60" s="71"/>
      <c r="S60" s="73"/>
      <c r="T60" s="894"/>
      <c r="U60" s="1199"/>
      <c r="V60" s="73"/>
      <c r="W60" s="894"/>
      <c r="X60" s="1199"/>
      <c r="Y60" s="73"/>
      <c r="Z60" s="894"/>
      <c r="AA60" s="1199"/>
      <c r="AB60" s="73"/>
      <c r="AC60" s="894"/>
      <c r="AD60" s="1199"/>
      <c r="AE60" s="73"/>
      <c r="AF60" s="1112" t="e">
        <f t="shared" ca="1" si="2"/>
        <v>#NAME?</v>
      </c>
      <c r="AG60" s="1113">
        <f>SUM($B$9:B60)/($J$1-$B$4)*100</f>
        <v>10.346293119878025</v>
      </c>
      <c r="AH60" s="1110"/>
      <c r="AI60" s="238"/>
      <c r="AJ60" s="238"/>
      <c r="AK60" s="51" t="e">
        <f t="shared" si="3"/>
        <v>#DIV/0!</v>
      </c>
      <c r="AL60" s="51" t="e">
        <f t="shared" si="4"/>
        <v>#DIV/0!</v>
      </c>
    </row>
    <row r="61" spans="1:38" x14ac:dyDescent="0.25">
      <c r="A61" s="71"/>
      <c r="B61" s="72"/>
      <c r="C61" s="73"/>
      <c r="D61" s="147"/>
      <c r="E61" s="75"/>
      <c r="F61" s="73"/>
      <c r="G61" s="147"/>
      <c r="H61" s="75"/>
      <c r="I61" s="73"/>
      <c r="J61" s="234"/>
      <c r="K61" s="73"/>
      <c r="L61" s="1609"/>
      <c r="M61" s="73"/>
      <c r="N61" s="894"/>
      <c r="O61" s="73"/>
      <c r="P61" s="71"/>
      <c r="Q61" s="73"/>
      <c r="R61" s="71"/>
      <c r="S61" s="73"/>
      <c r="T61" s="894"/>
      <c r="U61" s="1199"/>
      <c r="V61" s="73"/>
      <c r="W61" s="894"/>
      <c r="X61" s="1199"/>
      <c r="Y61" s="73"/>
      <c r="Z61" s="894"/>
      <c r="AA61" s="1199"/>
      <c r="AB61" s="73"/>
      <c r="AC61" s="894"/>
      <c r="AD61" s="1199"/>
      <c r="AE61" s="73"/>
      <c r="AF61" s="1112" t="e">
        <f t="shared" ca="1" si="2"/>
        <v>#NAME?</v>
      </c>
      <c r="AG61" s="1113">
        <f>SUM($B$9:B61)/($J$1-$B$4)*100</f>
        <v>10.346293119878025</v>
      </c>
      <c r="AH61" s="1110"/>
      <c r="AI61" s="238"/>
      <c r="AJ61" s="238"/>
      <c r="AK61" s="51" t="e">
        <f t="shared" si="3"/>
        <v>#DIV/0!</v>
      </c>
      <c r="AL61" s="51" t="e">
        <f t="shared" si="4"/>
        <v>#DIV/0!</v>
      </c>
    </row>
    <row r="62" spans="1:38" x14ac:dyDescent="0.25">
      <c r="A62" s="71"/>
      <c r="B62" s="72"/>
      <c r="C62" s="73"/>
      <c r="D62" s="147"/>
      <c r="E62" s="75"/>
      <c r="F62" s="73"/>
      <c r="G62" s="147"/>
      <c r="H62" s="75"/>
      <c r="I62" s="73"/>
      <c r="J62" s="234"/>
      <c r="K62" s="73"/>
      <c r="L62" s="1609"/>
      <c r="M62" s="73"/>
      <c r="N62" s="894"/>
      <c r="O62" s="73"/>
      <c r="P62" s="71"/>
      <c r="Q62" s="73"/>
      <c r="R62" s="71"/>
      <c r="S62" s="73"/>
      <c r="T62" s="894"/>
      <c r="U62" s="1199"/>
      <c r="V62" s="73"/>
      <c r="W62" s="894"/>
      <c r="X62" s="1199"/>
      <c r="Y62" s="73"/>
      <c r="Z62" s="894"/>
      <c r="AA62" s="1199"/>
      <c r="AB62" s="73"/>
      <c r="AC62" s="894"/>
      <c r="AD62" s="1199"/>
      <c r="AE62" s="73"/>
      <c r="AF62" s="1112" t="e">
        <f t="shared" ca="1" si="2"/>
        <v>#NAME?</v>
      </c>
      <c r="AG62" s="1113">
        <f>SUM($B$9:B62)/($J$1-$B$4)*100</f>
        <v>10.346293119878025</v>
      </c>
      <c r="AH62" s="1110"/>
      <c r="AI62" s="238"/>
      <c r="AJ62" s="238"/>
      <c r="AK62" s="51" t="e">
        <f t="shared" si="3"/>
        <v>#DIV/0!</v>
      </c>
      <c r="AL62" s="51" t="e">
        <f t="shared" si="4"/>
        <v>#DIV/0!</v>
      </c>
    </row>
    <row r="63" spans="1:38" x14ac:dyDescent="0.25">
      <c r="A63" s="71"/>
      <c r="B63" s="72"/>
      <c r="C63" s="73"/>
      <c r="D63" s="147"/>
      <c r="E63" s="75"/>
      <c r="F63" s="73"/>
      <c r="G63" s="147"/>
      <c r="H63" s="75"/>
      <c r="I63" s="73"/>
      <c r="J63" s="234"/>
      <c r="K63" s="73"/>
      <c r="L63" s="1609"/>
      <c r="M63" s="73"/>
      <c r="N63" s="894"/>
      <c r="O63" s="73"/>
      <c r="P63" s="71"/>
      <c r="Q63" s="73"/>
      <c r="R63" s="71"/>
      <c r="S63" s="73"/>
      <c r="T63" s="894"/>
      <c r="U63" s="1199"/>
      <c r="V63" s="73"/>
      <c r="W63" s="894"/>
      <c r="X63" s="1199"/>
      <c r="Y63" s="73"/>
      <c r="Z63" s="894"/>
      <c r="AA63" s="1199"/>
      <c r="AB63" s="73"/>
      <c r="AC63" s="894"/>
      <c r="AD63" s="1199"/>
      <c r="AE63" s="73"/>
      <c r="AF63" s="1112" t="e">
        <f t="shared" ca="1" si="2"/>
        <v>#NAME?</v>
      </c>
      <c r="AG63" s="1113">
        <f>SUM($B$9:B63)/($J$1-$B$4)*100</f>
        <v>10.346293119878025</v>
      </c>
      <c r="AH63" s="1110"/>
      <c r="AI63" s="238"/>
      <c r="AJ63" s="238"/>
      <c r="AK63" s="51" t="e">
        <f t="shared" si="3"/>
        <v>#DIV/0!</v>
      </c>
      <c r="AL63" s="51" t="e">
        <f t="shared" si="4"/>
        <v>#DIV/0!</v>
      </c>
    </row>
    <row r="64" spans="1:38" x14ac:dyDescent="0.25">
      <c r="A64" s="71"/>
      <c r="B64" s="72"/>
      <c r="C64" s="73"/>
      <c r="D64" s="147"/>
      <c r="E64" s="75"/>
      <c r="F64" s="73"/>
      <c r="G64" s="147"/>
      <c r="H64" s="75"/>
      <c r="I64" s="73"/>
      <c r="J64" s="234"/>
      <c r="K64" s="73"/>
      <c r="L64" s="1609"/>
      <c r="M64" s="73"/>
      <c r="N64" s="894"/>
      <c r="O64" s="73"/>
      <c r="P64" s="71"/>
      <c r="Q64" s="73"/>
      <c r="R64" s="71"/>
      <c r="S64" s="73"/>
      <c r="T64" s="894"/>
      <c r="U64" s="1199"/>
      <c r="V64" s="73"/>
      <c r="W64" s="894"/>
      <c r="X64" s="1199"/>
      <c r="Y64" s="73"/>
      <c r="Z64" s="894"/>
      <c r="AA64" s="1199"/>
      <c r="AB64" s="73"/>
      <c r="AC64" s="894"/>
      <c r="AD64" s="1199"/>
      <c r="AE64" s="73"/>
      <c r="AF64" s="1112" t="e">
        <f t="shared" ca="1" si="2"/>
        <v>#NAME?</v>
      </c>
      <c r="AG64" s="1113">
        <f>SUM($B$9:B64)/($J$1-$B$4)*100</f>
        <v>10.346293119878025</v>
      </c>
      <c r="AH64" s="1110"/>
      <c r="AI64" s="238"/>
      <c r="AJ64" s="238"/>
      <c r="AK64" s="51" t="e">
        <f t="shared" si="3"/>
        <v>#DIV/0!</v>
      </c>
      <c r="AL64" s="51" t="e">
        <f t="shared" si="4"/>
        <v>#DIV/0!</v>
      </c>
    </row>
    <row r="65" spans="1:38" x14ac:dyDescent="0.25">
      <c r="A65" s="71"/>
      <c r="B65" s="72"/>
      <c r="C65" s="73"/>
      <c r="D65" s="147"/>
      <c r="E65" s="75"/>
      <c r="F65" s="73"/>
      <c r="G65" s="1161"/>
      <c r="H65" s="831"/>
      <c r="I65" s="835"/>
      <c r="J65" s="234"/>
      <c r="K65" s="73"/>
      <c r="L65" s="1609"/>
      <c r="M65" s="73"/>
      <c r="N65" s="894"/>
      <c r="O65" s="73"/>
      <c r="P65" s="71"/>
      <c r="Q65" s="73"/>
      <c r="R65" s="71"/>
      <c r="S65" s="73"/>
      <c r="T65" s="894"/>
      <c r="U65" s="1199"/>
      <c r="V65" s="73"/>
      <c r="W65" s="894"/>
      <c r="X65" s="1199"/>
      <c r="Y65" s="73"/>
      <c r="Z65" s="894"/>
      <c r="AA65" s="1199"/>
      <c r="AB65" s="73"/>
      <c r="AC65" s="894"/>
      <c r="AD65" s="1199"/>
      <c r="AE65" s="73"/>
      <c r="AF65" s="1112" t="e">
        <f t="shared" ca="1" si="2"/>
        <v>#NAME?</v>
      </c>
      <c r="AG65" s="1113">
        <f>SUM($B$9:B65)/($J$1-$B$4)*100</f>
        <v>10.346293119878025</v>
      </c>
      <c r="AH65" s="1110"/>
      <c r="AI65" s="238"/>
      <c r="AJ65" s="238"/>
      <c r="AK65" s="51" t="e">
        <f t="shared" si="3"/>
        <v>#DIV/0!</v>
      </c>
      <c r="AL65" s="51" t="e">
        <f t="shared" si="4"/>
        <v>#DIV/0!</v>
      </c>
    </row>
    <row r="66" spans="1:38" x14ac:dyDescent="0.25">
      <c r="A66" s="71"/>
      <c r="B66" s="72"/>
      <c r="C66" s="73"/>
      <c r="D66" s="147"/>
      <c r="E66" s="75"/>
      <c r="F66" s="73"/>
      <c r="G66" s="147"/>
      <c r="H66" s="75"/>
      <c r="I66" s="73"/>
      <c r="J66" s="234"/>
      <c r="K66" s="73"/>
      <c r="L66" s="1609"/>
      <c r="M66" s="73"/>
      <c r="N66" s="894"/>
      <c r="O66" s="73"/>
      <c r="P66" s="71"/>
      <c r="Q66" s="73"/>
      <c r="R66" s="71"/>
      <c r="S66" s="73"/>
      <c r="T66" s="894"/>
      <c r="U66" s="1199"/>
      <c r="V66" s="73"/>
      <c r="W66" s="894"/>
      <c r="X66" s="1199"/>
      <c r="Y66" s="73"/>
      <c r="Z66" s="894"/>
      <c r="AA66" s="1199"/>
      <c r="AB66" s="73"/>
      <c r="AC66" s="894"/>
      <c r="AD66" s="1199"/>
      <c r="AE66" s="73"/>
      <c r="AF66" s="1112" t="e">
        <f t="shared" ca="1" si="2"/>
        <v>#NAME?</v>
      </c>
      <c r="AG66" s="1113">
        <f>SUM($B$9:B66)/($J$1-$B$4)*100</f>
        <v>10.346293119878025</v>
      </c>
      <c r="AH66" s="1110"/>
      <c r="AI66" s="238"/>
      <c r="AJ66" s="238"/>
      <c r="AK66" s="51" t="e">
        <f t="shared" si="3"/>
        <v>#DIV/0!</v>
      </c>
      <c r="AL66" s="51" t="e">
        <f t="shared" si="4"/>
        <v>#DIV/0!</v>
      </c>
    </row>
    <row r="67" spans="1:38" x14ac:dyDescent="0.25">
      <c r="A67" s="71"/>
      <c r="B67" s="72"/>
      <c r="C67" s="73"/>
      <c r="D67" s="147"/>
      <c r="E67" s="75"/>
      <c r="F67" s="73"/>
      <c r="G67" s="345"/>
      <c r="H67" s="346"/>
      <c r="I67" s="347"/>
      <c r="J67" s="234"/>
      <c r="K67" s="73"/>
      <c r="L67" s="1609"/>
      <c r="M67" s="73"/>
      <c r="N67" s="894"/>
      <c r="O67" s="73"/>
      <c r="P67" s="71"/>
      <c r="Q67" s="73"/>
      <c r="R67" s="71"/>
      <c r="S67" s="73"/>
      <c r="T67" s="894"/>
      <c r="U67" s="1199"/>
      <c r="V67" s="73"/>
      <c r="W67" s="894"/>
      <c r="X67" s="1199"/>
      <c r="Y67" s="73"/>
      <c r="Z67" s="894"/>
      <c r="AA67" s="1199"/>
      <c r="AB67" s="73"/>
      <c r="AC67" s="894"/>
      <c r="AD67" s="1199"/>
      <c r="AE67" s="73"/>
      <c r="AF67" s="1112" t="e">
        <f t="shared" ca="1" si="2"/>
        <v>#NAME?</v>
      </c>
      <c r="AG67" s="1113">
        <f>SUM($B$9:B67)/($J$1-$B$4)*100</f>
        <v>10.346293119878025</v>
      </c>
      <c r="AH67" s="1110"/>
      <c r="AI67" s="238"/>
      <c r="AJ67" s="238"/>
      <c r="AK67" s="51" t="e">
        <f t="shared" si="3"/>
        <v>#DIV/0!</v>
      </c>
      <c r="AL67" s="51" t="e">
        <f t="shared" si="4"/>
        <v>#DIV/0!</v>
      </c>
    </row>
    <row r="68" spans="1:38" x14ac:dyDescent="0.25">
      <c r="A68" s="71"/>
      <c r="B68" s="72"/>
      <c r="C68" s="73"/>
      <c r="D68" s="147"/>
      <c r="E68" s="75"/>
      <c r="F68" s="73"/>
      <c r="G68" s="147"/>
      <c r="H68" s="75"/>
      <c r="I68" s="73"/>
      <c r="J68" s="234"/>
      <c r="K68" s="73"/>
      <c r="L68" s="1609"/>
      <c r="M68" s="73"/>
      <c r="N68" s="894"/>
      <c r="O68" s="73"/>
      <c r="P68" s="71"/>
      <c r="Q68" s="73"/>
      <c r="R68" s="71"/>
      <c r="S68" s="73"/>
      <c r="T68" s="894"/>
      <c r="U68" s="1199"/>
      <c r="V68" s="73"/>
      <c r="W68" s="894"/>
      <c r="X68" s="1199"/>
      <c r="Y68" s="73"/>
      <c r="Z68" s="894"/>
      <c r="AA68" s="1199"/>
      <c r="AB68" s="73"/>
      <c r="AC68" s="894"/>
      <c r="AD68" s="1199"/>
      <c r="AE68" s="73"/>
      <c r="AF68" s="1112" t="e">
        <f t="shared" ca="1" si="2"/>
        <v>#NAME?</v>
      </c>
      <c r="AG68" s="1113">
        <f>SUM($B$9:B68)/($J$1-$B$4)*100</f>
        <v>10.346293119878025</v>
      </c>
      <c r="AH68" s="1110"/>
      <c r="AI68" s="238"/>
      <c r="AJ68" s="238"/>
      <c r="AK68" s="51" t="e">
        <f t="shared" si="3"/>
        <v>#DIV/0!</v>
      </c>
      <c r="AL68" s="51" t="e">
        <f t="shared" si="4"/>
        <v>#DIV/0!</v>
      </c>
    </row>
    <row r="69" spans="1:38" x14ac:dyDescent="0.25">
      <c r="A69" s="71"/>
      <c r="B69" s="72"/>
      <c r="C69" s="73"/>
      <c r="D69" s="147"/>
      <c r="E69" s="75"/>
      <c r="F69" s="73"/>
      <c r="G69" s="147"/>
      <c r="H69" s="75"/>
      <c r="I69" s="73"/>
      <c r="J69" s="234"/>
      <c r="K69" s="73"/>
      <c r="L69" s="1609"/>
      <c r="M69" s="73"/>
      <c r="N69" s="894"/>
      <c r="O69" s="73"/>
      <c r="P69" s="71"/>
      <c r="Q69" s="73"/>
      <c r="R69" s="71"/>
      <c r="S69" s="73"/>
      <c r="T69" s="894"/>
      <c r="U69" s="1199"/>
      <c r="V69" s="73"/>
      <c r="W69" s="894"/>
      <c r="X69" s="1199"/>
      <c r="Y69" s="73"/>
      <c r="Z69" s="894"/>
      <c r="AA69" s="1199"/>
      <c r="AB69" s="73"/>
      <c r="AC69" s="894"/>
      <c r="AD69" s="1199"/>
      <c r="AE69" s="73"/>
      <c r="AF69" s="1112" t="e">
        <f t="shared" ca="1" si="2"/>
        <v>#NAME?</v>
      </c>
      <c r="AG69" s="1113">
        <f>SUM($B$9:B69)/($J$1-$B$4)*100</f>
        <v>10.346293119878025</v>
      </c>
      <c r="AH69" s="1110"/>
      <c r="AI69" s="238"/>
      <c r="AJ69" s="238"/>
      <c r="AK69" s="51" t="e">
        <f t="shared" si="3"/>
        <v>#DIV/0!</v>
      </c>
      <c r="AL69" s="51" t="e">
        <f t="shared" si="4"/>
        <v>#DIV/0!</v>
      </c>
    </row>
    <row r="70" spans="1:38" x14ac:dyDescent="0.25">
      <c r="A70" s="71"/>
      <c r="B70" s="72"/>
      <c r="C70" s="73"/>
      <c r="D70" s="147"/>
      <c r="E70" s="75"/>
      <c r="F70" s="73"/>
      <c r="G70" s="147"/>
      <c r="H70" s="75"/>
      <c r="I70" s="73"/>
      <c r="J70" s="234"/>
      <c r="K70" s="73"/>
      <c r="L70" s="1609"/>
      <c r="M70" s="73"/>
      <c r="N70" s="894"/>
      <c r="O70" s="73"/>
      <c r="P70" s="71"/>
      <c r="Q70" s="73"/>
      <c r="R70" s="71"/>
      <c r="S70" s="73"/>
      <c r="T70" s="894"/>
      <c r="U70" s="1199"/>
      <c r="V70" s="73"/>
      <c r="W70" s="894"/>
      <c r="X70" s="1199"/>
      <c r="Y70" s="73"/>
      <c r="Z70" s="894"/>
      <c r="AA70" s="1199"/>
      <c r="AB70" s="73"/>
      <c r="AC70" s="894"/>
      <c r="AD70" s="1199"/>
      <c r="AE70" s="73"/>
      <c r="AF70" s="1112" t="e">
        <f t="shared" ca="1" si="2"/>
        <v>#NAME?</v>
      </c>
      <c r="AG70" s="1113">
        <f>SUM($B$9:B70)/($J$1-$B$4)*100</f>
        <v>10.346293119878025</v>
      </c>
      <c r="AH70" s="1110"/>
      <c r="AI70" s="238"/>
      <c r="AJ70" s="238"/>
      <c r="AK70" s="51" t="e">
        <f t="shared" si="3"/>
        <v>#DIV/0!</v>
      </c>
      <c r="AL70" s="51" t="e">
        <f t="shared" si="4"/>
        <v>#DIV/0!</v>
      </c>
    </row>
    <row r="71" spans="1:38" x14ac:dyDescent="0.25">
      <c r="A71" s="71"/>
      <c r="B71" s="72"/>
      <c r="C71" s="73"/>
      <c r="D71" s="147"/>
      <c r="E71" s="75"/>
      <c r="F71" s="73"/>
      <c r="G71" s="1162"/>
      <c r="H71" s="75"/>
      <c r="I71" s="73"/>
      <c r="J71" s="234"/>
      <c r="K71" s="73"/>
      <c r="L71" s="1609"/>
      <c r="M71" s="73"/>
      <c r="N71" s="894"/>
      <c r="O71" s="73"/>
      <c r="P71" s="71"/>
      <c r="Q71" s="73"/>
      <c r="R71" s="71"/>
      <c r="S71" s="73"/>
      <c r="T71" s="894"/>
      <c r="U71" s="1199"/>
      <c r="V71" s="73"/>
      <c r="W71" s="894"/>
      <c r="X71" s="1199"/>
      <c r="Y71" s="73"/>
      <c r="Z71" s="894"/>
      <c r="AA71" s="1199"/>
      <c r="AB71" s="73"/>
      <c r="AC71" s="894"/>
      <c r="AD71" s="1199"/>
      <c r="AE71" s="73"/>
      <c r="AF71" s="1112" t="e">
        <f t="shared" ca="1" si="2"/>
        <v>#NAME?</v>
      </c>
      <c r="AG71" s="1113">
        <f>SUM($B$9:B71)/($J$1-$B$4)*100</f>
        <v>10.346293119878025</v>
      </c>
      <c r="AH71" s="1110"/>
      <c r="AI71" s="238"/>
      <c r="AJ71" s="238"/>
      <c r="AK71" s="51" t="e">
        <f t="shared" si="3"/>
        <v>#DIV/0!</v>
      </c>
      <c r="AL71" s="51" t="e">
        <f t="shared" si="4"/>
        <v>#DIV/0!</v>
      </c>
    </row>
    <row r="72" spans="1:38" x14ac:dyDescent="0.25">
      <c r="A72" s="71"/>
      <c r="B72" s="72"/>
      <c r="C72" s="73"/>
      <c r="D72" s="147"/>
      <c r="E72" s="75"/>
      <c r="F72" s="73"/>
      <c r="G72" s="147"/>
      <c r="H72" s="75"/>
      <c r="I72" s="73"/>
      <c r="J72" s="234"/>
      <c r="K72" s="73"/>
      <c r="L72" s="1609"/>
      <c r="M72" s="73"/>
      <c r="N72" s="894"/>
      <c r="O72" s="73"/>
      <c r="P72" s="71"/>
      <c r="Q72" s="73"/>
      <c r="R72" s="71"/>
      <c r="S72" s="73"/>
      <c r="T72" s="894"/>
      <c r="U72" s="1199"/>
      <c r="V72" s="73"/>
      <c r="W72" s="894"/>
      <c r="X72" s="1199"/>
      <c r="Y72" s="73"/>
      <c r="Z72" s="894"/>
      <c r="AA72" s="1199"/>
      <c r="AB72" s="73"/>
      <c r="AC72" s="894"/>
      <c r="AD72" s="1199"/>
      <c r="AE72" s="73"/>
      <c r="AF72" s="1112" t="e">
        <f t="shared" ca="1" si="2"/>
        <v>#NAME?</v>
      </c>
      <c r="AG72" s="1113">
        <f>SUM($B$9:B72)/($J$1-$B$4)*100</f>
        <v>10.346293119878025</v>
      </c>
      <c r="AH72" s="1110"/>
      <c r="AI72" s="238"/>
      <c r="AJ72" s="238"/>
      <c r="AK72" s="51" t="e">
        <f t="shared" si="3"/>
        <v>#DIV/0!</v>
      </c>
      <c r="AL72" s="51" t="e">
        <f t="shared" si="4"/>
        <v>#DIV/0!</v>
      </c>
    </row>
    <row r="73" spans="1:38" x14ac:dyDescent="0.25">
      <c r="A73" s="71"/>
      <c r="B73" s="72"/>
      <c r="C73" s="73"/>
      <c r="D73" s="147"/>
      <c r="E73" s="75"/>
      <c r="F73" s="73"/>
      <c r="G73" s="147"/>
      <c r="H73" s="75"/>
      <c r="I73" s="73"/>
      <c r="J73" s="234"/>
      <c r="K73" s="73"/>
      <c r="L73" s="1609"/>
      <c r="M73" s="73"/>
      <c r="N73" s="894"/>
      <c r="O73" s="73"/>
      <c r="P73" s="71"/>
      <c r="Q73" s="73"/>
      <c r="R73" s="71"/>
      <c r="S73" s="73"/>
      <c r="T73" s="894"/>
      <c r="U73" s="1199"/>
      <c r="V73" s="73"/>
      <c r="W73" s="894"/>
      <c r="X73" s="1199"/>
      <c r="Y73" s="73"/>
      <c r="Z73" s="894"/>
      <c r="AA73" s="1199"/>
      <c r="AB73" s="73"/>
      <c r="AC73" s="894"/>
      <c r="AD73" s="1199"/>
      <c r="AE73" s="73"/>
      <c r="AF73" s="1112" t="e">
        <f t="shared" ref="AF73:AF82" ca="1" si="5">$F$5</f>
        <v>#NAME?</v>
      </c>
      <c r="AG73" s="1113">
        <f>SUM($B$9:B73)/($J$1-$B$4)*100</f>
        <v>10.346293119878025</v>
      </c>
      <c r="AH73" s="1110"/>
      <c r="AI73" s="238"/>
      <c r="AJ73" s="238"/>
      <c r="AK73" s="51" t="e">
        <f t="shared" si="3"/>
        <v>#DIV/0!</v>
      </c>
      <c r="AL73" s="51" t="e">
        <f t="shared" si="4"/>
        <v>#DIV/0!</v>
      </c>
    </row>
    <row r="74" spans="1:38" x14ac:dyDescent="0.25">
      <c r="A74" s="71"/>
      <c r="B74" s="72"/>
      <c r="C74" s="73"/>
      <c r="D74" s="147"/>
      <c r="E74" s="75"/>
      <c r="F74" s="73"/>
      <c r="G74" s="147"/>
      <c r="H74" s="75"/>
      <c r="I74" s="73"/>
      <c r="J74" s="234"/>
      <c r="K74" s="73"/>
      <c r="L74" s="1609"/>
      <c r="M74" s="73"/>
      <c r="N74" s="894"/>
      <c r="O74" s="73"/>
      <c r="P74" s="71"/>
      <c r="Q74" s="73"/>
      <c r="R74" s="71"/>
      <c r="S74" s="73"/>
      <c r="T74" s="894"/>
      <c r="U74" s="1199"/>
      <c r="V74" s="73"/>
      <c r="W74" s="894"/>
      <c r="X74" s="1199"/>
      <c r="Y74" s="73"/>
      <c r="Z74" s="894"/>
      <c r="AA74" s="1199"/>
      <c r="AB74" s="73"/>
      <c r="AC74" s="894"/>
      <c r="AD74" s="1199"/>
      <c r="AE74" s="73"/>
      <c r="AF74" s="1112" t="e">
        <f t="shared" ca="1" si="5"/>
        <v>#NAME?</v>
      </c>
      <c r="AG74" s="1113">
        <f>SUM($B$9:B74)/($J$1-$B$4)*100</f>
        <v>10.346293119878025</v>
      </c>
      <c r="AH74" s="1110"/>
      <c r="AI74" s="238"/>
      <c r="AJ74" s="238"/>
      <c r="AK74" s="51" t="e">
        <f t="shared" si="3"/>
        <v>#DIV/0!</v>
      </c>
      <c r="AL74" s="51" t="e">
        <f t="shared" si="4"/>
        <v>#DIV/0!</v>
      </c>
    </row>
    <row r="75" spans="1:38" x14ac:dyDescent="0.25">
      <c r="A75" s="71"/>
      <c r="B75" s="72"/>
      <c r="C75" s="73"/>
      <c r="D75" s="147"/>
      <c r="E75" s="75"/>
      <c r="F75" s="73"/>
      <c r="G75" s="147"/>
      <c r="H75" s="75"/>
      <c r="I75" s="73"/>
      <c r="J75" s="234"/>
      <c r="K75" s="73"/>
      <c r="L75" s="1609"/>
      <c r="M75" s="73"/>
      <c r="N75" s="894"/>
      <c r="O75" s="73"/>
      <c r="P75" s="71"/>
      <c r="Q75" s="73"/>
      <c r="R75" s="71"/>
      <c r="S75" s="73"/>
      <c r="T75" s="894"/>
      <c r="U75" s="1199"/>
      <c r="V75" s="73"/>
      <c r="W75" s="894"/>
      <c r="X75" s="1199"/>
      <c r="Y75" s="73"/>
      <c r="Z75" s="894"/>
      <c r="AA75" s="1199"/>
      <c r="AB75" s="73"/>
      <c r="AC75" s="894"/>
      <c r="AD75" s="1199"/>
      <c r="AE75" s="73"/>
      <c r="AF75" s="1112" t="e">
        <f t="shared" ca="1" si="5"/>
        <v>#NAME?</v>
      </c>
      <c r="AG75" s="1113">
        <f>SUM($B$9:B75)/($J$1-$B$4)*100</f>
        <v>10.346293119878025</v>
      </c>
      <c r="AH75" s="1110"/>
      <c r="AI75" s="238"/>
      <c r="AJ75" s="238"/>
      <c r="AK75" s="51" t="e">
        <f t="shared" si="3"/>
        <v>#DIV/0!</v>
      </c>
      <c r="AL75" s="51" t="e">
        <f t="shared" si="4"/>
        <v>#DIV/0!</v>
      </c>
    </row>
    <row r="76" spans="1:38" x14ac:dyDescent="0.25">
      <c r="A76" s="71"/>
      <c r="B76" s="72"/>
      <c r="C76" s="73"/>
      <c r="D76" s="147"/>
      <c r="E76" s="75"/>
      <c r="F76" s="73"/>
      <c r="G76" s="147"/>
      <c r="H76" s="75"/>
      <c r="I76" s="73"/>
      <c r="J76" s="234"/>
      <c r="K76" s="73"/>
      <c r="L76" s="1609"/>
      <c r="M76" s="73"/>
      <c r="N76" s="894"/>
      <c r="O76" s="73"/>
      <c r="P76" s="71"/>
      <c r="Q76" s="73"/>
      <c r="R76" s="71"/>
      <c r="S76" s="73"/>
      <c r="T76" s="894"/>
      <c r="U76" s="1199"/>
      <c r="V76" s="73"/>
      <c r="W76" s="894"/>
      <c r="X76" s="1199"/>
      <c r="Y76" s="73"/>
      <c r="Z76" s="894"/>
      <c r="AA76" s="1199"/>
      <c r="AB76" s="73"/>
      <c r="AC76" s="894"/>
      <c r="AD76" s="1199"/>
      <c r="AE76" s="73"/>
      <c r="AF76" s="1112" t="e">
        <f t="shared" ca="1" si="5"/>
        <v>#NAME?</v>
      </c>
      <c r="AG76" s="1113">
        <f>SUM($B$9:B76)/($J$1-$B$4)*100</f>
        <v>10.346293119878025</v>
      </c>
      <c r="AH76" s="1110"/>
      <c r="AI76" s="238"/>
      <c r="AJ76" s="238"/>
      <c r="AK76" s="51" t="e">
        <f t="shared" si="3"/>
        <v>#DIV/0!</v>
      </c>
      <c r="AL76" s="51" t="e">
        <f t="shared" si="4"/>
        <v>#DIV/0!</v>
      </c>
    </row>
    <row r="77" spans="1:38" x14ac:dyDescent="0.25">
      <c r="A77" s="71"/>
      <c r="B77" s="72"/>
      <c r="C77" s="73"/>
      <c r="D77" s="147"/>
      <c r="E77" s="75"/>
      <c r="F77" s="73"/>
      <c r="G77" s="147"/>
      <c r="H77" s="75"/>
      <c r="I77" s="73"/>
      <c r="J77" s="234"/>
      <c r="K77" s="73"/>
      <c r="L77" s="1609"/>
      <c r="M77" s="73"/>
      <c r="N77" s="894"/>
      <c r="O77" s="73"/>
      <c r="P77" s="71"/>
      <c r="Q77" s="73"/>
      <c r="R77" s="71"/>
      <c r="S77" s="73"/>
      <c r="T77" s="894"/>
      <c r="U77" s="1199"/>
      <c r="V77" s="73"/>
      <c r="W77" s="894"/>
      <c r="X77" s="1199"/>
      <c r="Y77" s="73"/>
      <c r="Z77" s="894"/>
      <c r="AA77" s="1199"/>
      <c r="AB77" s="73"/>
      <c r="AC77" s="894"/>
      <c r="AD77" s="1199"/>
      <c r="AE77" s="73"/>
      <c r="AF77" s="1112" t="e">
        <f t="shared" ca="1" si="5"/>
        <v>#NAME?</v>
      </c>
      <c r="AG77" s="1113">
        <f>SUM($B$9:B77)/($J$1-$B$4)*100</f>
        <v>10.346293119878025</v>
      </c>
      <c r="AH77" s="1110"/>
      <c r="AI77" s="238"/>
      <c r="AJ77" s="238"/>
      <c r="AK77" s="51" t="e">
        <f t="shared" si="3"/>
        <v>#DIV/0!</v>
      </c>
      <c r="AL77" s="51" t="e">
        <f t="shared" si="4"/>
        <v>#DIV/0!</v>
      </c>
    </row>
    <row r="78" spans="1:38" x14ac:dyDescent="0.25">
      <c r="A78" s="71"/>
      <c r="B78" s="72"/>
      <c r="C78" s="73"/>
      <c r="D78" s="147"/>
      <c r="E78" s="75"/>
      <c r="F78" s="73"/>
      <c r="G78" s="147"/>
      <c r="H78" s="75"/>
      <c r="I78" s="73"/>
      <c r="J78" s="234"/>
      <c r="K78" s="73"/>
      <c r="L78" s="1609"/>
      <c r="M78" s="73"/>
      <c r="N78" s="894"/>
      <c r="O78" s="73"/>
      <c r="P78" s="71"/>
      <c r="Q78" s="73"/>
      <c r="R78" s="71"/>
      <c r="S78" s="73"/>
      <c r="T78" s="894"/>
      <c r="U78" s="1199"/>
      <c r="V78" s="73"/>
      <c r="W78" s="894"/>
      <c r="X78" s="1199"/>
      <c r="Y78" s="73"/>
      <c r="Z78" s="894"/>
      <c r="AA78" s="1199"/>
      <c r="AB78" s="73"/>
      <c r="AC78" s="894"/>
      <c r="AD78" s="1199"/>
      <c r="AE78" s="73"/>
      <c r="AF78" s="1112" t="e">
        <f t="shared" ca="1" si="5"/>
        <v>#NAME?</v>
      </c>
      <c r="AG78" s="1113">
        <f>SUM($B$9:B78)/($J$1-$B$4)*100</f>
        <v>10.346293119878025</v>
      </c>
      <c r="AH78" s="1110"/>
      <c r="AI78" s="238"/>
      <c r="AJ78" s="238"/>
      <c r="AK78" s="51" t="e">
        <f t="shared" si="3"/>
        <v>#DIV/0!</v>
      </c>
      <c r="AL78" s="51" t="e">
        <f t="shared" si="4"/>
        <v>#DIV/0!</v>
      </c>
    </row>
    <row r="79" spans="1:38" x14ac:dyDescent="0.25">
      <c r="A79" s="71"/>
      <c r="B79" s="72"/>
      <c r="C79" s="73"/>
      <c r="D79" s="147"/>
      <c r="E79" s="75"/>
      <c r="F79" s="73"/>
      <c r="G79" s="147"/>
      <c r="H79" s="75"/>
      <c r="I79" s="73"/>
      <c r="J79" s="234"/>
      <c r="K79" s="73"/>
      <c r="L79" s="1609"/>
      <c r="M79" s="73"/>
      <c r="N79" s="894"/>
      <c r="O79" s="73"/>
      <c r="P79" s="71"/>
      <c r="Q79" s="73"/>
      <c r="R79" s="71"/>
      <c r="S79" s="73"/>
      <c r="T79" s="894"/>
      <c r="U79" s="1199"/>
      <c r="V79" s="73"/>
      <c r="W79" s="894"/>
      <c r="X79" s="1199"/>
      <c r="Y79" s="73"/>
      <c r="Z79" s="894"/>
      <c r="AA79" s="1199"/>
      <c r="AB79" s="73"/>
      <c r="AC79" s="894"/>
      <c r="AD79" s="1199"/>
      <c r="AE79" s="73"/>
      <c r="AF79" s="1112" t="e">
        <f t="shared" ca="1" si="5"/>
        <v>#NAME?</v>
      </c>
      <c r="AG79" s="1113">
        <f>SUM($B$9:B79)/($J$1-$B$4)*100</f>
        <v>10.346293119878025</v>
      </c>
      <c r="AH79" s="1110"/>
      <c r="AI79" s="238"/>
      <c r="AJ79" s="238"/>
      <c r="AK79" s="51" t="e">
        <f t="shared" si="3"/>
        <v>#DIV/0!</v>
      </c>
      <c r="AL79" s="51" t="e">
        <f t="shared" si="4"/>
        <v>#DIV/0!</v>
      </c>
    </row>
    <row r="80" spans="1:38" x14ac:dyDescent="0.25">
      <c r="A80" s="71"/>
      <c r="B80" s="72"/>
      <c r="C80" s="73"/>
      <c r="D80" s="147"/>
      <c r="E80" s="75"/>
      <c r="F80" s="73"/>
      <c r="G80" s="147"/>
      <c r="H80" s="75"/>
      <c r="I80" s="73"/>
      <c r="J80" s="234"/>
      <c r="K80" s="73"/>
      <c r="L80" s="1609"/>
      <c r="M80" s="73"/>
      <c r="N80" s="894"/>
      <c r="O80" s="73"/>
      <c r="P80" s="71"/>
      <c r="Q80" s="73"/>
      <c r="R80" s="71"/>
      <c r="S80" s="73"/>
      <c r="T80" s="894"/>
      <c r="U80" s="1199"/>
      <c r="V80" s="73"/>
      <c r="W80" s="894"/>
      <c r="X80" s="1199"/>
      <c r="Y80" s="73"/>
      <c r="Z80" s="894"/>
      <c r="AA80" s="1199"/>
      <c r="AB80" s="73"/>
      <c r="AC80" s="894"/>
      <c r="AD80" s="1199"/>
      <c r="AE80" s="73"/>
      <c r="AF80" s="1112" t="e">
        <f t="shared" ca="1" si="5"/>
        <v>#NAME?</v>
      </c>
      <c r="AG80" s="1113">
        <f>SUM($B$9:B80)/($J$1-$B$4)*100</f>
        <v>10.346293119878025</v>
      </c>
      <c r="AH80" s="1110"/>
      <c r="AI80" s="238"/>
      <c r="AJ80" s="238"/>
      <c r="AK80" s="51" t="e">
        <f t="shared" si="3"/>
        <v>#DIV/0!</v>
      </c>
      <c r="AL80" s="51" t="e">
        <f t="shared" si="4"/>
        <v>#DIV/0!</v>
      </c>
    </row>
    <row r="81" spans="1:38" x14ac:dyDescent="0.25">
      <c r="A81" s="71"/>
      <c r="B81" s="72"/>
      <c r="C81" s="73"/>
      <c r="D81" s="147"/>
      <c r="E81" s="75"/>
      <c r="F81" s="73"/>
      <c r="G81" s="147"/>
      <c r="H81" s="75"/>
      <c r="I81" s="73"/>
      <c r="J81" s="234"/>
      <c r="K81" s="73"/>
      <c r="L81" s="1609"/>
      <c r="M81" s="73"/>
      <c r="N81" s="894"/>
      <c r="O81" s="73"/>
      <c r="P81" s="71"/>
      <c r="Q81" s="73"/>
      <c r="R81" s="71"/>
      <c r="S81" s="73"/>
      <c r="T81" s="894"/>
      <c r="U81" s="1199"/>
      <c r="V81" s="73"/>
      <c r="W81" s="894"/>
      <c r="X81" s="1199"/>
      <c r="Y81" s="73"/>
      <c r="Z81" s="894"/>
      <c r="AA81" s="1199"/>
      <c r="AB81" s="73"/>
      <c r="AC81" s="894"/>
      <c r="AD81" s="1199"/>
      <c r="AE81" s="73"/>
      <c r="AF81" s="1112" t="e">
        <f t="shared" ca="1" si="5"/>
        <v>#NAME?</v>
      </c>
      <c r="AG81" s="1113">
        <f>SUM($B$9:B81)/($J$1-$B$4)*100</f>
        <v>10.346293119878025</v>
      </c>
      <c r="AH81" s="1110"/>
      <c r="AI81" s="238"/>
      <c r="AJ81" s="238"/>
      <c r="AK81" s="51" t="e">
        <f t="shared" si="3"/>
        <v>#DIV/0!</v>
      </c>
      <c r="AL81" s="51" t="e">
        <f t="shared" si="4"/>
        <v>#DIV/0!</v>
      </c>
    </row>
    <row r="82" spans="1:38" x14ac:dyDescent="0.25">
      <c r="A82" s="71"/>
      <c r="B82" s="72"/>
      <c r="C82" s="73"/>
      <c r="D82" s="147"/>
      <c r="E82" s="75"/>
      <c r="F82" s="73"/>
      <c r="G82" s="147"/>
      <c r="H82" s="75"/>
      <c r="I82" s="73"/>
      <c r="J82" s="234"/>
      <c r="K82" s="73"/>
      <c r="L82" s="1609"/>
      <c r="M82" s="73"/>
      <c r="N82" s="894"/>
      <c r="O82" s="73"/>
      <c r="P82" s="71"/>
      <c r="Q82" s="73"/>
      <c r="R82" s="71"/>
      <c r="S82" s="73"/>
      <c r="T82" s="894"/>
      <c r="U82" s="1199"/>
      <c r="V82" s="73"/>
      <c r="W82" s="894"/>
      <c r="X82" s="1199"/>
      <c r="Y82" s="73"/>
      <c r="Z82" s="894"/>
      <c r="AA82" s="1199"/>
      <c r="AB82" s="73"/>
      <c r="AC82" s="894"/>
      <c r="AD82" s="1199"/>
      <c r="AE82" s="73"/>
      <c r="AF82" s="1112" t="e">
        <f t="shared" ca="1" si="5"/>
        <v>#NAME?</v>
      </c>
      <c r="AG82" s="1113">
        <f>SUM($B$9:B82)/($J$1-$B$4)*100</f>
        <v>10.346293119878025</v>
      </c>
      <c r="AH82" s="1110"/>
      <c r="AI82" s="238"/>
      <c r="AJ82" s="238"/>
      <c r="AK82" s="51" t="e">
        <f t="shared" si="3"/>
        <v>#DIV/0!</v>
      </c>
      <c r="AL82" s="51" t="e">
        <f t="shared" si="4"/>
        <v>#DIV/0!</v>
      </c>
    </row>
    <row r="83" spans="1:38" ht="16.5" thickBot="1" x14ac:dyDescent="0.3">
      <c r="A83" s="77" t="s">
        <v>15</v>
      </c>
      <c r="B83" s="78"/>
      <c r="C83" s="79"/>
      <c r="D83" s="148"/>
      <c r="E83" s="80"/>
      <c r="F83" s="79"/>
      <c r="G83" s="148"/>
      <c r="H83" s="80"/>
      <c r="I83" s="79"/>
      <c r="J83" s="235"/>
      <c r="K83" s="79"/>
      <c r="L83" s="896"/>
      <c r="M83" s="79"/>
      <c r="N83" s="1154"/>
      <c r="O83" s="79"/>
      <c r="P83" s="77"/>
      <c r="Q83" s="79"/>
      <c r="R83" s="77"/>
      <c r="S83" s="79"/>
      <c r="T83" s="1154"/>
      <c r="U83" s="1202"/>
      <c r="V83" s="79"/>
      <c r="W83" s="1154"/>
      <c r="X83" s="1202"/>
      <c r="Y83" s="79"/>
      <c r="Z83" s="1154"/>
      <c r="AA83" s="1202"/>
      <c r="AB83" s="79"/>
      <c r="AC83" s="896"/>
      <c r="AD83" s="1202"/>
      <c r="AE83" s="79"/>
      <c r="AF83" s="1115"/>
      <c r="AG83" s="1116"/>
      <c r="AH83" s="1111"/>
      <c r="AI83" s="348"/>
      <c r="AJ83" s="239"/>
      <c r="AK83" s="51"/>
    </row>
    <row r="84" spans="1:38" s="319" customFormat="1" ht="16.5" thickTop="1" x14ac:dyDescent="0.25">
      <c r="A84" s="551"/>
      <c r="B84" s="273"/>
      <c r="C84" s="552"/>
      <c r="D84" s="553"/>
      <c r="E84" s="270"/>
      <c r="F84" s="552"/>
      <c r="G84" s="553"/>
      <c r="H84" s="270"/>
      <c r="I84" s="552"/>
      <c r="J84" s="551"/>
      <c r="K84" s="552"/>
      <c r="L84" s="551"/>
      <c r="M84" s="552"/>
      <c r="N84" s="551"/>
      <c r="O84" s="552"/>
      <c r="P84" s="551"/>
      <c r="Q84" s="552"/>
      <c r="R84" s="551"/>
      <c r="S84" s="552"/>
      <c r="T84" s="553"/>
      <c r="U84" s="270"/>
      <c r="V84" s="552"/>
      <c r="W84" s="553"/>
      <c r="X84" s="270"/>
      <c r="Y84" s="552"/>
      <c r="Z84" s="553"/>
      <c r="AA84" s="270"/>
      <c r="AB84" s="552"/>
      <c r="AC84" s="1212"/>
      <c r="AD84" s="270"/>
      <c r="AE84" s="552"/>
      <c r="AF84" s="1108" t="e">
        <f ca="1">AVERAGE(AF9:AF83)</f>
        <v>#NAME?</v>
      </c>
      <c r="AG84" s="1109">
        <f>AVERAGE(AG9:AG83)</f>
        <v>10.380457842061617</v>
      </c>
      <c r="AH84" s="1228">
        <f ca="1">SUMIFS($AH$9:$AH$83,$A$9:$A$83,"&gt;="&amp;$C85,$A$9:$A$83,"&lt;="&amp;$D85)</f>
        <v>5247</v>
      </c>
      <c r="AI84" s="1229"/>
      <c r="AJ84" s="273"/>
      <c r="AK84" s="1213"/>
    </row>
    <row r="85" spans="1:38" s="49" customFormat="1" ht="21" x14ac:dyDescent="0.25">
      <c r="A85" s="1187" t="s">
        <v>895</v>
      </c>
      <c r="B85" s="1187"/>
      <c r="C85" s="1209">
        <f>Prehľad!AV1</f>
        <v>43831</v>
      </c>
      <c r="D85" s="1209">
        <f ca="1">Prehľad!AX1</f>
        <v>44607</v>
      </c>
      <c r="E85" s="1469" t="s">
        <v>1127</v>
      </c>
      <c r="F85" s="1225">
        <f ca="1">I3+C86+F86+I86+K86+M86+O86+Q86+S86+V86+Y86+AB86+AE86</f>
        <v>0.9899657359770544</v>
      </c>
      <c r="G85" s="1208">
        <f ca="1">J4+C87+F87+I87+K87+M87+O87+Q87+S87+V87+Y87+AB87+AE87</f>
        <v>1</v>
      </c>
      <c r="H85" s="1210" t="s">
        <v>962</v>
      </c>
      <c r="I85" s="1207" t="e">
        <f ca="1">F85-F5</f>
        <v>#NAME?</v>
      </c>
      <c r="J85" s="1303" t="e">
        <f ca="1">(F85/F5)-1</f>
        <v>#NAME?</v>
      </c>
      <c r="K85" s="2253">
        <f ca="1">((D85-C85)/(365.25/12)*F3)+C88+F88+I88+K88+M88+O88+Q88+S88+AE92</f>
        <v>8184.3276202531633</v>
      </c>
      <c r="L85" s="2253"/>
      <c r="M85" s="1472" t="s">
        <v>1135</v>
      </c>
      <c r="N85" s="1470"/>
      <c r="O85" s="1471"/>
      <c r="P85" s="1189">
        <f ca="1">K85/AH84</f>
        <v>1.5598108672104372</v>
      </c>
      <c r="Q85" s="1189"/>
      <c r="R85" s="1188"/>
      <c r="S85" s="1189"/>
      <c r="T85" s="1188"/>
      <c r="U85" s="1188"/>
      <c r="V85" s="1189"/>
      <c r="W85" s="1188"/>
      <c r="X85" s="1188"/>
      <c r="Y85" s="1189"/>
      <c r="Z85" s="1188"/>
      <c r="AA85" s="1188"/>
      <c r="AB85" s="1189"/>
      <c r="AC85" s="1188"/>
      <c r="AD85" s="1188"/>
      <c r="AE85" s="1189"/>
      <c r="AF85" s="1120" t="s">
        <v>712</v>
      </c>
      <c r="AG85" s="1121">
        <f>MAX(AG9:AG83)</f>
        <v>11.07</v>
      </c>
      <c r="AH85" s="1226">
        <f>AVERAGE(AH9:AH83)</f>
        <v>403.61538461538464</v>
      </c>
      <c r="AI85" s="150"/>
      <c r="AJ85" s="150"/>
    </row>
    <row r="86" spans="1:38" s="561" customFormat="1" x14ac:dyDescent="0.25">
      <c r="A86" s="1178" t="s">
        <v>877</v>
      </c>
      <c r="B86" s="1179"/>
      <c r="C86" s="1180">
        <f ca="1">C88/$AH$84</f>
        <v>0.13184295788069372</v>
      </c>
      <c r="D86" s="2252" t="s">
        <v>879</v>
      </c>
      <c r="E86" s="2246"/>
      <c r="F86" s="1180">
        <f ca="1">F88/$AH$84</f>
        <v>6.1600914808461971E-2</v>
      </c>
      <c r="G86" s="2252" t="s">
        <v>881</v>
      </c>
      <c r="H86" s="2246"/>
      <c r="I86" s="1180">
        <f ca="1">I88/$AH$84</f>
        <v>1.2894987611968743E-2</v>
      </c>
      <c r="J86" s="1181" t="s">
        <v>898</v>
      </c>
      <c r="K86" s="1180">
        <f ca="1">K88/$AH$84</f>
        <v>3.0508862206975415E-3</v>
      </c>
      <c r="L86" s="1181" t="s">
        <v>883</v>
      </c>
      <c r="M86" s="1180">
        <f ca="1">M88/$AH$84</f>
        <v>6.295978654469217E-2</v>
      </c>
      <c r="N86" s="1181" t="s">
        <v>908</v>
      </c>
      <c r="O86" s="1180">
        <f ca="1">O88/$AH$84</f>
        <v>9.5292548122736798E-3</v>
      </c>
      <c r="P86" s="1181" t="s">
        <v>910</v>
      </c>
      <c r="Q86" s="1180">
        <f ca="1">Q88/$AH$84</f>
        <v>0</v>
      </c>
      <c r="R86" s="1181" t="s">
        <v>906</v>
      </c>
      <c r="S86" s="1241">
        <f ca="1">S88/$AH$84</f>
        <v>0</v>
      </c>
      <c r="T86" s="2252" t="s">
        <v>886</v>
      </c>
      <c r="U86" s="2246"/>
      <c r="V86" s="1180">
        <f ca="1">V88/$AH$84</f>
        <v>1.1823899371069181E-2</v>
      </c>
      <c r="W86" s="2252" t="s">
        <v>912</v>
      </c>
      <c r="X86" s="2246"/>
      <c r="Y86" s="1180">
        <f ca="1">Y88/$AH$84</f>
        <v>3.2189822755860492E-2</v>
      </c>
      <c r="Z86" s="2252" t="s">
        <v>889</v>
      </c>
      <c r="AA86" s="2246"/>
      <c r="AB86" s="1180">
        <f ca="1">AB88/$AH$84</f>
        <v>0.13908519153802171</v>
      </c>
      <c r="AC86" s="2252" t="s">
        <v>891</v>
      </c>
      <c r="AD86" s="2246"/>
      <c r="AE86" s="1180">
        <f ca="1">AE88/$AH$84</f>
        <v>0.12369353916523727</v>
      </c>
      <c r="AF86" s="944"/>
      <c r="AG86" s="49"/>
      <c r="AH86" s="1190"/>
      <c r="AI86" s="150"/>
      <c r="AJ86" s="150"/>
    </row>
    <row r="87" spans="1:38" s="561" customFormat="1" x14ac:dyDescent="0.25">
      <c r="A87" s="1192" t="s">
        <v>896</v>
      </c>
      <c r="B87" s="1193">
        <f ca="1">B88/AH84*100</f>
        <v>10.346293119878025</v>
      </c>
      <c r="C87" s="1183">
        <f ca="1">C86/$F$85</f>
        <v>0.13317931428260019</v>
      </c>
      <c r="D87" s="1184"/>
      <c r="E87" s="1185"/>
      <c r="F87" s="1183">
        <f ca="1">F86/$F$85</f>
        <v>6.2225299896530729E-2</v>
      </c>
      <c r="G87" s="1184"/>
      <c r="H87" s="1185"/>
      <c r="I87" s="1183">
        <f ca="1">I86/$F$85</f>
        <v>1.3025690832866994E-2</v>
      </c>
      <c r="J87" s="1243">
        <f ca="1">COUNTIFS(J9:J83,"&gt;="&amp;$C$85,J9:J83,"&lt;=" &amp;$D$85)</f>
        <v>2</v>
      </c>
      <c r="K87" s="1183">
        <f ca="1">K86/$F$85</f>
        <v>3.0818099150537221E-3</v>
      </c>
      <c r="L87" s="1184"/>
      <c r="M87" s="1183">
        <f ca="1">M86/$F$85</f>
        <v>6.3597945117316118E-2</v>
      </c>
      <c r="N87" s="1184"/>
      <c r="O87" s="1183">
        <f ca="1">O86/$F$85</f>
        <v>9.6258430630113759E-3</v>
      </c>
      <c r="P87" s="1184"/>
      <c r="Q87" s="1183">
        <f ca="1">Q86/$F$85</f>
        <v>0</v>
      </c>
      <c r="R87" s="1184"/>
      <c r="S87" s="1183">
        <f ca="1">S86/$F$85</f>
        <v>0</v>
      </c>
      <c r="T87" s="1184"/>
      <c r="U87" s="1185"/>
      <c r="V87" s="1183">
        <f ca="1">V86/$F$85</f>
        <v>1.1943746072584515E-2</v>
      </c>
      <c r="W87" s="1184"/>
      <c r="X87" s="1185"/>
      <c r="Y87" s="1183">
        <f ca="1">Y86/$F$85</f>
        <v>3.2516097866852431E-2</v>
      </c>
      <c r="Z87" s="1184"/>
      <c r="AA87" s="1185"/>
      <c r="AB87" s="1183">
        <f ca="1">AB86/$F$85</f>
        <v>0.14049495501048881</v>
      </c>
      <c r="AC87" s="1184"/>
      <c r="AD87" s="1185"/>
      <c r="AE87" s="1183">
        <f ca="1">AE86/$F$85</f>
        <v>0.12494729329511285</v>
      </c>
      <c r="AF87" s="1217"/>
      <c r="AG87" s="1"/>
      <c r="AH87" s="5"/>
    </row>
    <row r="88" spans="1:38" x14ac:dyDescent="0.25">
      <c r="A88" s="1191" t="s">
        <v>878</v>
      </c>
      <c r="B88" s="1196">
        <f ca="1">SUMIFS($B$9:$B$83,$A$9:$A$83,"&gt;="&amp;$C85,$A$9:$A$83,"&lt;="&amp;$D85)</f>
        <v>542.87</v>
      </c>
      <c r="C88" s="1197">
        <f ca="1">SUMIFS($C$9:$C$83,$A$9:$A$83,"&gt;="&amp;$C85,$A$9:$A$83,"&lt;="&amp;$D85)</f>
        <v>691.78</v>
      </c>
      <c r="D88" s="2251" t="s">
        <v>880</v>
      </c>
      <c r="E88" s="2250"/>
      <c r="F88" s="1197">
        <f ca="1">SUMIFS($F$9:$F$83,$D$9:$D$83,"&gt;="&amp;$C85,$D$9:$D$83,"&lt;="&amp;$D85)</f>
        <v>323.21999999999997</v>
      </c>
      <c r="G88" s="2251" t="s">
        <v>882</v>
      </c>
      <c r="H88" s="2250"/>
      <c r="I88" s="1197">
        <f ca="1">SUMIFS($I$9:$I$83,$G$9:$G$83,"&gt;="&amp;$C85,$G$9:$G$83,"&lt;="&amp;$D85)</f>
        <v>67.66</v>
      </c>
      <c r="J88" s="1157" t="s">
        <v>899</v>
      </c>
      <c r="K88" s="1158">
        <f ca="1">SUMIFS(K9:K83,J9:J83,"&gt;="&amp;$C85,J9:J83,"&lt;="&amp;$D85)</f>
        <v>16.007999999999999</v>
      </c>
      <c r="L88" s="1157" t="s">
        <v>884</v>
      </c>
      <c r="M88" s="1158">
        <f ca="1">SUMIFS(M9:M83,L9:L83,"&gt;="&amp;$C85,L9:L83,"&lt;="&amp;$D85)</f>
        <v>330.34999999999985</v>
      </c>
      <c r="N88" s="1157" t="s">
        <v>909</v>
      </c>
      <c r="O88" s="1158">
        <f ca="1">SUMIFS(O9:O83,N9:N83,"&gt;="&amp;$C85,N9:N83,"&lt;="&amp;$D85)</f>
        <v>50</v>
      </c>
      <c r="P88" s="1157" t="s">
        <v>911</v>
      </c>
      <c r="Q88" s="1158">
        <f ca="1">SUMIFS(Q9:Q83,P9:P83,"&gt;="&amp;$C85,P9:P83,"&lt;="&amp;$D85)</f>
        <v>0</v>
      </c>
      <c r="R88" s="1157" t="s">
        <v>907</v>
      </c>
      <c r="S88" s="1158">
        <f ca="1">SUMIFS(S9:S83,R9:R83,"&gt;="&amp;$C85,R9:R83,"&lt;="&amp;$D85)</f>
        <v>0</v>
      </c>
      <c r="T88" s="2251" t="s">
        <v>887</v>
      </c>
      <c r="U88" s="2250"/>
      <c r="V88" s="1158">
        <f ca="1">SUMIFS(V9:V83,T9:T83,"&gt;="&amp;$C85,T9:T83,"&lt;="&amp;$D85)</f>
        <v>62.039999999999992</v>
      </c>
      <c r="W88" s="2251" t="s">
        <v>913</v>
      </c>
      <c r="X88" s="2250"/>
      <c r="Y88" s="1158">
        <f ca="1">SUMIFS(Y9:Y83,W9:W83,"&gt;="&amp;$C85,W9:W83,"&lt;="&amp;$D85)</f>
        <v>168.9</v>
      </c>
      <c r="Z88" s="2251" t="s">
        <v>890</v>
      </c>
      <c r="AA88" s="2250"/>
      <c r="AB88" s="1158">
        <f ca="1">SUMIFS(AB9:AB83,Z9:Z83,"&gt;="&amp;$C85,Z9:Z83,"&lt;="&amp;$D85)</f>
        <v>729.77999999999986</v>
      </c>
      <c r="AC88" s="2251" t="s">
        <v>892</v>
      </c>
      <c r="AD88" s="2250"/>
      <c r="AE88" s="1158">
        <f ca="1">SUMIFS(AE9:AE83,AC9:AC83,"&gt;="&amp;$C85,AC9:AC83,"&lt;="&amp;$D85)</f>
        <v>649.02</v>
      </c>
      <c r="AI88" s="1"/>
      <c r="AJ88" s="1"/>
    </row>
    <row r="89" spans="1:38" x14ac:dyDescent="0.25">
      <c r="A89" s="1194" t="s">
        <v>897</v>
      </c>
      <c r="B89" s="1195"/>
      <c r="C89" s="1203">
        <f ca="1">C86-C6</f>
        <v>0</v>
      </c>
      <c r="D89" s="1205" t="s">
        <v>897</v>
      </c>
      <c r="E89" s="1195"/>
      <c r="F89" s="1206">
        <f ca="1">F86-F6</f>
        <v>2.8843237702958782E-2</v>
      </c>
      <c r="G89" s="1204" t="s">
        <v>897</v>
      </c>
      <c r="H89" s="1195"/>
      <c r="I89" s="1203">
        <f ca="1">I86-I6</f>
        <v>6.0377868417244946E-3</v>
      </c>
      <c r="J89" s="1205" t="s">
        <v>897</v>
      </c>
      <c r="K89" s="1206" t="e">
        <f ca="1">K86-K6</f>
        <v>#NAME?</v>
      </c>
      <c r="L89" s="1204" t="s">
        <v>897</v>
      </c>
      <c r="M89" s="1203">
        <f ca="1">M86-M6</f>
        <v>2.9479498716578269E-2</v>
      </c>
      <c r="N89" s="1205" t="s">
        <v>897</v>
      </c>
      <c r="O89" s="1206">
        <f ca="1">O86-O6</f>
        <v>4.4618584405294818E-3</v>
      </c>
      <c r="P89" s="1204" t="s">
        <v>897</v>
      </c>
      <c r="Q89" s="1203">
        <f ca="1">Q86-Q6</f>
        <v>0</v>
      </c>
      <c r="R89" s="1205" t="s">
        <v>897</v>
      </c>
      <c r="S89" s="1203">
        <f ca="1">S86-S6</f>
        <v>0</v>
      </c>
      <c r="T89" s="1205" t="s">
        <v>897</v>
      </c>
      <c r="U89" s="1195"/>
      <c r="V89" s="1206">
        <f ca="1">V86-V6</f>
        <v>5.5362739530089812E-3</v>
      </c>
      <c r="W89" s="1205" t="s">
        <v>897</v>
      </c>
      <c r="X89" s="1195"/>
      <c r="Y89" s="1206">
        <f ca="1">Y86-Y6</f>
        <v>1.5072157812108591E-2</v>
      </c>
      <c r="Z89" s="1205" t="s">
        <v>897</v>
      </c>
      <c r="AA89" s="1195"/>
      <c r="AB89" s="1206">
        <f ca="1">AB86-AB6</f>
        <v>6.5123501054592109E-2</v>
      </c>
      <c r="AC89" s="1205" t="s">
        <v>897</v>
      </c>
      <c r="AD89" s="1195"/>
      <c r="AE89" s="1206">
        <f ca="1">AE86-AE6</f>
        <v>5.7916707301448891E-2</v>
      </c>
      <c r="AF89" s="1"/>
      <c r="AG89" s="5"/>
      <c r="AH89" s="61"/>
      <c r="AI89" s="1"/>
      <c r="AJ89" s="1"/>
    </row>
    <row r="90" spans="1:38" x14ac:dyDescent="0.25">
      <c r="A90" s="53"/>
      <c r="D90" s="56"/>
      <c r="E90" s="6"/>
      <c r="F90" s="55"/>
      <c r="I90" s="52"/>
      <c r="K90" s="229"/>
      <c r="M90" s="229"/>
      <c r="O90" s="229"/>
      <c r="Q90" s="229"/>
      <c r="S90" s="229"/>
      <c r="T90" s="2245" t="s">
        <v>893</v>
      </c>
      <c r="U90" s="2246"/>
      <c r="V90" s="2246"/>
      <c r="W90" s="2246"/>
      <c r="X90" s="2246"/>
      <c r="Y90" s="2246"/>
      <c r="Z90" s="2246"/>
      <c r="AA90" s="2246"/>
      <c r="AB90" s="2246"/>
      <c r="AC90" s="2246"/>
      <c r="AD90" s="2246"/>
      <c r="AE90" s="1180">
        <f ca="1">AE92/$AH$84</f>
        <v>0.30679245283018863</v>
      </c>
      <c r="AI90" s="1"/>
      <c r="AJ90" s="1"/>
    </row>
    <row r="91" spans="1:38" x14ac:dyDescent="0.25">
      <c r="A91" s="53"/>
      <c r="D91" s="56"/>
      <c r="E91" s="6"/>
      <c r="F91" s="55"/>
      <c r="I91" s="52"/>
      <c r="K91" s="229"/>
      <c r="M91" s="229"/>
      <c r="O91" s="229"/>
      <c r="Q91" s="229"/>
      <c r="S91" s="229"/>
      <c r="T91" s="2247"/>
      <c r="U91" s="2248"/>
      <c r="V91" s="2248"/>
      <c r="W91" s="2248"/>
      <c r="X91" s="2248"/>
      <c r="Y91" s="2248"/>
      <c r="Z91" s="2248"/>
      <c r="AA91" s="2248"/>
      <c r="AB91" s="2248"/>
      <c r="AC91" s="2248"/>
      <c r="AD91" s="2248"/>
      <c r="AE91" s="1183">
        <f ca="1">AE90/$F$85</f>
        <v>0.30990209224503862</v>
      </c>
      <c r="AI91" s="1"/>
      <c r="AJ91" s="1"/>
    </row>
    <row r="92" spans="1:38" s="828" customFormat="1" x14ac:dyDescent="0.25">
      <c r="A92" s="53"/>
      <c r="B92" s="61"/>
      <c r="C92" s="55"/>
      <c r="D92" s="56"/>
      <c r="E92" s="6"/>
      <c r="F92" s="55"/>
      <c r="G92" s="1"/>
      <c r="H92" s="1"/>
      <c r="I92" s="52"/>
      <c r="J92" s="478"/>
      <c r="K92" s="618"/>
      <c r="L92" s="827"/>
      <c r="M92" s="618"/>
      <c r="N92" s="827"/>
      <c r="O92" s="618"/>
      <c r="P92" s="827"/>
      <c r="Q92" s="618"/>
      <c r="R92" s="827"/>
      <c r="S92" s="618"/>
      <c r="T92" s="2249" t="s">
        <v>894</v>
      </c>
      <c r="U92" s="2250"/>
      <c r="V92" s="2250"/>
      <c r="W92" s="2250"/>
      <c r="X92" s="2250"/>
      <c r="Y92" s="2250"/>
      <c r="Z92" s="2250"/>
      <c r="AA92" s="2250"/>
      <c r="AB92" s="2250"/>
      <c r="AC92" s="2250"/>
      <c r="AD92" s="2250"/>
      <c r="AE92" s="1158">
        <f ca="1">V88+Y88+AB88+AE88</f>
        <v>1609.7399999999998</v>
      </c>
      <c r="AF92" s="618"/>
      <c r="AH92" s="829"/>
    </row>
    <row r="93" spans="1:38" s="800" customFormat="1" x14ac:dyDescent="0.25">
      <c r="A93" s="827"/>
      <c r="B93" s="537"/>
      <c r="C93" s="537"/>
      <c r="D93" s="537"/>
      <c r="E93" s="596"/>
      <c r="F93" s="751"/>
      <c r="G93" s="537"/>
      <c r="H93" s="828"/>
      <c r="I93" s="537"/>
      <c r="J93" s="827"/>
      <c r="K93" s="764"/>
      <c r="L93" s="799"/>
      <c r="M93" s="764"/>
      <c r="N93" s="799"/>
      <c r="O93" s="764"/>
      <c r="P93" s="799"/>
      <c r="Q93" s="764"/>
      <c r="R93" s="799"/>
      <c r="S93" s="764"/>
      <c r="T93" s="799"/>
      <c r="U93" s="799"/>
      <c r="V93" s="764"/>
      <c r="W93" s="764"/>
      <c r="X93" s="764"/>
      <c r="Y93" s="764"/>
      <c r="Z93" s="799"/>
      <c r="AA93" s="799"/>
      <c r="AB93" s="764"/>
      <c r="AC93" s="799"/>
      <c r="AD93" s="799"/>
      <c r="AE93" s="764"/>
      <c r="AF93" s="764"/>
      <c r="AH93" s="801"/>
      <c r="AI93" s="802"/>
      <c r="AJ93" s="802"/>
    </row>
    <row r="94" spans="1:38" s="800" customFormat="1" x14ac:dyDescent="0.25">
      <c r="A94" s="799">
        <v>43558</v>
      </c>
      <c r="B94" s="750" t="s">
        <v>604</v>
      </c>
      <c r="C94" s="750"/>
      <c r="D94" s="750" t="s">
        <v>605</v>
      </c>
      <c r="E94" s="776">
        <v>5</v>
      </c>
      <c r="F94" s="918">
        <v>331.92</v>
      </c>
      <c r="G94" s="750" t="s">
        <v>606</v>
      </c>
      <c r="I94" s="750"/>
      <c r="J94" s="764"/>
      <c r="L94" s="801"/>
      <c r="M94" s="802"/>
      <c r="N94" s="802"/>
      <c r="S94" s="1098"/>
      <c r="T94" s="776"/>
      <c r="U94" s="776"/>
      <c r="V94" s="1099"/>
      <c r="W94" s="5"/>
    </row>
    <row r="95" spans="1:38" s="800" customFormat="1" x14ac:dyDescent="0.25">
      <c r="A95" s="799">
        <v>44510</v>
      </c>
      <c r="B95" s="750" t="s">
        <v>1474</v>
      </c>
      <c r="C95" s="750"/>
      <c r="D95" s="750" t="s">
        <v>1475</v>
      </c>
      <c r="E95" s="776">
        <v>8703</v>
      </c>
      <c r="F95" s="918">
        <v>64.88</v>
      </c>
      <c r="G95" s="750" t="s">
        <v>1476</v>
      </c>
      <c r="I95" s="750"/>
      <c r="J95" s="764"/>
      <c r="L95" s="801"/>
      <c r="M95" s="802"/>
      <c r="N95" s="802"/>
      <c r="S95" s="1098"/>
      <c r="T95" s="776"/>
      <c r="U95" s="776"/>
      <c r="V95" s="1099"/>
      <c r="W95" s="5"/>
    </row>
    <row r="96" spans="1:38" s="800" customFormat="1" x14ac:dyDescent="0.25">
      <c r="A96" s="799">
        <v>44599</v>
      </c>
      <c r="B96" s="750" t="s">
        <v>1474</v>
      </c>
      <c r="C96" s="750"/>
      <c r="D96" s="750" t="s">
        <v>1545</v>
      </c>
      <c r="E96" s="776">
        <v>11061</v>
      </c>
      <c r="F96" s="918">
        <v>252.32</v>
      </c>
      <c r="G96" s="750" t="s">
        <v>1546</v>
      </c>
      <c r="I96" s="750"/>
      <c r="J96" s="764"/>
      <c r="L96" s="801"/>
      <c r="M96" s="802"/>
      <c r="N96" s="802"/>
      <c r="S96" s="1098"/>
      <c r="T96" s="776"/>
      <c r="U96" s="776"/>
      <c r="V96" s="1099"/>
      <c r="W96" s="5"/>
    </row>
    <row r="97" spans="1:41" s="800" customFormat="1" x14ac:dyDescent="0.25">
      <c r="A97" s="799"/>
      <c r="B97" s="750"/>
      <c r="C97" s="750"/>
      <c r="D97" s="750"/>
      <c r="E97" s="776"/>
      <c r="F97" s="918"/>
      <c r="G97" s="750"/>
      <c r="I97" s="750"/>
      <c r="J97" s="764"/>
      <c r="L97" s="801"/>
      <c r="M97" s="802"/>
      <c r="N97" s="802"/>
      <c r="S97" s="1098"/>
      <c r="T97" s="776"/>
      <c r="U97" s="776"/>
      <c r="V97" s="1099"/>
      <c r="W97" s="776"/>
      <c r="AM97" s="1"/>
      <c r="AN97" s="1"/>
      <c r="AO97" s="1"/>
    </row>
    <row r="98" spans="1:41" s="7" customFormat="1" x14ac:dyDescent="0.25">
      <c r="A98" s="799"/>
      <c r="B98" s="750"/>
      <c r="C98" s="750"/>
      <c r="D98" s="750"/>
      <c r="E98" s="776"/>
      <c r="F98" s="918"/>
      <c r="G98" s="750"/>
      <c r="H98" s="800"/>
      <c r="I98" s="800"/>
      <c r="J98" s="764"/>
      <c r="K98" s="800"/>
      <c r="L98" s="801"/>
      <c r="M98" s="802"/>
      <c r="N98" s="776"/>
      <c r="O98" s="909"/>
      <c r="P98" s="909"/>
    </row>
    <row r="99" spans="1:41" s="7" customFormat="1" x14ac:dyDescent="0.25">
      <c r="A99" s="799"/>
      <c r="B99" s="750"/>
      <c r="C99" s="750"/>
      <c r="D99" s="750"/>
      <c r="E99" s="776"/>
      <c r="F99" s="918"/>
      <c r="G99" s="750"/>
      <c r="H99" s="800"/>
      <c r="I99" s="800"/>
      <c r="J99" s="764"/>
      <c r="K99" s="800"/>
      <c r="L99" s="801"/>
      <c r="M99" s="802"/>
      <c r="N99" s="776"/>
      <c r="O99" s="909"/>
      <c r="P99" s="909"/>
    </row>
    <row r="100" spans="1:41" s="7" customFormat="1" x14ac:dyDescent="0.25">
      <c r="A100" s="799"/>
      <c r="B100" s="750"/>
      <c r="C100" s="750"/>
      <c r="D100" s="750"/>
      <c r="E100" s="776"/>
      <c r="F100" s="918"/>
      <c r="G100" s="750"/>
      <c r="J100" s="918"/>
      <c r="L100" s="776"/>
      <c r="M100" s="909"/>
      <c r="N100" s="909"/>
      <c r="O100" s="909"/>
    </row>
    <row r="101" spans="1:41" s="7" customFormat="1" x14ac:dyDescent="0.25">
      <c r="A101" s="799"/>
      <c r="B101" s="750"/>
      <c r="C101" s="750"/>
      <c r="D101" s="750"/>
      <c r="E101" s="776"/>
      <c r="F101" s="918"/>
      <c r="G101" s="750"/>
      <c r="J101" s="918"/>
      <c r="L101" s="776"/>
      <c r="M101" s="909"/>
      <c r="N101" s="909"/>
      <c r="O101" s="909"/>
    </row>
    <row r="102" spans="1:41" s="7" customFormat="1" x14ac:dyDescent="0.25">
      <c r="A102" s="799"/>
      <c r="B102" s="750"/>
      <c r="C102" s="750"/>
      <c r="D102" s="750"/>
      <c r="E102" s="776"/>
      <c r="F102" s="918"/>
      <c r="G102" s="750"/>
      <c r="H102" s="800"/>
      <c r="I102" s="800"/>
      <c r="J102" s="764"/>
      <c r="K102" s="800"/>
      <c r="L102" s="801"/>
      <c r="M102" s="802"/>
      <c r="N102" s="776"/>
      <c r="O102" s="909"/>
      <c r="P102" s="909"/>
    </row>
    <row r="103" spans="1:41" s="7" customFormat="1" x14ac:dyDescent="0.25">
      <c r="A103" s="799"/>
      <c r="B103" s="750"/>
      <c r="C103" s="750"/>
      <c r="D103" s="750"/>
      <c r="E103" s="776"/>
      <c r="F103" s="918"/>
      <c r="G103" s="750"/>
      <c r="H103" s="800"/>
      <c r="I103" s="800"/>
      <c r="J103" s="764"/>
      <c r="K103" s="800"/>
      <c r="L103" s="801"/>
      <c r="M103" s="802"/>
      <c r="N103" s="776"/>
      <c r="O103" s="909"/>
      <c r="P103" s="909"/>
    </row>
    <row r="104" spans="1:41" s="600" customFormat="1" x14ac:dyDescent="0.25">
      <c r="A104" s="827"/>
      <c r="B104" s="537"/>
      <c r="C104" s="537"/>
      <c r="D104" s="537"/>
      <c r="E104" s="596"/>
      <c r="F104" s="751"/>
      <c r="G104" s="537"/>
      <c r="H104" s="828"/>
      <c r="I104" s="828"/>
      <c r="J104" s="618"/>
      <c r="K104" s="828"/>
      <c r="L104" s="829"/>
      <c r="M104" s="830"/>
      <c r="N104" s="596"/>
      <c r="O104" s="597"/>
      <c r="P104" s="597"/>
    </row>
    <row r="105" spans="1:41" x14ac:dyDescent="0.25">
      <c r="E105" s="57"/>
      <c r="I105" s="6"/>
    </row>
    <row r="106" spans="1:41" x14ac:dyDescent="0.25">
      <c r="E106" s="57"/>
      <c r="I106" s="476"/>
    </row>
    <row r="107" spans="1:41" x14ac:dyDescent="0.25">
      <c r="E107" s="57"/>
      <c r="I107" s="476"/>
    </row>
  </sheetData>
  <mergeCells count="44">
    <mergeCell ref="T90:AD90"/>
    <mergeCell ref="T91:AD91"/>
    <mergeCell ref="T92:AD92"/>
    <mergeCell ref="AC86:AD86"/>
    <mergeCell ref="D88:E88"/>
    <mergeCell ref="G88:H88"/>
    <mergeCell ref="T88:U88"/>
    <mergeCell ref="W88:X88"/>
    <mergeCell ref="Z88:AA88"/>
    <mergeCell ref="AC88:AD88"/>
    <mergeCell ref="Z86:AA86"/>
    <mergeCell ref="K85:L85"/>
    <mergeCell ref="D86:E86"/>
    <mergeCell ref="G86:H86"/>
    <mergeCell ref="T86:U86"/>
    <mergeCell ref="W86:X86"/>
    <mergeCell ref="AC8:AD8"/>
    <mergeCell ref="D6:E6"/>
    <mergeCell ref="G6:H6"/>
    <mergeCell ref="T6:U6"/>
    <mergeCell ref="W6:X6"/>
    <mergeCell ref="Z6:AA6"/>
    <mergeCell ref="AC6:AD6"/>
    <mergeCell ref="D8:E8"/>
    <mergeCell ref="G8:H8"/>
    <mergeCell ref="T8:U8"/>
    <mergeCell ref="W8:X8"/>
    <mergeCell ref="Z8:AA8"/>
    <mergeCell ref="H1:I1"/>
    <mergeCell ref="AJ1:AJ7"/>
    <mergeCell ref="D2:F2"/>
    <mergeCell ref="I2:J2"/>
    <mergeCell ref="B3:C3"/>
    <mergeCell ref="G3:H3"/>
    <mergeCell ref="AF1:AF8"/>
    <mergeCell ref="AG1:AG8"/>
    <mergeCell ref="AH1:AH8"/>
    <mergeCell ref="AI1:AI8"/>
    <mergeCell ref="T3:AD3"/>
    <mergeCell ref="B4:C4"/>
    <mergeCell ref="D4:E4"/>
    <mergeCell ref="T4:AD4"/>
    <mergeCell ref="A5:D5"/>
    <mergeCell ref="T5:AD5"/>
  </mergeCells>
  <conditionalFormatting sqref="AL83:AL84 AL9:AL30">
    <cfRule type="cellIs" dxfId="112" priority="5" operator="greaterThan">
      <formula>0</formula>
    </cfRule>
    <cfRule type="cellIs" dxfId="111" priority="6" operator="lessThan">
      <formula>0</formula>
    </cfRule>
  </conditionalFormatting>
  <conditionalFormatting sqref="AL31:AL82">
    <cfRule type="cellIs" dxfId="110" priority="3" operator="greaterThan">
      <formula>0</formula>
    </cfRule>
    <cfRule type="cellIs" dxfId="109" priority="4" operator="lessThan">
      <formula>0</formula>
    </cfRule>
  </conditionalFormatting>
  <conditionalFormatting sqref="AF9:AF82">
    <cfRule type="cellIs" dxfId="108" priority="416" operator="lessThan">
      <formula>$AF$84</formula>
    </cfRule>
    <cfRule type="cellIs" dxfId="107" priority="417" operator="greaterThan">
      <formula>$AF$84</formula>
    </cfRule>
  </conditionalFormatting>
  <conditionalFormatting sqref="AG9:AG82">
    <cfRule type="cellIs" dxfId="106" priority="418" operator="equal">
      <formula>$AG$85</formula>
    </cfRule>
    <cfRule type="cellIs" dxfId="105" priority="419" operator="lessThan">
      <formula>$AG$84</formula>
    </cfRule>
    <cfRule type="cellIs" dxfId="104" priority="420" operator="greaterThan">
      <formula>$AG$84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>
    <pageSetUpPr fitToPage="1"/>
  </sheetPr>
  <dimension ref="A1:R1048573"/>
  <sheetViews>
    <sheetView topLeftCell="A25" workbookViewId="0">
      <selection activeCell="L43" sqref="L43:M43"/>
    </sheetView>
  </sheetViews>
  <sheetFormatPr defaultColWidth="9" defaultRowHeight="15.75" x14ac:dyDescent="0.25"/>
  <cols>
    <col min="1" max="1" width="48.375" style="1" customWidth="1"/>
    <col min="2" max="2" width="13.625" style="1" customWidth="1"/>
    <col min="3" max="3" width="13.625" style="436" customWidth="1"/>
    <col min="4" max="5" width="13.625" style="1" hidden="1" customWidth="1"/>
    <col min="6" max="9" width="13.625" style="1" customWidth="1"/>
    <col min="10" max="10" width="12.625" style="1" customWidth="1"/>
    <col min="11" max="11" width="9" style="1"/>
    <col min="12" max="12" width="11.125" style="1" customWidth="1"/>
    <col min="13" max="13" width="12.75" style="1" customWidth="1"/>
    <col min="14" max="14" width="12.375" style="1" customWidth="1"/>
    <col min="15" max="15" width="11.625" style="1" customWidth="1"/>
    <col min="16" max="16" width="9" style="1"/>
    <col min="17" max="17" width="9" style="475"/>
    <col min="18" max="16384" width="9" style="1"/>
  </cols>
  <sheetData>
    <row r="1" spans="1:10" ht="18.75" x14ac:dyDescent="0.25">
      <c r="A1" s="2295" t="s">
        <v>253</v>
      </c>
      <c r="B1" s="2295"/>
      <c r="C1" s="2295"/>
      <c r="D1" s="2295"/>
      <c r="E1" s="2295"/>
    </row>
    <row r="2" spans="1:10" x14ac:dyDescent="0.25">
      <c r="A2" s="2304" t="s">
        <v>237</v>
      </c>
      <c r="B2" s="2305"/>
      <c r="C2" s="2305"/>
      <c r="D2" s="2305"/>
      <c r="E2" s="2306"/>
    </row>
    <row r="3" spans="1:10" x14ac:dyDescent="0.25">
      <c r="A3" s="2307" t="s">
        <v>238</v>
      </c>
      <c r="B3" s="2308"/>
      <c r="C3" s="437">
        <v>1193.54</v>
      </c>
      <c r="D3" s="250">
        <v>1</v>
      </c>
      <c r="E3" s="438">
        <f>C3/D3/(30/7*5)</f>
        <v>55.698533333333337</v>
      </c>
      <c r="G3" s="51"/>
      <c r="H3" s="51"/>
      <c r="I3" s="51"/>
    </row>
    <row r="4" spans="1:10" x14ac:dyDescent="0.25">
      <c r="A4" s="439" t="s">
        <v>243</v>
      </c>
      <c r="B4" s="254">
        <v>4.5</v>
      </c>
      <c r="C4" s="254">
        <v>6.7</v>
      </c>
      <c r="D4" s="254">
        <v>10.3</v>
      </c>
      <c r="E4" s="438">
        <f>AVERAGE(B4:D4)</f>
        <v>7.166666666666667</v>
      </c>
    </row>
    <row r="5" spans="1:10" x14ac:dyDescent="0.25">
      <c r="A5" s="439"/>
      <c r="B5" s="49"/>
      <c r="C5" s="49"/>
      <c r="D5" s="49"/>
      <c r="E5" s="440"/>
    </row>
    <row r="6" spans="1:10" ht="16.5" thickBot="1" x14ac:dyDescent="0.3">
      <c r="A6" s="2309" t="s">
        <v>239</v>
      </c>
      <c r="B6" s="2310"/>
      <c r="C6" s="2310"/>
      <c r="D6" s="2310"/>
      <c r="E6" s="441">
        <f>SUM(E3:E5)</f>
        <v>62.865200000000002</v>
      </c>
    </row>
    <row r="7" spans="1:10" ht="16.5" thickTop="1" x14ac:dyDescent="0.25">
      <c r="A7" s="2296" t="s">
        <v>220</v>
      </c>
      <c r="B7" s="2297"/>
      <c r="C7" s="2297"/>
      <c r="D7" s="2297"/>
      <c r="E7" s="2298"/>
    </row>
    <row r="8" spans="1:10" x14ac:dyDescent="0.25">
      <c r="A8" s="439" t="s">
        <v>325</v>
      </c>
      <c r="B8" s="49"/>
      <c r="C8" s="437">
        <f>101700-5004-2692.8</f>
        <v>94003.199999999997</v>
      </c>
      <c r="D8" s="250">
        <v>15</v>
      </c>
      <c r="E8" s="438">
        <f t="shared" ref="E8:E13" si="0">C8/D8/(365.25/7*5)</f>
        <v>24.020895277207391</v>
      </c>
    </row>
    <row r="9" spans="1:10" x14ac:dyDescent="0.25">
      <c r="A9" s="439" t="s">
        <v>240</v>
      </c>
      <c r="B9" s="49"/>
      <c r="C9" s="437">
        <v>66</v>
      </c>
      <c r="D9" s="250">
        <f>D8</f>
        <v>15</v>
      </c>
      <c r="E9" s="438">
        <f t="shared" si="0"/>
        <v>1.6865160848733744E-2</v>
      </c>
      <c r="G9" s="51"/>
      <c r="H9" s="51"/>
      <c r="I9" s="51"/>
      <c r="J9" s="51"/>
    </row>
    <row r="10" spans="1:10" x14ac:dyDescent="0.25">
      <c r="A10" s="439" t="s">
        <v>256</v>
      </c>
      <c r="B10" s="49"/>
      <c r="C10" s="437">
        <v>50</v>
      </c>
      <c r="D10" s="250">
        <f>D9</f>
        <v>15</v>
      </c>
      <c r="E10" s="438">
        <f t="shared" si="0"/>
        <v>1.2776637006616472E-2</v>
      </c>
    </row>
    <row r="11" spans="1:10" x14ac:dyDescent="0.25">
      <c r="A11" s="439" t="s">
        <v>241</v>
      </c>
      <c r="B11" s="49"/>
      <c r="C11" s="437">
        <f>71*1.2</f>
        <v>85.2</v>
      </c>
      <c r="D11" s="250">
        <f>D10</f>
        <v>15</v>
      </c>
      <c r="E11" s="438">
        <f t="shared" si="0"/>
        <v>2.1771389459274471E-2</v>
      </c>
    </row>
    <row r="12" spans="1:10" x14ac:dyDescent="0.25">
      <c r="A12" s="439" t="s">
        <v>242</v>
      </c>
      <c r="B12" s="49"/>
      <c r="C12" s="437">
        <v>30</v>
      </c>
      <c r="D12" s="250">
        <f>D11</f>
        <v>15</v>
      </c>
      <c r="E12" s="438">
        <f t="shared" si="0"/>
        <v>7.6659822039698827E-3</v>
      </c>
    </row>
    <row r="13" spans="1:10" x14ac:dyDescent="0.25">
      <c r="A13" s="439" t="s">
        <v>257</v>
      </c>
      <c r="B13" s="49"/>
      <c r="C13" s="437">
        <v>1260</v>
      </c>
      <c r="D13" s="250">
        <f>D12</f>
        <v>15</v>
      </c>
      <c r="E13" s="438">
        <f t="shared" si="0"/>
        <v>0.32197125256673509</v>
      </c>
    </row>
    <row r="14" spans="1:10" x14ac:dyDescent="0.25">
      <c r="A14" s="439"/>
      <c r="B14" s="49"/>
      <c r="C14" s="437"/>
      <c r="D14" s="49"/>
      <c r="E14" s="440"/>
    </row>
    <row r="15" spans="1:10" ht="16.5" thickBot="1" x14ac:dyDescent="0.3">
      <c r="A15" s="2309" t="s">
        <v>225</v>
      </c>
      <c r="B15" s="2310"/>
      <c r="C15" s="442">
        <f>SUM(C8:C14)</f>
        <v>95494.399999999994</v>
      </c>
      <c r="D15" s="443"/>
      <c r="E15" s="441">
        <f>SUM(E8:E14)</f>
        <v>24.401945699292725</v>
      </c>
    </row>
    <row r="16" spans="1:10" ht="16.5" thickTop="1" x14ac:dyDescent="0.25">
      <c r="A16" s="2296" t="s">
        <v>221</v>
      </c>
      <c r="B16" s="2297"/>
      <c r="C16" s="2297"/>
      <c r="D16" s="2297"/>
      <c r="E16" s="2298"/>
    </row>
    <row r="17" spans="1:18" x14ac:dyDescent="0.25">
      <c r="A17" s="439" t="s">
        <v>222</v>
      </c>
      <c r="B17" s="49"/>
      <c r="C17" s="437">
        <v>2692.8</v>
      </c>
      <c r="D17" s="250">
        <v>4</v>
      </c>
      <c r="E17" s="438">
        <f t="shared" ref="E17:E27" si="1">C17/D17/(365.25/7*5)</f>
        <v>2.580369609856263</v>
      </c>
    </row>
    <row r="18" spans="1:18" x14ac:dyDescent="0.25">
      <c r="A18" s="439" t="s">
        <v>223</v>
      </c>
      <c r="B18" s="49"/>
      <c r="C18" s="437">
        <v>5004</v>
      </c>
      <c r="D18" s="250">
        <v>4</v>
      </c>
      <c r="E18" s="438">
        <f t="shared" si="1"/>
        <v>4.7950718685831619</v>
      </c>
    </row>
    <row r="19" spans="1:18" x14ac:dyDescent="0.25">
      <c r="A19" s="439" t="s">
        <v>224</v>
      </c>
      <c r="B19" s="49"/>
      <c r="C19" s="437">
        <v>666</v>
      </c>
      <c r="D19" s="250">
        <v>1</v>
      </c>
      <c r="E19" s="438">
        <f t="shared" si="1"/>
        <v>2.5527720739219708</v>
      </c>
    </row>
    <row r="20" spans="1:18" x14ac:dyDescent="0.25">
      <c r="A20" s="439" t="s">
        <v>258</v>
      </c>
      <c r="B20" s="49"/>
      <c r="C20" s="437">
        <v>388.5</v>
      </c>
      <c r="D20" s="250">
        <v>1</v>
      </c>
      <c r="E20" s="438">
        <f>C20/D20/(365.25/7*5)</f>
        <v>1.4891170431211498</v>
      </c>
      <c r="F20" s="476" t="s">
        <v>261</v>
      </c>
    </row>
    <row r="21" spans="1:18" x14ac:dyDescent="0.25">
      <c r="A21" s="439" t="s">
        <v>227</v>
      </c>
      <c r="B21" s="49"/>
      <c r="C21" s="437">
        <v>85.2</v>
      </c>
      <c r="D21" s="250">
        <v>2</v>
      </c>
      <c r="E21" s="438">
        <f t="shared" si="1"/>
        <v>0.1632854209445585</v>
      </c>
    </row>
    <row r="22" spans="1:18" x14ac:dyDescent="0.25">
      <c r="A22" s="439" t="s">
        <v>228</v>
      </c>
      <c r="B22" s="49"/>
      <c r="C22" s="437">
        <v>45</v>
      </c>
      <c r="D22" s="250">
        <v>1</v>
      </c>
      <c r="E22" s="438">
        <f t="shared" si="1"/>
        <v>0.17248459958932236</v>
      </c>
    </row>
    <row r="23" spans="1:18" x14ac:dyDescent="0.25">
      <c r="A23" s="439" t="s">
        <v>229</v>
      </c>
      <c r="B23" s="49"/>
      <c r="C23" s="437">
        <v>32</v>
      </c>
      <c r="D23" s="250">
        <v>1</v>
      </c>
      <c r="E23" s="438">
        <f t="shared" si="1"/>
        <v>0.12265571526351812</v>
      </c>
    </row>
    <row r="24" spans="1:18" x14ac:dyDescent="0.25">
      <c r="A24" s="439" t="s">
        <v>232</v>
      </c>
      <c r="B24" s="49"/>
      <c r="C24" s="437">
        <f>111*2</f>
        <v>222</v>
      </c>
      <c r="D24" s="250">
        <v>1</v>
      </c>
      <c r="E24" s="438">
        <f t="shared" si="1"/>
        <v>0.85092402464065697</v>
      </c>
    </row>
    <row r="25" spans="1:18" x14ac:dyDescent="0.25">
      <c r="A25" s="439" t="s">
        <v>233</v>
      </c>
      <c r="B25" s="49"/>
      <c r="C25" s="437">
        <v>1000</v>
      </c>
      <c r="D25" s="250">
        <v>1</v>
      </c>
      <c r="E25" s="438">
        <f t="shared" si="1"/>
        <v>3.8329911019849416</v>
      </c>
    </row>
    <row r="26" spans="1:18" x14ac:dyDescent="0.25">
      <c r="A26" s="439" t="s">
        <v>230</v>
      </c>
      <c r="B26" s="49"/>
      <c r="C26" s="437">
        <f>13.5*26</f>
        <v>351</v>
      </c>
      <c r="D26" s="250">
        <v>1</v>
      </c>
      <c r="E26" s="438">
        <f t="shared" si="1"/>
        <v>1.3453798767967144</v>
      </c>
    </row>
    <row r="27" spans="1:18" x14ac:dyDescent="0.25">
      <c r="A27" s="439" t="s">
        <v>234</v>
      </c>
      <c r="B27" s="49"/>
      <c r="C27" s="437">
        <f>C25/2</f>
        <v>500</v>
      </c>
      <c r="D27" s="250">
        <v>1</v>
      </c>
      <c r="E27" s="438">
        <f t="shared" si="1"/>
        <v>1.9164955509924708</v>
      </c>
    </row>
    <row r="28" spans="1:18" x14ac:dyDescent="0.25">
      <c r="A28" s="439"/>
      <c r="B28" s="49"/>
      <c r="C28" s="437"/>
      <c r="D28" s="49"/>
      <c r="E28" s="440"/>
    </row>
    <row r="29" spans="1:18" ht="16.5" thickBot="1" x14ac:dyDescent="0.3">
      <c r="A29" s="2309" t="s">
        <v>226</v>
      </c>
      <c r="B29" s="2310"/>
      <c r="C29" s="2310"/>
      <c r="D29" s="2310"/>
      <c r="E29" s="441">
        <f>SUM(E17:E28)</f>
        <v>19.82154688569473</v>
      </c>
    </row>
    <row r="30" spans="1:18" ht="16.5" thickTop="1" x14ac:dyDescent="0.25">
      <c r="A30" s="2296" t="s">
        <v>235</v>
      </c>
      <c r="B30" s="2297"/>
      <c r="C30" s="2297"/>
      <c r="D30" s="2297"/>
      <c r="E30" s="2298"/>
    </row>
    <row r="31" spans="1:18" x14ac:dyDescent="0.25">
      <c r="A31" s="439" t="s">
        <v>308</v>
      </c>
      <c r="B31" s="254">
        <v>1.34</v>
      </c>
      <c r="C31" s="444">
        <v>24</v>
      </c>
      <c r="D31" s="250">
        <v>100</v>
      </c>
      <c r="E31" s="438">
        <f>B31*C31/D31</f>
        <v>0.32160000000000005</v>
      </c>
      <c r="J31" s="51"/>
    </row>
    <row r="32" spans="1:18" x14ac:dyDescent="0.25">
      <c r="A32" s="439" t="s">
        <v>254</v>
      </c>
      <c r="B32" s="437"/>
      <c r="C32" s="437">
        <f>SUM(N32:Q32)</f>
        <v>51.2</v>
      </c>
      <c r="D32" s="250">
        <f>SUM(J32:M32)</f>
        <v>1746</v>
      </c>
      <c r="E32" s="438">
        <f>C32/D32</f>
        <v>2.9324169530355097E-2</v>
      </c>
      <c r="J32" s="1">
        <v>401</v>
      </c>
      <c r="K32" s="1">
        <v>401</v>
      </c>
      <c r="L32" s="1">
        <v>472</v>
      </c>
      <c r="M32" s="1">
        <v>472</v>
      </c>
      <c r="N32" s="51">
        <v>11.32</v>
      </c>
      <c r="O32" s="51">
        <v>11.32</v>
      </c>
      <c r="P32" s="51">
        <v>14.28</v>
      </c>
      <c r="Q32" s="542">
        <v>14.28</v>
      </c>
      <c r="R32" s="54">
        <f>SUM(N32:Q32)/SUM(J32:M32)</f>
        <v>2.9324169530355097E-2</v>
      </c>
    </row>
    <row r="33" spans="1:18" x14ac:dyDescent="0.25">
      <c r="A33" s="439" t="s">
        <v>231</v>
      </c>
      <c r="B33" s="49"/>
      <c r="C33" s="437">
        <v>1000</v>
      </c>
      <c r="D33" s="250">
        <v>20000</v>
      </c>
      <c r="E33" s="438">
        <f>C33/D33</f>
        <v>0.05</v>
      </c>
    </row>
    <row r="34" spans="1:18" x14ac:dyDescent="0.25">
      <c r="A34" s="439" t="s">
        <v>244</v>
      </c>
      <c r="B34" s="49"/>
      <c r="C34" s="437">
        <f>6*300</f>
        <v>1800</v>
      </c>
      <c r="D34" s="250">
        <v>60000</v>
      </c>
      <c r="E34" s="438">
        <f>C34/D34</f>
        <v>0.03</v>
      </c>
    </row>
    <row r="35" spans="1:18" x14ac:dyDescent="0.25">
      <c r="A35" s="439"/>
      <c r="B35" s="49"/>
      <c r="C35" s="437"/>
      <c r="D35" s="49"/>
      <c r="E35" s="440"/>
    </row>
    <row r="36" spans="1:18" ht="16.5" thickBot="1" x14ac:dyDescent="0.3">
      <c r="A36" s="2309" t="s">
        <v>236</v>
      </c>
      <c r="B36" s="2310"/>
      <c r="C36" s="2310"/>
      <c r="D36" s="2310"/>
      <c r="E36" s="441">
        <f>SUM(E31:E35)</f>
        <v>0.43092416953035517</v>
      </c>
    </row>
    <row r="37" spans="1:18" ht="16.5" thickTop="1" x14ac:dyDescent="0.25">
      <c r="A37" s="2328" t="s">
        <v>289</v>
      </c>
      <c r="B37" s="2329"/>
      <c r="C37" s="2329"/>
      <c r="D37" s="2329"/>
      <c r="E37" s="507">
        <v>0.02</v>
      </c>
    </row>
    <row r="38" spans="1:18" x14ac:dyDescent="0.25">
      <c r="A38" s="2330" t="s">
        <v>290</v>
      </c>
      <c r="B38" s="2331"/>
      <c r="C38" s="2331"/>
      <c r="D38" s="2331"/>
      <c r="E38" s="508">
        <f>E37*2</f>
        <v>0.04</v>
      </c>
    </row>
    <row r="39" spans="1:18" x14ac:dyDescent="0.25">
      <c r="A39" s="1590"/>
      <c r="B39" s="1590"/>
      <c r="C39" s="1590"/>
      <c r="D39" s="1590"/>
      <c r="E39" s="1592"/>
    </row>
    <row r="40" spans="1:18" x14ac:dyDescent="0.25">
      <c r="A40" s="2338" t="s">
        <v>252</v>
      </c>
      <c r="B40" s="2332" t="s">
        <v>1170</v>
      </c>
      <c r="C40" s="2334"/>
      <c r="D40" s="2334"/>
      <c r="E40" s="2334"/>
      <c r="F40" s="2334"/>
      <c r="G40" s="2335"/>
      <c r="H40" s="2332" t="s">
        <v>1196</v>
      </c>
      <c r="I40" s="2333"/>
    </row>
    <row r="41" spans="1:18" x14ac:dyDescent="0.25">
      <c r="A41" s="2339"/>
      <c r="B41" s="2303" t="s">
        <v>102</v>
      </c>
      <c r="C41" s="2083"/>
      <c r="D41" s="2318" t="s">
        <v>249</v>
      </c>
      <c r="E41" s="2319"/>
      <c r="F41" s="2301" t="s">
        <v>319</v>
      </c>
      <c r="G41" s="2302"/>
      <c r="H41" s="2336" t="s">
        <v>319</v>
      </c>
      <c r="I41" s="2337"/>
      <c r="K41" s="509" t="s">
        <v>291</v>
      </c>
      <c r="L41" s="254">
        <f>((E6+E15+E29)*(365.25/7*5)+(M41*E36))+(((E6+E15+E29)*(365.25/7*5)+(M41*E36))*E37)</f>
        <v>54870.007650972031</v>
      </c>
      <c r="M41" s="251">
        <v>60000</v>
      </c>
      <c r="N41" s="251">
        <f>M41/12</f>
        <v>5000</v>
      </c>
      <c r="O41" s="251">
        <f>M41/52</f>
        <v>1153.8461538461538</v>
      </c>
      <c r="P41" s="251">
        <f>M41/365.25</f>
        <v>164.27104722792609</v>
      </c>
    </row>
    <row r="42" spans="1:18" s="445" customFormat="1" ht="16.5" customHeight="1" thickBot="1" x14ac:dyDescent="0.3">
      <c r="A42" s="2340"/>
      <c r="B42" s="448" t="s">
        <v>133</v>
      </c>
      <c r="C42" s="447" t="s">
        <v>134</v>
      </c>
      <c r="D42" s="448" t="s">
        <v>250</v>
      </c>
      <c r="E42" s="449" t="s">
        <v>251</v>
      </c>
      <c r="F42" s="539" t="s">
        <v>1175</v>
      </c>
      <c r="G42" s="449" t="s">
        <v>251</v>
      </c>
      <c r="H42" s="1608" t="s">
        <v>1175</v>
      </c>
      <c r="I42" s="446" t="s">
        <v>251</v>
      </c>
      <c r="K42" s="379"/>
      <c r="L42" s="51"/>
      <c r="M42" s="51"/>
      <c r="N42" s="51"/>
      <c r="O42" s="5"/>
      <c r="P42" s="5"/>
      <c r="Q42" s="543"/>
    </row>
    <row r="43" spans="1:18" ht="16.5" hidden="1" customHeight="1" thickTop="1" x14ac:dyDescent="0.25">
      <c r="A43" s="2322" t="s">
        <v>698</v>
      </c>
      <c r="B43" s="1598"/>
      <c r="C43" s="1599"/>
      <c r="D43" s="1600">
        <v>1.2</v>
      </c>
      <c r="E43" s="1601"/>
      <c r="F43" s="1602"/>
      <c r="G43" s="1603"/>
      <c r="H43" s="1604"/>
      <c r="I43" s="1605"/>
      <c r="J43" s="480"/>
      <c r="K43" s="379"/>
    </row>
    <row r="44" spans="1:18" ht="16.5" thickTop="1" x14ac:dyDescent="0.25">
      <c r="A44" s="2326"/>
      <c r="B44" s="452">
        <v>1</v>
      </c>
      <c r="C44" s="256">
        <v>50</v>
      </c>
      <c r="D44" s="459">
        <f>IF(((($E$6+$E$15+$E$29)/B46)+$E$36)+(((($E$6+$E$15+$E$29)/B46)+$E$36)*$E$37)+((((($E$6+$E$15+$E$29)/B46)+$E$36))*$E$38)&gt;$D$43,$D$43,((($E$6+$E$15+$E$29)/B46)+$E$36)+(((($E$6+$E$15+$E$29)/B46)+$E$36)*$E$37)+((((($E$6+$E$15+$E$29)/B46)+$E$36))*$E$38))</f>
        <v>1.2</v>
      </c>
      <c r="E44" s="460">
        <f>D44/1.2</f>
        <v>1</v>
      </c>
      <c r="F44" s="540">
        <f>FLOOR(AVERAGE($D$44:D44),0.05)</f>
        <v>1.2000000000000002</v>
      </c>
      <c r="G44" s="493">
        <f>F44/1.2</f>
        <v>1.0000000000000002</v>
      </c>
      <c r="H44" s="2313">
        <f>FLOOR(AVERAGE(F44,F46,F47,F50,F524,F52)/2,0.05)</f>
        <v>0.45</v>
      </c>
      <c r="I44" s="2315">
        <f>H44/1.2</f>
        <v>0.375</v>
      </c>
      <c r="J44" s="510">
        <f>($J$58-$J$56)/18*2</f>
        <v>8.8888888888888892E-2</v>
      </c>
      <c r="K44" s="5">
        <f>J44*$M$41</f>
        <v>5333.3333333333339</v>
      </c>
      <c r="L44" s="8">
        <f>K44*F44</f>
        <v>6400.0000000000018</v>
      </c>
      <c r="M44" s="8">
        <f>C44*F44</f>
        <v>60.000000000000007</v>
      </c>
      <c r="N44" s="510">
        <f>J58-J56</f>
        <v>0.8</v>
      </c>
      <c r="O44" s="510">
        <f>J44*N44</f>
        <v>7.1111111111111111E-2</v>
      </c>
      <c r="P44" s="51"/>
      <c r="Q44" s="544">
        <f>1-(D44/F44)</f>
        <v>0</v>
      </c>
      <c r="R44" s="51"/>
    </row>
    <row r="45" spans="1:18" x14ac:dyDescent="0.25">
      <c r="A45" s="2326"/>
      <c r="B45" s="452"/>
      <c r="C45" s="538" t="s">
        <v>247</v>
      </c>
      <c r="D45" s="459"/>
      <c r="E45" s="450" t="s">
        <v>247</v>
      </c>
      <c r="F45" s="540">
        <v>50</v>
      </c>
      <c r="G45" s="493">
        <f>F45/1.2</f>
        <v>41.666666666666671</v>
      </c>
      <c r="H45" s="2313"/>
      <c r="I45" s="2315"/>
      <c r="J45" s="510"/>
      <c r="K45" s="5"/>
      <c r="L45" s="8"/>
      <c r="M45" s="8"/>
      <c r="O45" s="8"/>
      <c r="Q45" s="544"/>
    </row>
    <row r="46" spans="1:18" x14ac:dyDescent="0.25">
      <c r="A46" s="2326"/>
      <c r="B46" s="452">
        <f>C44+1</f>
        <v>51</v>
      </c>
      <c r="C46" s="256">
        <v>350</v>
      </c>
      <c r="D46" s="459">
        <f>IF(((($E$6+$E$15+$E$29)/B47)+$E$36)+(((($E$6+$E$15+$E$29)/B47)+$E$36)*$E$37)+((((($E$6+$E$15+$E$29)/B47)+$E$36))*$E$38)&gt;$D$43,$D$43,((($E$6+$E$15+$E$29)/B47)+$E$36)+(((($E$6+$E$15+$E$29)/B47)+$E$36)*$E$37)+((((($E$6+$E$15+$E$29)/B47)+$E$36))*$E$38))</f>
        <v>0.78018136938903315</v>
      </c>
      <c r="E46" s="460">
        <f>D46/1.2</f>
        <v>0.6501511411575277</v>
      </c>
      <c r="F46" s="540">
        <f>FLOOR(AVERAGE($D$44:D46),0.05)</f>
        <v>0.95000000000000007</v>
      </c>
      <c r="G46" s="493">
        <f>F46/1.2</f>
        <v>0.79166666666666674</v>
      </c>
      <c r="H46" s="2313"/>
      <c r="I46" s="2315"/>
      <c r="J46" s="510">
        <f>($J$58-$J$56)/18*7</f>
        <v>0.31111111111111112</v>
      </c>
      <c r="K46" s="5">
        <f>J46*$M$41</f>
        <v>18666.666666666668</v>
      </c>
      <c r="L46" s="8">
        <f>K46*F46</f>
        <v>17733.333333333336</v>
      </c>
      <c r="M46" s="8"/>
      <c r="O46" s="8"/>
      <c r="P46" s="51"/>
      <c r="Q46" s="544">
        <f>1-(D46/F46)</f>
        <v>0.17875645327470202</v>
      </c>
    </row>
    <row r="47" spans="1:18" x14ac:dyDescent="0.25">
      <c r="A47" s="2326"/>
      <c r="B47" s="452">
        <f>C46+1</f>
        <v>351</v>
      </c>
      <c r="C47" s="256" t="s">
        <v>245</v>
      </c>
      <c r="D47" s="459">
        <f>IF(((($E$6+$E$15+$E$29)/B48)+$E$36)+(((($E$6+$E$15+$E$29)/B48)+$E$36)*$E$37)+((((($E$6+$E$15+$E$29)/B48)+$E$36))*$E$38)&gt;$D$43,$D$43,((($E$6+$E$15+$E$29)/B48)+$E$36)+(((($E$6+$E$15+$E$29)/B48)+$E$36)*$E$37)+((((($E$6+$E$15+$E$29)/B48)+$E$36))*$E$38))</f>
        <v>0.74056465505239322</v>
      </c>
      <c r="E47" s="460">
        <f>D47/1.2</f>
        <v>0.61713721254366105</v>
      </c>
      <c r="F47" s="540">
        <f>FLOOR(AVERAGE($D$44:D47),0.05)</f>
        <v>0.9</v>
      </c>
      <c r="G47" s="493">
        <f>F47/1.2</f>
        <v>0.75</v>
      </c>
      <c r="H47" s="2313"/>
      <c r="I47" s="2315"/>
      <c r="J47" s="510">
        <f>($J$58-$J$56)/18*5</f>
        <v>0.22222222222222224</v>
      </c>
      <c r="K47" s="5">
        <f>J47*$M$41</f>
        <v>13333.333333333334</v>
      </c>
      <c r="L47" s="8">
        <f>K47*F47</f>
        <v>12000</v>
      </c>
      <c r="M47" s="8"/>
      <c r="O47" s="8"/>
      <c r="Q47" s="544">
        <f>1-(D47/F47)</f>
        <v>0.17715038327511867</v>
      </c>
    </row>
    <row r="48" spans="1:18" ht="15.75" hidden="1" customHeight="1" x14ac:dyDescent="0.25">
      <c r="A48" s="2326"/>
      <c r="B48" s="452">
        <v>400</v>
      </c>
      <c r="C48" s="256"/>
      <c r="D48" s="459"/>
      <c r="E48" s="460"/>
      <c r="F48" s="540"/>
      <c r="G48" s="493"/>
      <c r="H48" s="1595"/>
      <c r="I48" s="1596"/>
      <c r="J48" s="510"/>
      <c r="K48" s="251">
        <f>SUM(K44:K47)</f>
        <v>37333.333333333336</v>
      </c>
      <c r="L48" s="8"/>
      <c r="M48" s="8"/>
      <c r="O48" s="8"/>
      <c r="Q48" s="544"/>
    </row>
    <row r="49" spans="1:17" ht="16.5" thickBot="1" x14ac:dyDescent="0.3">
      <c r="A49" s="2327"/>
      <c r="B49" s="2324" t="s">
        <v>259</v>
      </c>
      <c r="C49" s="2325"/>
      <c r="D49" s="462">
        <f>(($E$6+$E$29)/8)/2</f>
        <v>5.1679216803559207</v>
      </c>
      <c r="E49" s="463">
        <f>D49/1.2</f>
        <v>4.3066014002966009</v>
      </c>
      <c r="F49" s="541">
        <f>CEILING(D49,1)</f>
        <v>6</v>
      </c>
      <c r="G49" s="1593">
        <f>F49/1.2</f>
        <v>5</v>
      </c>
      <c r="H49" s="541">
        <f>F49</f>
        <v>6</v>
      </c>
      <c r="I49" s="464">
        <f>H49/1.2</f>
        <v>5</v>
      </c>
      <c r="J49" s="510"/>
      <c r="K49" s="5"/>
      <c r="L49" s="8"/>
      <c r="M49" s="8"/>
      <c r="O49" s="8"/>
      <c r="Q49" s="544"/>
    </row>
    <row r="50" spans="1:17" ht="24" customHeight="1" thickTop="1" x14ac:dyDescent="0.25">
      <c r="A50" s="2322" t="s">
        <v>1188</v>
      </c>
      <c r="B50" s="1598">
        <v>1</v>
      </c>
      <c r="C50" s="1599" t="s">
        <v>245</v>
      </c>
      <c r="D50" s="1600"/>
      <c r="E50" s="1601"/>
      <c r="F50" s="1610">
        <f>F47-(F47/100*5)</f>
        <v>0.85499999999999998</v>
      </c>
      <c r="G50" s="1611">
        <f>F50/1.2</f>
        <v>0.71250000000000002</v>
      </c>
      <c r="H50" s="1612">
        <f>H44</f>
        <v>0.45</v>
      </c>
      <c r="I50" s="1613">
        <f>I44</f>
        <v>0.375</v>
      </c>
      <c r="J50" s="510"/>
      <c r="K50" s="5"/>
      <c r="L50" s="8"/>
      <c r="M50" s="8"/>
      <c r="O50" s="8"/>
      <c r="Q50" s="544"/>
    </row>
    <row r="51" spans="1:17" ht="24" customHeight="1" x14ac:dyDescent="0.25">
      <c r="A51" s="2323"/>
      <c r="B51" s="2320" t="s">
        <v>259</v>
      </c>
      <c r="C51" s="2321"/>
      <c r="D51" s="466">
        <f>(($E$6+$E$29)/8)/2</f>
        <v>5.1679216803559207</v>
      </c>
      <c r="E51" s="1606">
        <f>D51/1.2</f>
        <v>4.3066014002966009</v>
      </c>
      <c r="F51" s="1607">
        <f>CEILING(D51,1)</f>
        <v>6</v>
      </c>
      <c r="G51" s="1594">
        <f>F51/1.2</f>
        <v>5</v>
      </c>
      <c r="H51" s="1607">
        <f>F51</f>
        <v>6</v>
      </c>
      <c r="I51" s="255">
        <f>H51/1.2</f>
        <v>5</v>
      </c>
      <c r="J51" s="510"/>
      <c r="K51" s="5"/>
      <c r="L51" s="8"/>
      <c r="M51" s="8"/>
      <c r="O51" s="8"/>
      <c r="Q51" s="544"/>
    </row>
    <row r="52" spans="1:17" x14ac:dyDescent="0.25">
      <c r="A52" s="2311" t="s">
        <v>246</v>
      </c>
      <c r="B52" s="453"/>
      <c r="C52" s="1597"/>
      <c r="D52" s="456">
        <v>1</v>
      </c>
      <c r="E52" s="457"/>
      <c r="F52" s="259">
        <v>0.68</v>
      </c>
      <c r="G52" s="817"/>
      <c r="H52" s="2313">
        <v>0.3</v>
      </c>
      <c r="I52" s="2315"/>
      <c r="J52" s="510"/>
      <c r="K52" s="251" t="e">
        <f>K48+#REF!</f>
        <v>#REF!</v>
      </c>
      <c r="L52" s="8"/>
      <c r="M52" s="8"/>
      <c r="O52" s="8"/>
      <c r="Q52" s="544"/>
    </row>
    <row r="53" spans="1:17" x14ac:dyDescent="0.25">
      <c r="A53" s="2311"/>
      <c r="B53" s="452">
        <f>B44</f>
        <v>1</v>
      </c>
      <c r="C53" s="21">
        <f>C44</f>
        <v>50</v>
      </c>
      <c r="D53" s="459">
        <f>IF(((($E$15+$E$29)/B54)+$E$36)+(((($E$15+$E$29)/B54)+$E$36)*$E$37)&gt;$D$52,$D$52,((($E$15+$E$29)/B54)+$E$36)+(((($E$15+$E$29)/B54)+$E$36)*$E$37))</f>
        <v>1</v>
      </c>
      <c r="E53" s="460">
        <f>D53/1.2</f>
        <v>0.83333333333333337</v>
      </c>
      <c r="F53" s="461">
        <f>FLOOR(AVERAGE($D$53:D53),0.05)</f>
        <v>1</v>
      </c>
      <c r="G53" s="493">
        <f>F53/1.2</f>
        <v>0.83333333333333337</v>
      </c>
      <c r="H53" s="2313"/>
      <c r="I53" s="2315"/>
      <c r="J53" s="510"/>
      <c r="K53" s="5"/>
      <c r="L53" s="8"/>
      <c r="M53" s="8"/>
      <c r="O53" s="8"/>
      <c r="Q53" s="544">
        <f>1-(D53/F53)</f>
        <v>0</v>
      </c>
    </row>
    <row r="54" spans="1:17" x14ac:dyDescent="0.25">
      <c r="A54" s="2311"/>
      <c r="B54" s="452">
        <f>C53+1</f>
        <v>51</v>
      </c>
      <c r="C54" s="21">
        <f>C46</f>
        <v>350</v>
      </c>
      <c r="D54" s="459">
        <f>IF((($E$15+$E$29)/B55)+$E$36&gt;$D$52,$D$52,(($E$15+$E$29)/B55)+$E$36)</f>
        <v>0.55691702589784076</v>
      </c>
      <c r="E54" s="460">
        <f>D54/1.2</f>
        <v>0.464097521581534</v>
      </c>
      <c r="F54" s="461">
        <f>FLOOR(AVERAGE($D$53:D54),0.05)</f>
        <v>0.75</v>
      </c>
      <c r="G54" s="493">
        <f>F54/1.2</f>
        <v>0.625</v>
      </c>
      <c r="H54" s="2313"/>
      <c r="I54" s="2315"/>
      <c r="J54" s="510"/>
      <c r="K54" s="5"/>
      <c r="L54" s="8"/>
      <c r="M54" s="8"/>
      <c r="O54" s="8"/>
      <c r="P54" s="51"/>
      <c r="Q54" s="544">
        <f>1-(D54/F54)</f>
        <v>0.25744396546954562</v>
      </c>
    </row>
    <row r="55" spans="1:17" x14ac:dyDescent="0.25">
      <c r="A55" s="2312"/>
      <c r="B55" s="452">
        <f>C54+1</f>
        <v>351</v>
      </c>
      <c r="C55" s="21" t="s">
        <v>245</v>
      </c>
      <c r="D55" s="459">
        <f>IF((($E$15+$E$29)/B56)+$E$36&gt;$D$52,$D$52,(($E$15+$E$29)/B56)+$E$36)</f>
        <v>0.54148290099282381</v>
      </c>
      <c r="E55" s="460">
        <f>D55/1.2</f>
        <v>0.45123575082735318</v>
      </c>
      <c r="F55" s="461">
        <f>FLOOR(AVERAGE($D$53:D55),0.05)</f>
        <v>0.65</v>
      </c>
      <c r="G55" s="493">
        <f>F55/1.2</f>
        <v>0.54166666666666674</v>
      </c>
      <c r="H55" s="2313"/>
      <c r="I55" s="2315"/>
      <c r="J55" s="510"/>
      <c r="K55" s="5"/>
      <c r="L55" s="8"/>
      <c r="M55" s="8"/>
      <c r="O55" s="8"/>
      <c r="Q55" s="544">
        <f>1-(D55/F55)</f>
        <v>0.16694938308796337</v>
      </c>
    </row>
    <row r="56" spans="1:17" x14ac:dyDescent="0.25">
      <c r="A56" s="455"/>
      <c r="B56" s="454">
        <f>B48</f>
        <v>400</v>
      </c>
      <c r="C56" s="23"/>
      <c r="D56" s="466"/>
      <c r="E56" s="451" t="s">
        <v>248</v>
      </c>
      <c r="F56" s="467">
        <f>IF(AVERAGE($D$53:D55)&lt;F52,F52,(AVERAGE($D$53:D55)))</f>
        <v>0.69946664229688815</v>
      </c>
      <c r="G56" s="1594"/>
      <c r="H56" s="2314"/>
      <c r="I56" s="2316"/>
      <c r="J56" s="536">
        <v>0.2</v>
      </c>
      <c r="K56" s="251">
        <f>J56*$M$41</f>
        <v>12000</v>
      </c>
      <c r="L56" s="8">
        <f>F56*K56</f>
        <v>8393.5997075626583</v>
      </c>
      <c r="M56" s="2317">
        <f>L57-L41</f>
        <v>-10343.074610076037</v>
      </c>
      <c r="N56" s="2317"/>
      <c r="O56" s="8"/>
      <c r="Q56" s="544"/>
    </row>
    <row r="57" spans="1:17" ht="18" customHeight="1" x14ac:dyDescent="0.25">
      <c r="A57" s="2299" t="s">
        <v>260</v>
      </c>
      <c r="B57" s="2299"/>
      <c r="C57" s="2299"/>
      <c r="D57" s="2299"/>
      <c r="E57" s="2299"/>
      <c r="F57" s="2299"/>
      <c r="G57" s="2299"/>
      <c r="H57" s="1589"/>
      <c r="I57" s="1589"/>
      <c r="J57" s="510">
        <f>SUM(J44:J56)</f>
        <v>0.82222222222222219</v>
      </c>
      <c r="K57" s="5" t="e">
        <f>K48+#REF!+K56</f>
        <v>#REF!</v>
      </c>
      <c r="L57" s="8">
        <f>SUM(L44:L56)</f>
        <v>44526.933040895994</v>
      </c>
      <c r="M57" s="2317"/>
      <c r="N57" s="2317"/>
      <c r="O57" s="8"/>
      <c r="Q57" s="544"/>
    </row>
    <row r="58" spans="1:17" ht="18" customHeight="1" x14ac:dyDescent="0.25">
      <c r="A58" s="2300"/>
      <c r="B58" s="2300"/>
      <c r="C58" s="2300"/>
      <c r="D58" s="2300"/>
      <c r="E58" s="2300"/>
      <c r="F58" s="2300"/>
      <c r="G58" s="2300"/>
      <c r="H58" s="1589"/>
      <c r="I58" s="1589"/>
      <c r="J58" s="510">
        <v>1</v>
      </c>
      <c r="Q58" s="544"/>
    </row>
    <row r="59" spans="1:17" ht="18" customHeight="1" x14ac:dyDescent="0.25">
      <c r="A59" s="2294" t="s">
        <v>320</v>
      </c>
      <c r="B59" s="2294"/>
      <c r="C59" s="2294"/>
      <c r="D59" s="2294"/>
      <c r="E59" s="2294"/>
      <c r="F59" s="2294"/>
      <c r="G59" s="2294"/>
      <c r="H59" s="1588"/>
      <c r="I59" s="1588"/>
      <c r="Q59" s="544"/>
    </row>
    <row r="60" spans="1:17" ht="18" customHeight="1" x14ac:dyDescent="0.25">
      <c r="A60" s="2294"/>
      <c r="B60" s="2294"/>
      <c r="C60" s="2294"/>
      <c r="D60" s="2294"/>
      <c r="E60" s="2294"/>
      <c r="F60" s="2294"/>
      <c r="G60" s="2294"/>
      <c r="H60" s="1588"/>
      <c r="I60" s="1588"/>
    </row>
    <row r="61" spans="1:17" ht="18" customHeight="1" x14ac:dyDescent="0.25">
      <c r="A61" s="2294"/>
      <c r="B61" s="2294"/>
      <c r="C61" s="2294"/>
      <c r="D61" s="2294"/>
      <c r="E61" s="2294"/>
      <c r="F61" s="2294"/>
      <c r="G61" s="2294"/>
      <c r="H61" s="1588"/>
      <c r="I61" s="1588"/>
    </row>
    <row r="62" spans="1:17" ht="18" customHeight="1" x14ac:dyDescent="0.25">
      <c r="A62" s="2294"/>
      <c r="B62" s="2294"/>
      <c r="C62" s="2294"/>
      <c r="D62" s="2294"/>
      <c r="E62" s="2294"/>
      <c r="F62" s="2294"/>
      <c r="G62" s="2294"/>
      <c r="H62" s="1588"/>
      <c r="I62" s="1588"/>
    </row>
    <row r="63" spans="1:17" ht="18" customHeight="1" x14ac:dyDescent="0.25">
      <c r="A63" s="2294" t="s">
        <v>322</v>
      </c>
      <c r="B63" s="2294"/>
      <c r="C63" s="2294"/>
      <c r="D63" s="2294"/>
      <c r="E63" s="2294"/>
      <c r="F63" s="2294"/>
      <c r="G63" s="2294"/>
      <c r="H63" s="1588"/>
      <c r="I63" s="1588"/>
    </row>
    <row r="64" spans="1:17" ht="18" customHeight="1" x14ac:dyDescent="0.25">
      <c r="A64" s="2294"/>
      <c r="B64" s="2294"/>
      <c r="C64" s="2294"/>
      <c r="D64" s="2294"/>
      <c r="E64" s="2294"/>
      <c r="F64" s="2294"/>
      <c r="G64" s="2294"/>
      <c r="H64" s="1588"/>
      <c r="I64" s="1588"/>
    </row>
    <row r="65" spans="1:9" x14ac:dyDescent="0.25">
      <c r="A65" s="2294"/>
      <c r="B65" s="2294"/>
      <c r="C65" s="2294"/>
      <c r="D65" s="2294"/>
      <c r="E65" s="2294"/>
      <c r="F65" s="2294"/>
      <c r="G65" s="2294"/>
      <c r="H65" s="1588"/>
      <c r="I65" s="1588"/>
    </row>
    <row r="66" spans="1:9" x14ac:dyDescent="0.25">
      <c r="A66" s="2294" t="s">
        <v>321</v>
      </c>
      <c r="B66" s="2294"/>
      <c r="C66" s="2294"/>
      <c r="D66" s="2294"/>
      <c r="E66" s="2294"/>
      <c r="F66" s="2294"/>
      <c r="G66" s="2294"/>
      <c r="H66" s="1588"/>
      <c r="I66" s="1588"/>
    </row>
    <row r="67" spans="1:9" ht="18" customHeight="1" x14ac:dyDescent="0.25">
      <c r="A67" s="2294" t="s">
        <v>323</v>
      </c>
      <c r="B67" s="2294"/>
      <c r="C67" s="2294"/>
      <c r="D67" s="2294"/>
      <c r="E67" s="2294"/>
      <c r="F67" s="2294"/>
      <c r="G67" s="2294"/>
      <c r="H67" s="1588"/>
      <c r="I67" s="1588"/>
    </row>
    <row r="1048573" spans="17:17" x14ac:dyDescent="0.25">
      <c r="Q1048573" s="544"/>
    </row>
  </sheetData>
  <mergeCells count="34">
    <mergeCell ref="H44:H47"/>
    <mergeCell ref="I44:I47"/>
    <mergeCell ref="A30:E30"/>
    <mergeCell ref="M56:N57"/>
    <mergeCell ref="A36:D36"/>
    <mergeCell ref="D41:E41"/>
    <mergeCell ref="B51:C51"/>
    <mergeCell ref="A50:A51"/>
    <mergeCell ref="B49:C49"/>
    <mergeCell ref="A43:A49"/>
    <mergeCell ref="A37:D37"/>
    <mergeCell ref="A38:D38"/>
    <mergeCell ref="H40:I40"/>
    <mergeCell ref="B40:G40"/>
    <mergeCell ref="H41:I41"/>
    <mergeCell ref="A40:A42"/>
    <mergeCell ref="H52:H56"/>
    <mergeCell ref="I52:I56"/>
    <mergeCell ref="A66:G66"/>
    <mergeCell ref="A59:G62"/>
    <mergeCell ref="A63:G65"/>
    <mergeCell ref="A67:G67"/>
    <mergeCell ref="A1:E1"/>
    <mergeCell ref="A7:E7"/>
    <mergeCell ref="A57:G58"/>
    <mergeCell ref="F41:G41"/>
    <mergeCell ref="B41:C41"/>
    <mergeCell ref="A2:E2"/>
    <mergeCell ref="A3:B3"/>
    <mergeCell ref="A6:D6"/>
    <mergeCell ref="A52:A55"/>
    <mergeCell ref="A15:B15"/>
    <mergeCell ref="A29:D29"/>
    <mergeCell ref="A16:E16"/>
  </mergeCells>
  <printOptions horizontalCentered="1"/>
  <pageMargins left="0.19685039370078741" right="0.19685039370078741" top="0.39370078740157483" bottom="0.39370078740157483" header="0" footer="0"/>
  <pageSetup paperSize="9" scale="5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AR20"/>
  <sheetViews>
    <sheetView workbookViewId="0">
      <selection activeCell="L43" sqref="L43:M43"/>
    </sheetView>
  </sheetViews>
  <sheetFormatPr defaultRowHeight="15.75" x14ac:dyDescent="0.25"/>
  <cols>
    <col min="1" max="1" width="3.625" style="220" customWidth="1"/>
    <col min="2" max="2" width="8.625" style="334" customWidth="1"/>
    <col min="3" max="3" width="19.625" style="334" customWidth="1"/>
    <col min="4" max="4" width="9.625" style="335" customWidth="1"/>
    <col min="5" max="5" width="10.375" style="335" customWidth="1"/>
    <col min="6" max="6" width="8.625" style="336" customWidth="1"/>
    <col min="7" max="7" width="8.375" style="337" customWidth="1"/>
    <col min="8" max="10" width="8.625" style="338" customWidth="1"/>
    <col min="11" max="12" width="8.625" style="336" customWidth="1"/>
    <col min="13" max="13" width="8.625" style="339" customWidth="1"/>
    <col min="14" max="19" width="8.625" style="336" customWidth="1"/>
    <col min="20" max="20" width="16.375" style="340" customWidth="1"/>
    <col min="21" max="21" width="18.875" style="340" customWidth="1"/>
    <col min="22" max="22" width="15" style="340" customWidth="1"/>
    <col min="23" max="23" width="20.125" style="340" customWidth="1"/>
    <col min="24" max="24" width="5.375" style="341" customWidth="1"/>
    <col min="25" max="25" width="7.5" style="337" customWidth="1"/>
    <col min="26" max="26" width="6.625" style="339" customWidth="1"/>
    <col min="27" max="27" width="6.5" style="339" customWidth="1"/>
    <col min="28" max="33" width="9" style="319"/>
    <col min="34" max="34" width="10.625" style="319" customWidth="1"/>
    <col min="35" max="16384" width="9" style="319"/>
  </cols>
  <sheetData>
    <row r="1" spans="1:44" s="274" customFormat="1" x14ac:dyDescent="0.25">
      <c r="A1" s="224" t="s">
        <v>163</v>
      </c>
      <c r="B1" s="266"/>
      <c r="C1" s="266"/>
      <c r="D1" s="267"/>
      <c r="E1" s="267"/>
      <c r="F1" s="224"/>
      <c r="G1" s="224"/>
      <c r="H1" s="224"/>
      <c r="I1" s="224"/>
      <c r="J1" s="224"/>
      <c r="K1" s="224"/>
      <c r="L1" s="224"/>
      <c r="M1" s="268"/>
      <c r="N1" s="224"/>
      <c r="O1" s="224"/>
      <c r="P1" s="224"/>
      <c r="Q1" s="224"/>
      <c r="R1" s="224"/>
      <c r="S1" s="224"/>
      <c r="T1" s="224"/>
      <c r="U1" s="224"/>
      <c r="V1" s="269"/>
      <c r="W1" s="270"/>
      <c r="X1" s="271"/>
      <c r="Y1" s="272"/>
      <c r="Z1" s="273"/>
      <c r="AA1" s="273"/>
    </row>
    <row r="2" spans="1:44" s="296" customFormat="1" ht="45" customHeight="1" x14ac:dyDescent="0.25">
      <c r="A2" s="225" t="s">
        <v>42</v>
      </c>
      <c r="B2" s="275" t="s">
        <v>2</v>
      </c>
      <c r="C2" s="276" t="s">
        <v>3</v>
      </c>
      <c r="D2" s="2341" t="s">
        <v>126</v>
      </c>
      <c r="E2" s="2342"/>
      <c r="F2" s="277" t="s">
        <v>4</v>
      </c>
      <c r="G2" s="278" t="s">
        <v>5</v>
      </c>
      <c r="H2" s="279" t="s">
        <v>6</v>
      </c>
      <c r="I2" s="280" t="s">
        <v>7</v>
      </c>
      <c r="J2" s="281" t="s">
        <v>8</v>
      </c>
      <c r="K2" s="277" t="s">
        <v>9</v>
      </c>
      <c r="L2" s="282" t="s">
        <v>10</v>
      </c>
      <c r="M2" s="283" t="s">
        <v>54</v>
      </c>
      <c r="N2" s="284" t="s">
        <v>56</v>
      </c>
      <c r="O2" s="285" t="s">
        <v>63</v>
      </c>
      <c r="P2" s="285" t="s">
        <v>57</v>
      </c>
      <c r="Q2" s="285" t="s">
        <v>58</v>
      </c>
      <c r="R2" s="286" t="s">
        <v>59</v>
      </c>
      <c r="S2" s="287" t="s">
        <v>96</v>
      </c>
      <c r="T2" s="288" t="s">
        <v>44</v>
      </c>
      <c r="U2" s="289" t="s">
        <v>12</v>
      </c>
      <c r="V2" s="290"/>
      <c r="W2" s="291" t="s">
        <v>69</v>
      </c>
      <c r="X2" s="292" t="s">
        <v>73</v>
      </c>
      <c r="Y2" s="293" t="s">
        <v>71</v>
      </c>
      <c r="Z2" s="294" t="s">
        <v>72</v>
      </c>
      <c r="AA2" s="295" t="s">
        <v>81</v>
      </c>
    </row>
    <row r="3" spans="1:44" x14ac:dyDescent="0.25">
      <c r="A3" s="217"/>
      <c r="B3" s="297"/>
      <c r="C3" s="298" t="s">
        <v>14</v>
      </c>
      <c r="D3" s="299" t="s">
        <v>127</v>
      </c>
      <c r="E3" s="299" t="s">
        <v>128</v>
      </c>
      <c r="F3" s="300"/>
      <c r="G3" s="301">
        <f>AVERAGE(G4:G6,G8,G10,G12:G19)</f>
        <v>17.067761806981519</v>
      </c>
      <c r="H3" s="303">
        <f>AVERAGE(H4:H6,H8,H10,H12:H19)</f>
        <v>419993.42857142858</v>
      </c>
      <c r="I3" s="302"/>
      <c r="J3" s="303"/>
      <c r="K3" s="304"/>
      <c r="L3" s="305"/>
      <c r="M3" s="306"/>
      <c r="N3" s="307"/>
      <c r="O3" s="308"/>
      <c r="P3" s="308"/>
      <c r="Q3" s="308"/>
      <c r="R3" s="309"/>
      <c r="S3" s="310"/>
      <c r="T3" s="311"/>
      <c r="U3" s="312"/>
      <c r="V3" s="313"/>
      <c r="W3" s="314"/>
      <c r="X3" s="315"/>
      <c r="Y3" s="316"/>
      <c r="Z3" s="317"/>
      <c r="AA3" s="318"/>
    </row>
    <row r="4" spans="1:44" x14ac:dyDescent="0.25">
      <c r="A4" s="131">
        <v>9</v>
      </c>
      <c r="B4" s="132" t="s">
        <v>19</v>
      </c>
      <c r="C4" s="133" t="s">
        <v>21</v>
      </c>
      <c r="D4" s="247" t="s">
        <v>162</v>
      </c>
      <c r="E4" s="320">
        <v>42914</v>
      </c>
      <c r="F4" s="321">
        <v>35795</v>
      </c>
      <c r="G4" s="135">
        <v>19.49075975359343</v>
      </c>
      <c r="H4" s="136">
        <v>500773</v>
      </c>
      <c r="I4" s="137">
        <v>25692.841445427726</v>
      </c>
      <c r="J4" s="138">
        <v>2141.0701204523107</v>
      </c>
      <c r="K4" s="321">
        <v>42847</v>
      </c>
      <c r="L4" s="322">
        <v>42847</v>
      </c>
      <c r="M4" s="323">
        <v>10.493927125506074</v>
      </c>
      <c r="N4" s="324">
        <v>0.34031781011293383</v>
      </c>
      <c r="O4" s="325">
        <v>3.9938255457063379E-2</v>
      </c>
      <c r="P4" s="325">
        <v>0.13486336032388666</v>
      </c>
      <c r="Q4" s="325">
        <v>8.8765182186234817E-2</v>
      </c>
      <c r="R4" s="326">
        <v>7.675101214574899E-2</v>
      </c>
      <c r="S4" s="327">
        <v>0</v>
      </c>
      <c r="T4" s="328" t="s">
        <v>45</v>
      </c>
      <c r="U4" s="142" t="s">
        <v>181</v>
      </c>
      <c r="V4" s="349">
        <v>42914</v>
      </c>
      <c r="W4" s="329"/>
      <c r="X4" s="330"/>
      <c r="Y4" s="331"/>
      <c r="Z4" s="332"/>
      <c r="AA4" s="333"/>
    </row>
    <row r="5" spans="1:44" s="1" customFormat="1" x14ac:dyDescent="0.25">
      <c r="A5" s="131">
        <v>9</v>
      </c>
      <c r="B5" s="9" t="s">
        <v>29</v>
      </c>
      <c r="C5" s="102" t="s">
        <v>55</v>
      </c>
      <c r="D5" s="246" t="s">
        <v>162</v>
      </c>
      <c r="E5" s="320">
        <v>43035</v>
      </c>
      <c r="F5" s="33">
        <v>36161</v>
      </c>
      <c r="G5" s="46">
        <v>18.910335386721425</v>
      </c>
      <c r="H5" s="41">
        <v>485156</v>
      </c>
      <c r="I5" s="11">
        <v>25655.599971043866</v>
      </c>
      <c r="J5" s="21">
        <v>2137.9666642536554</v>
      </c>
      <c r="K5" s="33">
        <v>43376</v>
      </c>
      <c r="L5" s="34">
        <v>43376</v>
      </c>
      <c r="M5" s="110">
        <v>11.538334512856805</v>
      </c>
      <c r="N5" s="260">
        <v>0.51212383717440391</v>
      </c>
      <c r="O5" s="261">
        <v>5.1529817213432375E-2</v>
      </c>
      <c r="P5" s="261">
        <v>0.14703939608398209</v>
      </c>
      <c r="Q5" s="261">
        <v>3.8924274593064401E-3</v>
      </c>
      <c r="R5" s="262">
        <v>6.1555398285759221E-3</v>
      </c>
      <c r="S5" s="263">
        <v>0.30350665658910708</v>
      </c>
      <c r="T5" s="25" t="s">
        <v>45</v>
      </c>
      <c r="U5" s="342" t="s">
        <v>181</v>
      </c>
      <c r="V5" s="349">
        <v>43035</v>
      </c>
      <c r="W5" s="153"/>
      <c r="X5" s="154"/>
      <c r="Y5" s="155"/>
      <c r="Z5" s="178"/>
      <c r="AA5" s="184"/>
    </row>
    <row r="6" spans="1:44" s="1" customFormat="1" x14ac:dyDescent="0.25">
      <c r="A6" s="131">
        <v>11</v>
      </c>
      <c r="B6" s="9" t="s">
        <v>16</v>
      </c>
      <c r="C6" s="102" t="s">
        <v>17</v>
      </c>
      <c r="D6" s="246" t="s">
        <v>162</v>
      </c>
      <c r="E6" s="320">
        <v>43035</v>
      </c>
      <c r="F6" s="33">
        <v>37987</v>
      </c>
      <c r="G6" s="46">
        <v>13.911019849418206</v>
      </c>
      <c r="H6" s="41">
        <v>569411</v>
      </c>
      <c r="I6" s="11">
        <v>40932.369169454832</v>
      </c>
      <c r="J6" s="21">
        <v>3411.0307641212362</v>
      </c>
      <c r="K6" s="33">
        <v>43372</v>
      </c>
      <c r="L6" s="34">
        <v>43372</v>
      </c>
      <c r="M6" s="110">
        <v>7.0889106807224005</v>
      </c>
      <c r="N6" s="260">
        <v>0.60586072025127513</v>
      </c>
      <c r="O6" s="261">
        <v>6.1467024697450516E-2</v>
      </c>
      <c r="P6" s="261">
        <v>8.1151017406227016E-2</v>
      </c>
      <c r="Q6" s="261">
        <v>0.12745648443245894</v>
      </c>
      <c r="R6" s="262">
        <v>4.0467434828797919E-3</v>
      </c>
      <c r="S6" s="263">
        <v>0.33173945023225887</v>
      </c>
      <c r="T6" s="25" t="s">
        <v>45</v>
      </c>
      <c r="U6" s="342" t="s">
        <v>181</v>
      </c>
      <c r="V6" s="349">
        <v>43035</v>
      </c>
      <c r="W6" s="153"/>
      <c r="X6" s="154"/>
      <c r="Y6" s="155"/>
      <c r="Z6" s="178"/>
      <c r="AA6" s="184"/>
    </row>
    <row r="7" spans="1:44" s="2" customFormat="1" ht="60" customHeight="1" x14ac:dyDescent="0.25">
      <c r="A7" s="225" t="s">
        <v>42</v>
      </c>
      <c r="B7" s="94" t="s">
        <v>2</v>
      </c>
      <c r="C7" s="95" t="s">
        <v>3</v>
      </c>
      <c r="D7" s="2343" t="s">
        <v>126</v>
      </c>
      <c r="E7" s="2165"/>
      <c r="F7" s="27" t="s">
        <v>4</v>
      </c>
      <c r="G7" s="44" t="s">
        <v>5</v>
      </c>
      <c r="H7" s="39" t="s">
        <v>6</v>
      </c>
      <c r="I7" s="15" t="s">
        <v>7</v>
      </c>
      <c r="J7" s="18" t="s">
        <v>8</v>
      </c>
      <c r="K7" s="27" t="s">
        <v>9</v>
      </c>
      <c r="L7" s="28" t="s">
        <v>10</v>
      </c>
      <c r="M7" s="106" t="s">
        <v>54</v>
      </c>
      <c r="N7" s="374" t="s">
        <v>189</v>
      </c>
      <c r="O7" s="375" t="s">
        <v>188</v>
      </c>
      <c r="P7" s="373" t="s">
        <v>63</v>
      </c>
      <c r="Q7" s="83" t="s">
        <v>57</v>
      </c>
      <c r="R7" s="83" t="s">
        <v>58</v>
      </c>
      <c r="S7" s="230" t="s">
        <v>59</v>
      </c>
      <c r="T7" s="232" t="s">
        <v>96</v>
      </c>
      <c r="U7" s="24" t="s">
        <v>44</v>
      </c>
      <c r="V7" s="16" t="s">
        <v>12</v>
      </c>
      <c r="W7" s="227"/>
      <c r="X7" s="165" t="s">
        <v>69</v>
      </c>
      <c r="Y7" s="166" t="s">
        <v>73</v>
      </c>
      <c r="Z7" s="167" t="s">
        <v>71</v>
      </c>
      <c r="AA7" s="175" t="s">
        <v>72</v>
      </c>
      <c r="AB7" s="168" t="s">
        <v>81</v>
      </c>
    </row>
    <row r="8" spans="1:44" s="1" customFormat="1" x14ac:dyDescent="0.25">
      <c r="A8" s="131">
        <v>8</v>
      </c>
      <c r="B8" s="9" t="s">
        <v>0</v>
      </c>
      <c r="C8" s="102" t="s">
        <v>1</v>
      </c>
      <c r="D8" s="246" t="s">
        <v>162</v>
      </c>
      <c r="E8" s="377">
        <v>43105</v>
      </c>
      <c r="F8" s="33">
        <v>33970</v>
      </c>
      <c r="G8" s="46">
        <v>25.029431895961672</v>
      </c>
      <c r="H8" s="41">
        <v>363411</v>
      </c>
      <c r="I8" s="11">
        <v>14519.346723911616</v>
      </c>
      <c r="J8" s="21">
        <v>1209.945560325968</v>
      </c>
      <c r="K8" s="33">
        <v>43022</v>
      </c>
      <c r="L8" s="34">
        <v>43022</v>
      </c>
      <c r="M8" s="110">
        <v>11.706161745827982</v>
      </c>
      <c r="N8" s="369">
        <v>0.66032344848172619</v>
      </c>
      <c r="O8" s="370">
        <v>0.22823807711054858</v>
      </c>
      <c r="P8" s="364">
        <v>6.8792634235067193E-2</v>
      </c>
      <c r="Q8" s="141">
        <v>0.13171245186136071</v>
      </c>
      <c r="R8" s="141">
        <v>8.6649550706033376E-3</v>
      </c>
      <c r="S8" s="231">
        <v>1.9068035943517327E-2</v>
      </c>
      <c r="T8" s="233">
        <v>0.43208537137117764</v>
      </c>
      <c r="U8" s="25" t="s">
        <v>45</v>
      </c>
      <c r="V8" s="10" t="s">
        <v>181</v>
      </c>
      <c r="W8" s="228">
        <v>43105</v>
      </c>
      <c r="X8" s="153"/>
      <c r="Y8" s="154"/>
      <c r="Z8" s="155"/>
      <c r="AA8" s="178"/>
      <c r="AB8" s="184"/>
    </row>
    <row r="9" spans="1:44" s="2" customFormat="1" ht="60" customHeight="1" x14ac:dyDescent="0.25">
      <c r="A9" s="225" t="s">
        <v>42</v>
      </c>
      <c r="B9" s="94" t="s">
        <v>2</v>
      </c>
      <c r="C9" s="95" t="s">
        <v>3</v>
      </c>
      <c r="D9" s="2343" t="s">
        <v>126</v>
      </c>
      <c r="E9" s="2165"/>
      <c r="F9" s="27" t="s">
        <v>4</v>
      </c>
      <c r="G9" s="44" t="s">
        <v>5</v>
      </c>
      <c r="H9" s="39" t="s">
        <v>6</v>
      </c>
      <c r="I9" s="15" t="s">
        <v>7</v>
      </c>
      <c r="J9" s="18" t="s">
        <v>8</v>
      </c>
      <c r="K9" s="27" t="s">
        <v>9</v>
      </c>
      <c r="L9" s="83" t="s">
        <v>10</v>
      </c>
      <c r="M9" s="83" t="s">
        <v>286</v>
      </c>
      <c r="N9" s="28" t="s">
        <v>287</v>
      </c>
      <c r="O9" s="27" t="s">
        <v>316</v>
      </c>
      <c r="P9" s="230" t="s">
        <v>317</v>
      </c>
      <c r="Q9" s="28" t="s">
        <v>324</v>
      </c>
      <c r="R9" s="2166" t="s">
        <v>292</v>
      </c>
      <c r="S9" s="2167"/>
      <c r="T9" s="2167"/>
      <c r="U9" s="2167"/>
      <c r="V9" s="2167"/>
      <c r="W9" s="2168"/>
      <c r="X9" s="106" t="s">
        <v>54</v>
      </c>
      <c r="Y9" s="374" t="s">
        <v>189</v>
      </c>
      <c r="Z9" s="375" t="s">
        <v>188</v>
      </c>
      <c r="AA9" s="373" t="s">
        <v>304</v>
      </c>
      <c r="AB9" s="83" t="s">
        <v>57</v>
      </c>
      <c r="AC9" s="83" t="s">
        <v>58</v>
      </c>
      <c r="AD9" s="230" t="s">
        <v>59</v>
      </c>
      <c r="AE9" s="230" t="s">
        <v>214</v>
      </c>
      <c r="AF9" s="232" t="s">
        <v>96</v>
      </c>
      <c r="AG9" s="24" t="s">
        <v>44</v>
      </c>
      <c r="AH9" s="16" t="s">
        <v>12</v>
      </c>
      <c r="AI9" s="512"/>
      <c r="AJ9" s="512"/>
      <c r="AK9" s="515">
        <v>1365.54</v>
      </c>
      <c r="AL9" s="165" t="s">
        <v>69</v>
      </c>
      <c r="AM9" s="855" t="s">
        <v>73</v>
      </c>
      <c r="AN9" s="856" t="s">
        <v>71</v>
      </c>
      <c r="AO9" s="175" t="s">
        <v>72</v>
      </c>
      <c r="AP9" s="854" t="s">
        <v>81</v>
      </c>
    </row>
    <row r="10" spans="1:44" s="1" customFormat="1" x14ac:dyDescent="0.25">
      <c r="A10" s="131"/>
      <c r="B10" s="9" t="s">
        <v>22</v>
      </c>
      <c r="C10" s="102" t="s">
        <v>21</v>
      </c>
      <c r="D10" s="246"/>
      <c r="E10" s="246"/>
      <c r="F10" s="33">
        <v>39447</v>
      </c>
      <c r="G10" s="46">
        <v>11.058179329226558</v>
      </c>
      <c r="H10" s="41">
        <v>328692</v>
      </c>
      <c r="I10" s="857">
        <v>29723.880415944539</v>
      </c>
      <c r="J10" s="21">
        <v>2476.9900346620448</v>
      </c>
      <c r="K10" s="33">
        <v>43807</v>
      </c>
      <c r="L10" s="191">
        <v>43807</v>
      </c>
      <c r="M10" s="191">
        <v>42125</v>
      </c>
      <c r="N10" s="34" t="s">
        <v>13</v>
      </c>
      <c r="O10" s="33" t="s">
        <v>13</v>
      </c>
      <c r="P10" s="547" t="s">
        <v>13</v>
      </c>
      <c r="Q10" s="34" t="s">
        <v>13</v>
      </c>
      <c r="R10" s="519" t="s">
        <v>295</v>
      </c>
      <c r="S10" s="768"/>
      <c r="T10" s="185" t="s">
        <v>294</v>
      </c>
      <c r="U10" s="772"/>
      <c r="V10" s="773"/>
      <c r="W10" s="34" t="s">
        <v>294</v>
      </c>
      <c r="X10" s="110">
        <v>7.6528025351554767</v>
      </c>
      <c r="Y10" s="369">
        <v>0.38549262902246262</v>
      </c>
      <c r="Z10" s="370">
        <v>0.38549262902246262</v>
      </c>
      <c r="AA10" s="364">
        <v>5.2711979388871816E-2</v>
      </c>
      <c r="AB10" s="141">
        <v>9.0172311348781939E-2</v>
      </c>
      <c r="AC10" s="141">
        <v>0.21344127550009903</v>
      </c>
      <c r="AD10" s="231">
        <v>2.9167062784709836E-2</v>
      </c>
      <c r="AE10" s="231"/>
      <c r="AF10" s="233">
        <v>0</v>
      </c>
      <c r="AG10" s="25" t="s">
        <v>45</v>
      </c>
      <c r="AH10" s="342" t="s">
        <v>181</v>
      </c>
      <c r="AI10" s="858">
        <v>43486</v>
      </c>
      <c r="AJ10" s="514"/>
      <c r="AK10" s="265"/>
      <c r="AL10" s="153"/>
      <c r="AM10" s="154"/>
      <c r="AN10" s="155"/>
      <c r="AO10" s="178"/>
      <c r="AP10" s="184"/>
    </row>
    <row r="11" spans="1:44" s="2" customFormat="1" ht="60" customHeight="1" x14ac:dyDescent="0.25">
      <c r="A11" s="225" t="s">
        <v>42</v>
      </c>
      <c r="B11" s="94" t="s">
        <v>2</v>
      </c>
      <c r="C11" s="95" t="s">
        <v>3</v>
      </c>
      <c r="D11" s="2343" t="s">
        <v>126</v>
      </c>
      <c r="E11" s="2165"/>
      <c r="F11" s="27" t="s">
        <v>4</v>
      </c>
      <c r="G11" s="44" t="s">
        <v>5</v>
      </c>
      <c r="H11" s="39" t="s">
        <v>6</v>
      </c>
      <c r="I11" s="15" t="s">
        <v>7</v>
      </c>
      <c r="J11" s="18" t="s">
        <v>8</v>
      </c>
      <c r="K11" s="27" t="s">
        <v>9</v>
      </c>
      <c r="L11" s="83" t="s">
        <v>10</v>
      </c>
      <c r="M11" s="83" t="s">
        <v>286</v>
      </c>
      <c r="N11" s="230" t="s">
        <v>537</v>
      </c>
      <c r="O11" s="230" t="s">
        <v>562</v>
      </c>
      <c r="P11" s="28" t="s">
        <v>287</v>
      </c>
      <c r="Q11" s="27" t="s">
        <v>316</v>
      </c>
      <c r="R11" s="230" t="s">
        <v>317</v>
      </c>
      <c r="S11" s="28" t="s">
        <v>324</v>
      </c>
      <c r="T11" s="2166" t="s">
        <v>292</v>
      </c>
      <c r="U11" s="2167"/>
      <c r="V11" s="2167"/>
      <c r="W11" s="2167"/>
      <c r="X11" s="2167"/>
      <c r="Y11" s="2168"/>
      <c r="Z11" s="106" t="s">
        <v>54</v>
      </c>
      <c r="AA11" s="374" t="s">
        <v>189</v>
      </c>
      <c r="AB11" s="375" t="s">
        <v>188</v>
      </c>
      <c r="AC11" s="373" t="s">
        <v>304</v>
      </c>
      <c r="AD11" s="83" t="s">
        <v>57</v>
      </c>
      <c r="AE11" s="83" t="s">
        <v>58</v>
      </c>
      <c r="AF11" s="230" t="s">
        <v>59</v>
      </c>
      <c r="AG11" s="230" t="s">
        <v>214</v>
      </c>
      <c r="AH11" s="232" t="s">
        <v>96</v>
      </c>
      <c r="AI11" s="24" t="s">
        <v>44</v>
      </c>
      <c r="AJ11" s="16" t="s">
        <v>12</v>
      </c>
      <c r="AK11" s="512"/>
      <c r="AL11" s="512"/>
      <c r="AM11" s="515">
        <v>1365.54</v>
      </c>
      <c r="AN11" s="165" t="s">
        <v>69</v>
      </c>
      <c r="AO11" s="1100" t="s">
        <v>73</v>
      </c>
      <c r="AP11" s="1101" t="s">
        <v>71</v>
      </c>
      <c r="AQ11" s="175" t="s">
        <v>72</v>
      </c>
      <c r="AR11" s="1102" t="s">
        <v>81</v>
      </c>
    </row>
    <row r="12" spans="1:44" s="1" customFormat="1" x14ac:dyDescent="0.25">
      <c r="A12" s="131">
        <v>6</v>
      </c>
      <c r="B12" s="9" t="s">
        <v>24</v>
      </c>
      <c r="C12" s="102" t="s">
        <v>21</v>
      </c>
      <c r="D12" s="246">
        <v>2</v>
      </c>
      <c r="E12" s="246">
        <v>2</v>
      </c>
      <c r="F12" s="33">
        <v>38572</v>
      </c>
      <c r="G12" s="46">
        <v>14.075290896646132</v>
      </c>
      <c r="H12" s="41">
        <v>418394</v>
      </c>
      <c r="I12" s="11">
        <v>29725.424722816573</v>
      </c>
      <c r="J12" s="21">
        <v>2477.1187269013813</v>
      </c>
      <c r="K12" s="33">
        <v>43811</v>
      </c>
      <c r="L12" s="191">
        <v>43811</v>
      </c>
      <c r="M12" s="191">
        <v>44562</v>
      </c>
      <c r="N12" s="547" t="s">
        <v>13</v>
      </c>
      <c r="O12" s="547" t="s">
        <v>13</v>
      </c>
      <c r="P12" s="34" t="s">
        <v>13</v>
      </c>
      <c r="Q12" s="33" t="s">
        <v>13</v>
      </c>
      <c r="R12" s="547" t="s">
        <v>13</v>
      </c>
      <c r="S12" s="34" t="s">
        <v>13</v>
      </c>
      <c r="T12" s="519">
        <v>15000</v>
      </c>
      <c r="U12" s="768">
        <v>406217</v>
      </c>
      <c r="V12" s="185">
        <v>421217</v>
      </c>
      <c r="W12" s="772">
        <v>1</v>
      </c>
      <c r="X12" s="773">
        <v>43353</v>
      </c>
      <c r="Y12" s="34">
        <v>43718.25</v>
      </c>
      <c r="Z12" s="110">
        <v>6.7916088258931824</v>
      </c>
      <c r="AA12" s="369">
        <v>0.8710380949826142</v>
      </c>
      <c r="AB12" s="370">
        <v>0.19638019174908034</v>
      </c>
      <c r="AC12" s="364">
        <v>4.7801832722266575E-2</v>
      </c>
      <c r="AD12" s="141">
        <v>8.1315299189011481E-2</v>
      </c>
      <c r="AE12" s="141">
        <v>5.1446080222108573E-2</v>
      </c>
      <c r="AF12" s="231">
        <v>1.581697961569372E-2</v>
      </c>
      <c r="AG12" s="231"/>
      <c r="AH12" s="233">
        <v>0.67465790323353381</v>
      </c>
      <c r="AI12" s="25" t="s">
        <v>45</v>
      </c>
      <c r="AJ12" s="264" t="s">
        <v>595</v>
      </c>
      <c r="AK12" s="514"/>
      <c r="AL12" s="514"/>
      <c r="AM12" s="265"/>
      <c r="AN12" s="153"/>
      <c r="AO12" s="154"/>
      <c r="AP12" s="155"/>
      <c r="AQ12" s="178"/>
      <c r="AR12" s="184"/>
    </row>
    <row r="13" spans="1:44" s="7" customFormat="1" ht="15" customHeight="1" x14ac:dyDescent="0.25">
      <c r="A13" s="131">
        <v>17</v>
      </c>
      <c r="B13" s="99" t="s">
        <v>31</v>
      </c>
      <c r="C13" s="100" t="s">
        <v>32</v>
      </c>
      <c r="D13" s="246" t="s">
        <v>162</v>
      </c>
      <c r="E13" s="377">
        <v>43718</v>
      </c>
      <c r="F13" s="35">
        <v>37621</v>
      </c>
      <c r="G13" s="47">
        <v>16.999315537303218</v>
      </c>
      <c r="H13" s="42">
        <v>274117</v>
      </c>
      <c r="I13" s="12">
        <v>16125.178651956836</v>
      </c>
      <c r="J13" s="22">
        <v>1343.7648876630697</v>
      </c>
      <c r="K13" s="35">
        <v>43610</v>
      </c>
      <c r="L13" s="192">
        <v>43610</v>
      </c>
      <c r="M13" s="192">
        <v>43709</v>
      </c>
      <c r="N13" s="546" t="s">
        <v>13</v>
      </c>
      <c r="O13" s="546" t="s">
        <v>13</v>
      </c>
      <c r="P13" s="36" t="s">
        <v>13</v>
      </c>
      <c r="Q13" s="35" t="s">
        <v>13</v>
      </c>
      <c r="R13" s="546" t="s">
        <v>13</v>
      </c>
      <c r="S13" s="36" t="s">
        <v>13</v>
      </c>
      <c r="T13" s="518" t="s">
        <v>295</v>
      </c>
      <c r="U13" s="767"/>
      <c r="V13" s="185" t="s">
        <v>294</v>
      </c>
      <c r="W13" s="772"/>
      <c r="X13" s="773"/>
      <c r="Y13" s="36" t="s">
        <v>294</v>
      </c>
      <c r="Z13" s="109">
        <v>5.9715191416727631</v>
      </c>
      <c r="AA13" s="369">
        <v>0.2344053406493771</v>
      </c>
      <c r="AB13" s="370">
        <v>0.2344053406493771</v>
      </c>
      <c r="AC13" s="364">
        <v>7.2961545617382356E-2</v>
      </c>
      <c r="AD13" s="141">
        <v>0.11903083589459362</v>
      </c>
      <c r="AE13" s="141">
        <v>2.9722880032246685E-2</v>
      </c>
      <c r="AF13" s="231">
        <v>1.2690079105154434E-2</v>
      </c>
      <c r="AG13" s="231"/>
      <c r="AH13" s="233">
        <v>0</v>
      </c>
      <c r="AI13" s="26" t="s">
        <v>46</v>
      </c>
      <c r="AJ13" s="13" t="s">
        <v>35</v>
      </c>
      <c r="AK13" s="513"/>
      <c r="AL13" s="513"/>
      <c r="AM13" s="511" t="s">
        <v>97</v>
      </c>
      <c r="AN13" s="156"/>
      <c r="AO13" s="157"/>
      <c r="AP13" s="158"/>
      <c r="AQ13" s="179"/>
      <c r="AR13" s="185"/>
    </row>
    <row r="20" spans="2:2" x14ac:dyDescent="0.25">
      <c r="B20" s="859" t="s">
        <v>687</v>
      </c>
    </row>
  </sheetData>
  <mergeCells count="6">
    <mergeCell ref="D2:E2"/>
    <mergeCell ref="D7:E7"/>
    <mergeCell ref="D9:E9"/>
    <mergeCell ref="R9:W9"/>
    <mergeCell ref="D11:E11"/>
    <mergeCell ref="T11:Y11"/>
  </mergeCells>
  <conditionalFormatting sqref="G3">
    <cfRule type="cellIs" dxfId="103" priority="102" operator="between">
      <formula>6</formula>
      <formula>10</formula>
    </cfRule>
    <cfRule type="cellIs" dxfId="102" priority="103" operator="between">
      <formula>10.01</formula>
      <formula>15</formula>
    </cfRule>
  </conditionalFormatting>
  <conditionalFormatting sqref="G3">
    <cfRule type="cellIs" dxfId="101" priority="104" operator="greaterThan">
      <formula>15.01</formula>
    </cfRule>
  </conditionalFormatting>
  <conditionalFormatting sqref="J3">
    <cfRule type="cellIs" dxfId="100" priority="111" operator="greaterThan">
      <formula>#REF!</formula>
    </cfRule>
  </conditionalFormatting>
  <conditionalFormatting sqref="K4:L4">
    <cfRule type="cellIs" dxfId="99" priority="96" operator="between">
      <formula>TODAY()+1</formula>
      <formula>TODAY()+30</formula>
    </cfRule>
    <cfRule type="cellIs" dxfId="98" priority="97" operator="lessThanOrEqual">
      <formula>TODAY()</formula>
    </cfRule>
  </conditionalFormatting>
  <conditionalFormatting sqref="G4">
    <cfRule type="cellIs" dxfId="97" priority="93" operator="between">
      <formula>6</formula>
      <formula>10</formula>
    </cfRule>
    <cfRule type="cellIs" dxfId="96" priority="94" operator="between">
      <formula>10.01</formula>
      <formula>15</formula>
    </cfRule>
  </conditionalFormatting>
  <conditionalFormatting sqref="G4">
    <cfRule type="cellIs" dxfId="95" priority="95" operator="greaterThan">
      <formula>15.01</formula>
    </cfRule>
  </conditionalFormatting>
  <conditionalFormatting sqref="H4">
    <cfRule type="cellIs" dxfId="94" priority="90" operator="between">
      <formula>150000</formula>
      <formula>299999</formula>
    </cfRule>
    <cfRule type="cellIs" dxfId="93" priority="91" operator="between">
      <formula>300000</formula>
      <formula>449999</formula>
    </cfRule>
    <cfRule type="cellIs" dxfId="92" priority="92" operator="greaterThan">
      <formula>450000</formula>
    </cfRule>
  </conditionalFormatting>
  <conditionalFormatting sqref="J4">
    <cfRule type="cellIs" dxfId="91" priority="89" operator="greaterThan">
      <formula>$J$40</formula>
    </cfRule>
  </conditionalFormatting>
  <conditionalFormatting sqref="K6:L6">
    <cfRule type="cellIs" dxfId="90" priority="86" operator="between">
      <formula>TODAY()+1</formula>
      <formula>TODAY()+30</formula>
    </cfRule>
    <cfRule type="cellIs" dxfId="89" priority="87" operator="lessThanOrEqual">
      <formula>TODAY()</formula>
    </cfRule>
  </conditionalFormatting>
  <conditionalFormatting sqref="G6">
    <cfRule type="cellIs" dxfId="88" priority="83" operator="between">
      <formula>6</formula>
      <formula>10</formula>
    </cfRule>
    <cfRule type="cellIs" dxfId="87" priority="84" operator="between">
      <formula>10.01</formula>
      <formula>15</formula>
    </cfRule>
  </conditionalFormatting>
  <conditionalFormatting sqref="G6">
    <cfRule type="cellIs" dxfId="86" priority="85" operator="greaterThan">
      <formula>15.01</formula>
    </cfRule>
  </conditionalFormatting>
  <conditionalFormatting sqref="H6">
    <cfRule type="cellIs" dxfId="85" priority="80" operator="between">
      <formula>150000</formula>
      <formula>299999</formula>
    </cfRule>
    <cfRule type="cellIs" dxfId="84" priority="81" operator="between">
      <formula>300000</formula>
      <formula>449999</formula>
    </cfRule>
    <cfRule type="cellIs" dxfId="83" priority="82" operator="greaterThan">
      <formula>450000</formula>
    </cfRule>
  </conditionalFormatting>
  <conditionalFormatting sqref="J6">
    <cfRule type="cellIs" dxfId="82" priority="88" operator="greaterThan">
      <formula>$J$39</formula>
    </cfRule>
  </conditionalFormatting>
  <conditionalFormatting sqref="K5:L5">
    <cfRule type="cellIs" dxfId="81" priority="77" operator="between">
      <formula>TODAY()+1</formula>
      <formula>TODAY()+30</formula>
    </cfRule>
    <cfRule type="cellIs" dxfId="80" priority="78" operator="lessThanOrEqual">
      <formula>TODAY()</formula>
    </cfRule>
  </conditionalFormatting>
  <conditionalFormatting sqref="G5">
    <cfRule type="cellIs" dxfId="79" priority="74" operator="between">
      <formula>6</formula>
      <formula>10</formula>
    </cfRule>
    <cfRule type="cellIs" dxfId="78" priority="75" operator="between">
      <formula>10.01</formula>
      <formula>15</formula>
    </cfRule>
  </conditionalFormatting>
  <conditionalFormatting sqref="G5">
    <cfRule type="cellIs" dxfId="77" priority="76" operator="greaterThan">
      <formula>15.01</formula>
    </cfRule>
  </conditionalFormatting>
  <conditionalFormatting sqref="H5">
    <cfRule type="cellIs" dxfId="76" priority="71" operator="between">
      <formula>150000</formula>
      <formula>299999</formula>
    </cfRule>
    <cfRule type="cellIs" dxfId="75" priority="72" operator="between">
      <formula>300000</formula>
      <formula>449999</formula>
    </cfRule>
    <cfRule type="cellIs" dxfId="74" priority="73" operator="greaterThan">
      <formula>450000</formula>
    </cfRule>
  </conditionalFormatting>
  <conditionalFormatting sqref="J5">
    <cfRule type="cellIs" dxfId="73" priority="79" operator="greaterThan">
      <formula>$J$40</formula>
    </cfRule>
  </conditionalFormatting>
  <conditionalFormatting sqref="K8:L8">
    <cfRule type="cellIs" dxfId="72" priority="68" operator="between">
      <formula>TODAY()+1</formula>
      <formula>TODAY()+30</formula>
    </cfRule>
    <cfRule type="cellIs" dxfId="71" priority="69" operator="lessThanOrEqual">
      <formula>TODAY()</formula>
    </cfRule>
  </conditionalFormatting>
  <conditionalFormatting sqref="G8">
    <cfRule type="cellIs" dxfId="70" priority="65" operator="between">
      <formula>6</formula>
      <formula>10</formula>
    </cfRule>
    <cfRule type="cellIs" dxfId="69" priority="66" operator="between">
      <formula>10.01</formula>
      <formula>15</formula>
    </cfRule>
  </conditionalFormatting>
  <conditionalFormatting sqref="G8">
    <cfRule type="cellIs" dxfId="68" priority="67" operator="greaterThan">
      <formula>15.01</formula>
    </cfRule>
  </conditionalFormatting>
  <conditionalFormatting sqref="H8">
    <cfRule type="cellIs" dxfId="67" priority="62" operator="between">
      <formula>150000</formula>
      <formula>299999</formula>
    </cfRule>
    <cfRule type="cellIs" dxfId="66" priority="63" operator="between">
      <formula>300000</formula>
      <formula>449999</formula>
    </cfRule>
    <cfRule type="cellIs" dxfId="65" priority="64" operator="greaterThan">
      <formula>450000</formula>
    </cfRule>
  </conditionalFormatting>
  <conditionalFormatting sqref="J8">
    <cfRule type="cellIs" dxfId="64" priority="70" operator="greaterThan">
      <formula>$J$37</formula>
    </cfRule>
  </conditionalFormatting>
  <conditionalFormatting sqref="H3">
    <cfRule type="cellIs" dxfId="63" priority="56" operator="between">
      <formula>6</formula>
      <formula>10</formula>
    </cfRule>
    <cfRule type="cellIs" dxfId="62" priority="57" operator="between">
      <formula>10.01</formula>
      <formula>15</formula>
    </cfRule>
  </conditionalFormatting>
  <conditionalFormatting sqref="H3">
    <cfRule type="cellIs" dxfId="61" priority="58" operator="greaterThan">
      <formula>15.01</formula>
    </cfRule>
  </conditionalFormatting>
  <conditionalFormatting sqref="T10">
    <cfRule type="cellIs" dxfId="60" priority="45" operator="lessThanOrEqual">
      <formula>H10</formula>
    </cfRule>
    <cfRule type="cellIs" dxfId="59" priority="46" operator="between">
      <formula>H10+J10</formula>
      <formula>H10+1</formula>
    </cfRule>
  </conditionalFormatting>
  <conditionalFormatting sqref="J10">
    <cfRule type="cellIs" dxfId="58" priority="55" operator="greaterThan">
      <formula>$J$35</formula>
    </cfRule>
  </conditionalFormatting>
  <conditionalFormatting sqref="H10">
    <cfRule type="cellIs" dxfId="57" priority="47" operator="between">
      <formula>150000</formula>
      <formula>299999</formula>
    </cfRule>
    <cfRule type="cellIs" dxfId="56" priority="48" operator="between">
      <formula>300000</formula>
      <formula>449999</formula>
    </cfRule>
    <cfRule type="cellIs" dxfId="55" priority="49" operator="greaterThan">
      <formula>450000</formula>
    </cfRule>
  </conditionalFormatting>
  <conditionalFormatting sqref="K10:Q10 W10">
    <cfRule type="cellIs" dxfId="54" priority="54" operator="lessThanOrEqual">
      <formula>TODAY()</formula>
    </cfRule>
  </conditionalFormatting>
  <conditionalFormatting sqref="K10:Q10 W10">
    <cfRule type="cellIs" dxfId="53" priority="53" operator="between">
      <formula>TODAY()+1</formula>
      <formula>TODAY()+30</formula>
    </cfRule>
  </conditionalFormatting>
  <conditionalFormatting sqref="G10">
    <cfRule type="cellIs" dxfId="52" priority="50" operator="between">
      <formula>6</formula>
      <formula>$G$31</formula>
    </cfRule>
    <cfRule type="cellIs" dxfId="51" priority="51" operator="between">
      <formula>$G$31+0.01</formula>
      <formula>$G$30</formula>
    </cfRule>
    <cfRule type="cellIs" dxfId="50" priority="52" operator="greaterThan">
      <formula>$G$30+0.01</formula>
    </cfRule>
  </conditionalFormatting>
  <conditionalFormatting sqref="H12">
    <cfRule type="cellIs" dxfId="49" priority="26" operator="between">
      <formula>150000</formula>
      <formula>299999</formula>
    </cfRule>
    <cfRule type="cellIs" dxfId="48" priority="27" operator="between">
      <formula>300000</formula>
      <formula>449999</formula>
    </cfRule>
    <cfRule type="cellIs" dxfId="47" priority="28" operator="greaterThan">
      <formula>450000</formula>
    </cfRule>
  </conditionalFormatting>
  <conditionalFormatting sqref="J12">
    <cfRule type="cellIs" dxfId="46" priority="25" operator="greaterThan">
      <formula>$J$33</formula>
    </cfRule>
  </conditionalFormatting>
  <conditionalFormatting sqref="K12:S12 Y12">
    <cfRule type="cellIs" dxfId="45" priority="30" operator="lessThanOrEqual">
      <formula>TODAY()</formula>
    </cfRule>
  </conditionalFormatting>
  <conditionalFormatting sqref="K12:S12 Y12">
    <cfRule type="cellIs" dxfId="44" priority="29" operator="between">
      <formula>TODAY()+1</formula>
      <formula>TODAY()+30</formula>
    </cfRule>
  </conditionalFormatting>
  <conditionalFormatting sqref="V12">
    <cfRule type="cellIs" dxfId="43" priority="23" operator="lessThanOrEqual">
      <formula>H12</formula>
    </cfRule>
    <cfRule type="cellIs" dxfId="42" priority="24" operator="between">
      <formula>H12+J12</formula>
      <formula>H12+1</formula>
    </cfRule>
  </conditionalFormatting>
  <conditionalFormatting sqref="G12">
    <cfRule type="cellIs" dxfId="41" priority="31" operator="between">
      <formula>6</formula>
      <formula>$G$28</formula>
    </cfRule>
    <cfRule type="cellIs" dxfId="40" priority="32" operator="between">
      <formula>$G$28+0.01</formula>
      <formula>$G$27</formula>
    </cfRule>
    <cfRule type="cellIs" dxfId="39" priority="33" operator="greaterThan">
      <formula>$G$27+0.01</formula>
    </cfRule>
  </conditionalFormatting>
  <conditionalFormatting sqref="J13">
    <cfRule type="cellIs" dxfId="38" priority="3" operator="greaterThan">
      <formula>$J$32</formula>
    </cfRule>
  </conditionalFormatting>
  <conditionalFormatting sqref="Y13 K13:S13">
    <cfRule type="cellIs" dxfId="37" priority="8" operator="lessThanOrEqual">
      <formula>TODAY()</formula>
    </cfRule>
  </conditionalFormatting>
  <conditionalFormatting sqref="Y13 K13:S13">
    <cfRule type="cellIs" dxfId="36" priority="7" operator="between">
      <formula>TODAY()+1</formula>
      <formula>TODAY()+30</formula>
    </cfRule>
  </conditionalFormatting>
  <conditionalFormatting sqref="V13">
    <cfRule type="cellIs" dxfId="35" priority="1" operator="lessThanOrEqual">
      <formula>H13</formula>
    </cfRule>
    <cfRule type="cellIs" dxfId="34" priority="2" operator="between">
      <formula>H13+J13</formula>
      <formula>H13+1</formula>
    </cfRule>
  </conditionalFormatting>
  <conditionalFormatting sqref="H13">
    <cfRule type="cellIs" dxfId="33" priority="4" operator="between">
      <formula>150000</formula>
      <formula>299999</formula>
    </cfRule>
    <cfRule type="cellIs" dxfId="32" priority="5" operator="between">
      <formula>300000</formula>
      <formula>449999</formula>
    </cfRule>
    <cfRule type="cellIs" dxfId="31" priority="6" operator="greaterThan">
      <formula>450000</formula>
    </cfRule>
  </conditionalFormatting>
  <conditionalFormatting sqref="G13">
    <cfRule type="cellIs" dxfId="30" priority="9" operator="between">
      <formula>6</formula>
      <formula>$G$27</formula>
    </cfRule>
    <cfRule type="cellIs" dxfId="29" priority="10" operator="between">
      <formula>$G$27+0.01</formula>
      <formula>$G$26</formula>
    </cfRule>
    <cfRule type="cellIs" dxfId="28" priority="11" operator="greaterThan">
      <formula>$G$26+0.01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>
    <pageSetUpPr fitToPage="1"/>
  </sheetPr>
  <dimension ref="A1:O33"/>
  <sheetViews>
    <sheetView workbookViewId="0">
      <pane ySplit="4" topLeftCell="A5" activePane="bottomLeft" state="frozen"/>
      <selection activeCell="L43" sqref="L43:M43"/>
      <selection pane="bottomLeft" activeCell="L43" sqref="L43:M43"/>
    </sheetView>
  </sheetViews>
  <sheetFormatPr defaultRowHeight="15.75" x14ac:dyDescent="0.25"/>
  <cols>
    <col min="1" max="1" width="12.625" style="52" customWidth="1"/>
    <col min="2" max="2" width="6.625" style="61" customWidth="1"/>
    <col min="3" max="3" width="8.625" style="55" customWidth="1"/>
    <col min="4" max="4" width="9" style="1"/>
    <col min="5" max="5" width="9" style="5"/>
    <col min="6" max="6" width="9.375" style="5" bestFit="1" customWidth="1"/>
    <col min="7" max="8" width="9" style="1"/>
    <col min="9" max="9" width="9.375" style="1" bestFit="1" customWidth="1"/>
    <col min="10" max="10" width="8.625" style="8" customWidth="1"/>
    <col min="11" max="11" width="8.625" style="1" customWidth="1"/>
    <col min="12" max="12" width="9" style="5"/>
    <col min="13" max="13" width="9" style="61"/>
    <col min="14" max="16384" width="9" style="1"/>
  </cols>
  <sheetData>
    <row r="1" spans="1:15" s="60" customFormat="1" x14ac:dyDescent="0.25">
      <c r="A1" s="2344" t="s">
        <v>47</v>
      </c>
      <c r="B1" s="2344"/>
      <c r="C1" s="2344"/>
      <c r="D1" s="63">
        <v>0.34031781011293383</v>
      </c>
      <c r="E1" s="2345" t="s">
        <v>53</v>
      </c>
      <c r="F1" s="2345"/>
      <c r="G1" s="2345"/>
      <c r="H1" s="82">
        <v>10.493927125506074</v>
      </c>
      <c r="I1" s="91" t="s">
        <v>66</v>
      </c>
      <c r="J1" s="82"/>
      <c r="K1" s="92">
        <v>35795</v>
      </c>
      <c r="L1" s="240"/>
      <c r="M1" s="236"/>
    </row>
    <row r="2" spans="1:15" s="50" customFormat="1" x14ac:dyDescent="0.25">
      <c r="A2" s="86" t="s">
        <v>19</v>
      </c>
      <c r="B2" s="2346" t="s">
        <v>21</v>
      </c>
      <c r="C2" s="2346"/>
      <c r="D2" s="2347"/>
      <c r="E2" s="87">
        <v>498797</v>
      </c>
      <c r="F2" s="88">
        <v>500773</v>
      </c>
      <c r="G2" s="2348" t="s">
        <v>64</v>
      </c>
      <c r="H2" s="2349"/>
      <c r="I2" s="128">
        <v>4</v>
      </c>
      <c r="J2" s="2350" t="s">
        <v>51</v>
      </c>
      <c r="K2" s="2350" t="s">
        <v>52</v>
      </c>
      <c r="L2" s="2355" t="s">
        <v>102</v>
      </c>
      <c r="M2" s="2358" t="s">
        <v>101</v>
      </c>
    </row>
    <row r="3" spans="1:15" s="85" customFormat="1" ht="16.5" thickBot="1" x14ac:dyDescent="0.3">
      <c r="A3" s="89" t="s">
        <v>60</v>
      </c>
      <c r="B3" s="2361">
        <v>20000</v>
      </c>
      <c r="C3" s="2362"/>
      <c r="D3" s="113" t="s">
        <v>65</v>
      </c>
      <c r="E3" s="114">
        <v>20.032854209445585</v>
      </c>
      <c r="F3" s="115" t="s">
        <v>61</v>
      </c>
      <c r="G3" s="116">
        <v>83.196665299986336</v>
      </c>
      <c r="H3" s="117" t="s">
        <v>62</v>
      </c>
      <c r="I3" s="118">
        <v>3.9938255457063379E-2</v>
      </c>
      <c r="J3" s="2351"/>
      <c r="K3" s="2351"/>
      <c r="L3" s="2356"/>
      <c r="M3" s="2359"/>
    </row>
    <row r="4" spans="1:15" ht="16.5" thickTop="1" x14ac:dyDescent="0.25">
      <c r="A4" s="90" t="s">
        <v>67</v>
      </c>
      <c r="B4" s="62">
        <v>10.493927125506074</v>
      </c>
      <c r="C4" s="58">
        <v>0.13486336032388666</v>
      </c>
      <c r="D4" s="2363" t="s">
        <v>48</v>
      </c>
      <c r="E4" s="2364"/>
      <c r="F4" s="58">
        <v>8.8765182186234817E-2</v>
      </c>
      <c r="G4" s="2363" t="s">
        <v>50</v>
      </c>
      <c r="H4" s="2364"/>
      <c r="I4" s="59">
        <v>7.675101214574899E-2</v>
      </c>
      <c r="J4" s="2352"/>
      <c r="K4" s="2352"/>
      <c r="L4" s="2357"/>
      <c r="M4" s="2360"/>
      <c r="N4" s="54">
        <v>1.28515625</v>
      </c>
    </row>
    <row r="5" spans="1:15" x14ac:dyDescent="0.25">
      <c r="A5" s="64">
        <v>42643</v>
      </c>
      <c r="B5" s="65">
        <v>24.97</v>
      </c>
      <c r="C5" s="66">
        <v>32.31</v>
      </c>
      <c r="D5" s="67">
        <v>42716</v>
      </c>
      <c r="E5" s="68" t="s">
        <v>98</v>
      </c>
      <c r="F5" s="66">
        <v>109.28</v>
      </c>
      <c r="G5" s="69">
        <v>42684</v>
      </c>
      <c r="H5" s="68" t="s">
        <v>95</v>
      </c>
      <c r="I5" s="70">
        <v>51.28</v>
      </c>
      <c r="J5" s="122">
        <v>0.13</v>
      </c>
      <c r="K5" s="123">
        <v>9.7899999999999991</v>
      </c>
      <c r="L5" s="241"/>
      <c r="M5" s="237"/>
      <c r="N5" s="51">
        <v>1.2939527432919504</v>
      </c>
      <c r="O5" s="51">
        <v>8.7964932919504246E-3</v>
      </c>
    </row>
    <row r="6" spans="1:15" x14ac:dyDescent="0.25">
      <c r="A6" s="71">
        <v>42674</v>
      </c>
      <c r="B6" s="72">
        <v>19.940000000000001</v>
      </c>
      <c r="C6" s="73">
        <v>25.47</v>
      </c>
      <c r="D6" s="147"/>
      <c r="E6" s="75"/>
      <c r="F6" s="73"/>
      <c r="G6" s="234">
        <v>42716</v>
      </c>
      <c r="H6" s="75" t="s">
        <v>99</v>
      </c>
      <c r="I6" s="76">
        <v>90</v>
      </c>
      <c r="J6" s="124">
        <v>0.25</v>
      </c>
      <c r="K6" s="125">
        <v>10.37</v>
      </c>
      <c r="L6" s="242"/>
      <c r="M6" s="238"/>
      <c r="N6" s="51">
        <v>1.2773319959879637</v>
      </c>
      <c r="O6" s="51">
        <v>-7.8242540120363469E-3</v>
      </c>
    </row>
    <row r="7" spans="1:15" x14ac:dyDescent="0.25">
      <c r="A7" s="71">
        <v>42704</v>
      </c>
      <c r="B7" s="72">
        <v>42.72</v>
      </c>
      <c r="C7" s="73">
        <v>53.86</v>
      </c>
      <c r="D7" s="147"/>
      <c r="E7" s="75"/>
      <c r="F7" s="73"/>
      <c r="G7" s="234">
        <v>42716</v>
      </c>
      <c r="H7" s="75" t="s">
        <v>99</v>
      </c>
      <c r="I7" s="76">
        <v>21.82</v>
      </c>
      <c r="J7" s="124">
        <v>0.19</v>
      </c>
      <c r="K7" s="125">
        <v>10.19</v>
      </c>
      <c r="L7" s="242"/>
      <c r="M7" s="238"/>
      <c r="N7" s="51">
        <v>1.2607677902621723</v>
      </c>
      <c r="O7" s="51">
        <v>-2.4388459737827661E-2</v>
      </c>
    </row>
    <row r="8" spans="1:15" x14ac:dyDescent="0.25">
      <c r="A8" s="71">
        <v>42735</v>
      </c>
      <c r="B8" s="72">
        <v>60.03</v>
      </c>
      <c r="C8" s="73">
        <v>76.599999999999994</v>
      </c>
      <c r="D8" s="147"/>
      <c r="E8" s="75"/>
      <c r="F8" s="73"/>
      <c r="G8" s="234">
        <v>42710</v>
      </c>
      <c r="H8" s="75" t="s">
        <v>95</v>
      </c>
      <c r="I8" s="76">
        <v>13.28</v>
      </c>
      <c r="J8" s="124">
        <v>0.33</v>
      </c>
      <c r="K8" s="125">
        <v>10.23</v>
      </c>
      <c r="L8" s="242"/>
      <c r="M8" s="238"/>
      <c r="N8" s="51">
        <v>1.2760286523404962</v>
      </c>
      <c r="O8" s="51">
        <v>-9.1275976595037722E-3</v>
      </c>
    </row>
    <row r="9" spans="1:15" x14ac:dyDescent="0.25">
      <c r="A9" s="71">
        <v>42766</v>
      </c>
      <c r="B9" s="72">
        <v>23.41</v>
      </c>
      <c r="C9" s="73">
        <v>29.87</v>
      </c>
      <c r="D9" s="147">
        <v>42815</v>
      </c>
      <c r="E9" s="75" t="s">
        <v>132</v>
      </c>
      <c r="F9" s="73">
        <v>16.62</v>
      </c>
      <c r="G9" s="234">
        <v>42710</v>
      </c>
      <c r="H9" s="75" t="s">
        <v>100</v>
      </c>
      <c r="I9" s="76">
        <v>-51.28</v>
      </c>
      <c r="J9" s="124">
        <v>0.27</v>
      </c>
      <c r="K9" s="125">
        <v>10.36</v>
      </c>
      <c r="L9" s="242">
        <v>209</v>
      </c>
      <c r="M9" s="238">
        <v>1.53</v>
      </c>
      <c r="N9" s="51">
        <v>1.2759504485262709</v>
      </c>
      <c r="O9" s="51">
        <v>-9.2058014737290694E-3</v>
      </c>
    </row>
    <row r="10" spans="1:15" x14ac:dyDescent="0.25">
      <c r="A10" s="71">
        <v>42794</v>
      </c>
      <c r="B10" s="72">
        <v>9.86</v>
      </c>
      <c r="C10" s="73">
        <v>13.14</v>
      </c>
      <c r="D10" s="147">
        <v>42817</v>
      </c>
      <c r="E10" s="75" t="s">
        <v>135</v>
      </c>
      <c r="F10" s="73">
        <v>49.5</v>
      </c>
      <c r="G10" s="234">
        <v>42810</v>
      </c>
      <c r="H10" s="75" t="s">
        <v>161</v>
      </c>
      <c r="I10" s="76">
        <v>13.28</v>
      </c>
      <c r="J10" s="124">
        <v>0.27</v>
      </c>
      <c r="K10" s="125">
        <v>10.4</v>
      </c>
      <c r="L10" s="242">
        <v>88</v>
      </c>
      <c r="M10" s="238">
        <v>33.369999999999997</v>
      </c>
      <c r="N10" s="51">
        <v>1.3326572008113591</v>
      </c>
      <c r="O10" s="51">
        <v>4.7500950811359077E-2</v>
      </c>
    </row>
    <row r="11" spans="1:15" x14ac:dyDescent="0.25">
      <c r="A11" s="71">
        <v>42825</v>
      </c>
      <c r="B11" s="72">
        <v>21.17</v>
      </c>
      <c r="C11" s="73">
        <v>28.22</v>
      </c>
      <c r="D11" s="147"/>
      <c r="E11" s="75"/>
      <c r="F11" s="73"/>
      <c r="G11" s="234">
        <v>43008</v>
      </c>
      <c r="H11" s="75" t="s">
        <v>160</v>
      </c>
      <c r="I11" s="76">
        <v>13.28</v>
      </c>
      <c r="J11" s="124">
        <v>0.27</v>
      </c>
      <c r="K11" s="125">
        <v>10.48</v>
      </c>
      <c r="L11" s="242">
        <v>189</v>
      </c>
      <c r="M11" s="238">
        <v>12.2</v>
      </c>
      <c r="N11" s="51">
        <v>1.3330184222957013</v>
      </c>
      <c r="O11" s="51">
        <v>4.7862172295701333E-2</v>
      </c>
    </row>
    <row r="12" spans="1:15" x14ac:dyDescent="0.25">
      <c r="A12" s="71">
        <v>42855</v>
      </c>
      <c r="B12" s="72">
        <v>5.26</v>
      </c>
      <c r="C12" s="73">
        <v>7.02</v>
      </c>
      <c r="D12" s="147"/>
      <c r="E12" s="75"/>
      <c r="F12" s="73"/>
      <c r="G12" s="234"/>
      <c r="H12" s="75"/>
      <c r="I12" s="76"/>
      <c r="J12" s="124">
        <v>0.28999999999999998</v>
      </c>
      <c r="K12" s="125">
        <v>10.49</v>
      </c>
      <c r="L12" s="242">
        <v>47</v>
      </c>
      <c r="M12" s="238">
        <v>6.94</v>
      </c>
      <c r="N12" s="51">
        <v>1.3346007604562737</v>
      </c>
      <c r="O12" s="51">
        <v>4.9444510456273738E-2</v>
      </c>
    </row>
    <row r="13" spans="1:15" x14ac:dyDescent="0.25">
      <c r="A13" s="71">
        <v>42886</v>
      </c>
      <c r="B13" s="72">
        <v>0</v>
      </c>
      <c r="C13" s="73">
        <v>0</v>
      </c>
      <c r="D13" s="147"/>
      <c r="E13" s="75"/>
      <c r="F13" s="73"/>
      <c r="G13" s="234"/>
      <c r="H13" s="75"/>
      <c r="I13" s="76"/>
      <c r="J13" s="124">
        <v>0.28999999999999998</v>
      </c>
      <c r="K13" s="125">
        <v>10.49</v>
      </c>
      <c r="L13" s="242">
        <v>0</v>
      </c>
      <c r="M13" s="238">
        <v>6.94</v>
      </c>
      <c r="N13" s="51" t="e">
        <v>#DIV/0!</v>
      </c>
      <c r="O13" s="51" t="e">
        <v>#DIV/0!</v>
      </c>
    </row>
    <row r="14" spans="1:15" x14ac:dyDescent="0.25">
      <c r="A14" s="71"/>
      <c r="B14" s="72"/>
      <c r="C14" s="73"/>
      <c r="D14" s="147"/>
      <c r="E14" s="75"/>
      <c r="F14" s="73"/>
      <c r="G14" s="234"/>
      <c r="H14" s="75"/>
      <c r="I14" s="76"/>
      <c r="J14" s="124">
        <v>0.30037955465587041</v>
      </c>
      <c r="K14" s="125">
        <v>10.493927125506074</v>
      </c>
      <c r="L14" s="242"/>
      <c r="M14" s="238"/>
      <c r="N14" s="51" t="e">
        <v>#DIV/0!</v>
      </c>
      <c r="O14" s="51" t="e">
        <v>#DIV/0!</v>
      </c>
    </row>
    <row r="15" spans="1:15" ht="16.5" thickBot="1" x14ac:dyDescent="0.3">
      <c r="A15" s="77" t="s">
        <v>15</v>
      </c>
      <c r="B15" s="78"/>
      <c r="C15" s="79"/>
      <c r="D15" s="148"/>
      <c r="E15" s="80"/>
      <c r="F15" s="79"/>
      <c r="G15" s="235"/>
      <c r="H15" s="80"/>
      <c r="I15" s="81"/>
      <c r="J15" s="126"/>
      <c r="K15" s="127"/>
      <c r="L15" s="243"/>
      <c r="M15" s="239"/>
      <c r="N15" s="51"/>
    </row>
    <row r="16" spans="1:15" s="60" customFormat="1" ht="16.5" thickTop="1" x14ac:dyDescent="0.25">
      <c r="A16" s="562" t="s">
        <v>85</v>
      </c>
      <c r="B16" s="563">
        <f ca="1">SUMIFS($B$5:$B$15,$A$5:$A$15,"&gt;="&amp;$B17,$A$5:$A$15,"&lt;="&amp;$D17)</f>
        <v>0</v>
      </c>
      <c r="C16" s="566">
        <f ca="1">SUMIFS($C$5:$C$25,$A$5:$A$25,"&gt;="&amp;$B17,$A$5:$A$25,"&lt;="&amp;$D17)</f>
        <v>0</v>
      </c>
      <c r="D16" s="568"/>
      <c r="E16" s="564"/>
      <c r="F16" s="569">
        <f ca="1">SUMIFS($F$5:$F$25,$D$5:$D$25,"&gt;="&amp;$B17,$D$5:$D$25,"&lt;="&amp;$D17)</f>
        <v>0</v>
      </c>
      <c r="G16" s="567"/>
      <c r="H16" s="564"/>
      <c r="I16" s="566">
        <f ca="1">SUMIFS($I$5:$I$25,$G$5:$G$25,"&gt;="&amp;$B17,$G$5:$G$25,"&lt;="&amp;$D17)</f>
        <v>0</v>
      </c>
      <c r="J16" s="571"/>
      <c r="K16" s="592"/>
      <c r="L16" s="570">
        <f ca="1">SUMIFS($L$5:$L$25,$A$5:$A$25,"&gt;="&amp;$B17,$A$5:$A$25,"&lt;="&amp;$D17)</f>
        <v>0</v>
      </c>
      <c r="M16" s="565"/>
    </row>
    <row r="17" spans="1:14" s="561" customFormat="1" x14ac:dyDescent="0.25">
      <c r="A17" s="572" t="s">
        <v>328</v>
      </c>
      <c r="B17" s="2353">
        <f>Prehľad!AV1</f>
        <v>43831</v>
      </c>
      <c r="C17" s="2354"/>
      <c r="D17" s="2353">
        <f ca="1">Prehľad!AX1</f>
        <v>44607</v>
      </c>
      <c r="E17" s="2354"/>
      <c r="F17" s="573"/>
      <c r="G17" s="574"/>
      <c r="H17" s="575"/>
      <c r="I17" s="573"/>
      <c r="J17" s="576"/>
      <c r="K17" s="577"/>
      <c r="L17" s="578"/>
      <c r="M17" s="579"/>
      <c r="N17" s="560"/>
    </row>
    <row r="18" spans="1:14" x14ac:dyDescent="0.25">
      <c r="A18" s="53"/>
      <c r="D18" s="56"/>
      <c r="E18" s="6"/>
      <c r="F18" s="55"/>
    </row>
    <row r="19" spans="1:14" x14ac:dyDescent="0.25">
      <c r="A19" s="53"/>
      <c r="D19" s="56"/>
      <c r="E19" s="6"/>
      <c r="F19" s="55"/>
    </row>
    <row r="20" spans="1:14" x14ac:dyDescent="0.25">
      <c r="A20" s="53"/>
      <c r="D20" s="56"/>
      <c r="E20" s="6"/>
      <c r="F20" s="55"/>
    </row>
    <row r="21" spans="1:14" x14ac:dyDescent="0.25">
      <c r="A21" s="53"/>
      <c r="E21" s="57"/>
      <c r="F21" s="55"/>
    </row>
    <row r="22" spans="1:14" x14ac:dyDescent="0.25">
      <c r="A22" s="53"/>
      <c r="E22" s="57"/>
      <c r="F22" s="55"/>
    </row>
    <row r="23" spans="1:14" x14ac:dyDescent="0.25">
      <c r="E23" s="57"/>
      <c r="F23" s="55"/>
    </row>
    <row r="24" spans="1:14" x14ac:dyDescent="0.25">
      <c r="E24" s="57"/>
      <c r="F24" s="55"/>
    </row>
    <row r="25" spans="1:14" x14ac:dyDescent="0.25">
      <c r="E25" s="57"/>
      <c r="F25" s="55"/>
    </row>
    <row r="26" spans="1:14" x14ac:dyDescent="0.25">
      <c r="E26" s="57"/>
    </row>
    <row r="27" spans="1:14" x14ac:dyDescent="0.25">
      <c r="E27" s="57"/>
    </row>
    <row r="28" spans="1:14" x14ac:dyDescent="0.25">
      <c r="E28" s="57"/>
    </row>
    <row r="29" spans="1:14" x14ac:dyDescent="0.25">
      <c r="E29" s="57"/>
    </row>
    <row r="30" spans="1:14" x14ac:dyDescent="0.25">
      <c r="E30" s="57"/>
    </row>
    <row r="31" spans="1:14" x14ac:dyDescent="0.25">
      <c r="E31" s="57"/>
    </row>
    <row r="32" spans="1:14" x14ac:dyDescent="0.25">
      <c r="E32" s="57"/>
    </row>
    <row r="33" spans="5:5" x14ac:dyDescent="0.25">
      <c r="E33" s="57"/>
    </row>
  </sheetData>
  <mergeCells count="13">
    <mergeCell ref="B17:C17"/>
    <mergeCell ref="D17:E17"/>
    <mergeCell ref="L2:L4"/>
    <mergeCell ref="M2:M4"/>
    <mergeCell ref="K2:K4"/>
    <mergeCell ref="B3:C3"/>
    <mergeCell ref="D4:E4"/>
    <mergeCell ref="G4:H4"/>
    <mergeCell ref="A1:C1"/>
    <mergeCell ref="E1:G1"/>
    <mergeCell ref="B2:D2"/>
    <mergeCell ref="G2:H2"/>
    <mergeCell ref="J2:J4"/>
  </mergeCells>
  <conditionalFormatting sqref="O5:O15">
    <cfRule type="cellIs" dxfId="27" priority="3" operator="greaterThan">
      <formula>0</formula>
    </cfRule>
    <cfRule type="cellIs" dxfId="26" priority="4" operator="lessThan">
      <formula>0</formula>
    </cfRule>
  </conditionalFormatting>
  <conditionalFormatting sqref="O17">
    <cfRule type="cellIs" dxfId="25" priority="1" operator="greaterThan">
      <formula>0</formula>
    </cfRule>
    <cfRule type="cellIs" dxfId="24" priority="2" operator="lessThan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>
    <pageSetUpPr fitToPage="1"/>
  </sheetPr>
  <dimension ref="A1:P38"/>
  <sheetViews>
    <sheetView workbookViewId="0">
      <pane ySplit="4" topLeftCell="A5" activePane="bottomLeft" state="frozen"/>
      <selection activeCell="L43" sqref="L43:M43"/>
      <selection pane="bottomLeft" activeCell="L43" sqref="L43:M43"/>
    </sheetView>
  </sheetViews>
  <sheetFormatPr defaultRowHeight="15.75" x14ac:dyDescent="0.25"/>
  <cols>
    <col min="1" max="1" width="12.625" style="52" customWidth="1"/>
    <col min="2" max="2" width="6.625" style="61" customWidth="1"/>
    <col min="3" max="3" width="10.125" style="55" customWidth="1"/>
    <col min="4" max="4" width="9" style="1"/>
    <col min="5" max="5" width="9" style="5"/>
    <col min="6" max="6" width="9.375" style="5" bestFit="1" customWidth="1"/>
    <col min="7" max="8" width="9" style="1"/>
    <col min="9" max="9" width="9.375" style="1" bestFit="1" customWidth="1"/>
    <col min="10" max="10" width="8.625" style="8" customWidth="1"/>
    <col min="11" max="11" width="8.625" style="1" customWidth="1"/>
    <col min="12" max="12" width="9" style="5"/>
    <col min="13" max="13" width="9" style="61"/>
    <col min="14" max="16384" width="9" style="1"/>
  </cols>
  <sheetData>
    <row r="1" spans="1:15" s="60" customFormat="1" x14ac:dyDescent="0.25">
      <c r="A1" s="2344" t="s">
        <v>47</v>
      </c>
      <c r="B1" s="2344"/>
      <c r="C1" s="2344"/>
      <c r="D1" s="63">
        <v>0.2086171805852968</v>
      </c>
      <c r="E1" s="2345" t="s">
        <v>53</v>
      </c>
      <c r="F1" s="2345"/>
      <c r="G1" s="2345"/>
      <c r="H1" s="82">
        <v>11.538334512856805</v>
      </c>
      <c r="I1" s="91" t="s">
        <v>66</v>
      </c>
      <c r="J1" s="82"/>
      <c r="K1" s="92">
        <v>36161</v>
      </c>
      <c r="L1" s="240"/>
      <c r="M1" s="236"/>
    </row>
    <row r="2" spans="1:15" s="50" customFormat="1" x14ac:dyDescent="0.25">
      <c r="A2" s="86" t="s">
        <v>29</v>
      </c>
      <c r="B2" s="2346" t="s">
        <v>55</v>
      </c>
      <c r="C2" s="2346"/>
      <c r="D2" s="2347"/>
      <c r="E2" s="87">
        <v>472439</v>
      </c>
      <c r="F2" s="88">
        <v>485156</v>
      </c>
      <c r="G2" s="2348" t="s">
        <v>64</v>
      </c>
      <c r="H2" s="2349"/>
      <c r="I2" s="128">
        <v>4</v>
      </c>
      <c r="J2" s="2350" t="s">
        <v>51</v>
      </c>
      <c r="K2" s="2350" t="s">
        <v>52</v>
      </c>
      <c r="L2" s="2355" t="s">
        <v>102</v>
      </c>
      <c r="M2" s="2358" t="s">
        <v>101</v>
      </c>
    </row>
    <row r="3" spans="1:15" s="85" customFormat="1" ht="16.5" thickBot="1" x14ac:dyDescent="0.3">
      <c r="A3" s="89" t="s">
        <v>60</v>
      </c>
      <c r="B3" s="2361">
        <v>25000</v>
      </c>
      <c r="C3" s="2362"/>
      <c r="D3" s="113" t="s">
        <v>65</v>
      </c>
      <c r="E3" s="114">
        <v>19.030800821355236</v>
      </c>
      <c r="F3" s="115" t="s">
        <v>61</v>
      </c>
      <c r="G3" s="116">
        <v>109.4716587541361</v>
      </c>
      <c r="H3" s="117" t="s">
        <v>62</v>
      </c>
      <c r="I3" s="118">
        <v>5.1529817213432375E-2</v>
      </c>
      <c r="J3" s="2351"/>
      <c r="K3" s="2351"/>
      <c r="L3" s="2356"/>
      <c r="M3" s="2359"/>
    </row>
    <row r="4" spans="1:15" ht="16.5" thickTop="1" x14ac:dyDescent="0.25">
      <c r="A4" s="90" t="s">
        <v>67</v>
      </c>
      <c r="B4" s="62">
        <v>11.538334512856805</v>
      </c>
      <c r="C4" s="58">
        <v>0.14703939608398209</v>
      </c>
      <c r="D4" s="2363" t="s">
        <v>48</v>
      </c>
      <c r="E4" s="2364"/>
      <c r="F4" s="58">
        <v>3.8924274593064401E-3</v>
      </c>
      <c r="G4" s="2363" t="s">
        <v>50</v>
      </c>
      <c r="H4" s="2364"/>
      <c r="I4" s="59">
        <v>6.1555398285759221E-3</v>
      </c>
      <c r="J4" s="2352"/>
      <c r="K4" s="2352"/>
      <c r="L4" s="2357"/>
      <c r="M4" s="2360"/>
      <c r="N4" s="54">
        <v>1.2743554619615221</v>
      </c>
    </row>
    <row r="5" spans="1:15" x14ac:dyDescent="0.25">
      <c r="A5" s="64">
        <v>42643</v>
      </c>
      <c r="B5" s="65">
        <v>0</v>
      </c>
      <c r="C5" s="66">
        <v>0</v>
      </c>
      <c r="D5" s="67">
        <v>42657</v>
      </c>
      <c r="E5" s="68" t="s">
        <v>78</v>
      </c>
      <c r="F5" s="66">
        <v>49.5</v>
      </c>
      <c r="G5" s="69">
        <v>42684</v>
      </c>
      <c r="H5" s="68" t="s">
        <v>95</v>
      </c>
      <c r="I5" s="70">
        <v>92.62</v>
      </c>
      <c r="J5" s="122">
        <v>0</v>
      </c>
      <c r="K5" s="123">
        <v>0</v>
      </c>
      <c r="L5" s="241"/>
      <c r="M5" s="237"/>
      <c r="N5" s="51" t="e">
        <v>#DIV/0!</v>
      </c>
      <c r="O5" s="51" t="e">
        <v>#DIV/0!</v>
      </c>
    </row>
    <row r="6" spans="1:15" x14ac:dyDescent="0.25">
      <c r="A6" s="71">
        <v>42674</v>
      </c>
      <c r="B6" s="72">
        <v>244.18</v>
      </c>
      <c r="C6" s="73">
        <v>312.97000000000003</v>
      </c>
      <c r="D6" s="147"/>
      <c r="E6" s="75"/>
      <c r="F6" s="73"/>
      <c r="G6" s="234">
        <v>42716</v>
      </c>
      <c r="H6" s="75" t="s">
        <v>99</v>
      </c>
      <c r="I6" s="76">
        <v>21.82</v>
      </c>
      <c r="J6" s="124">
        <v>0.21</v>
      </c>
      <c r="K6" s="125">
        <v>11.34</v>
      </c>
      <c r="L6" s="242"/>
      <c r="M6" s="238"/>
      <c r="N6" s="51">
        <v>1.2817184044557295</v>
      </c>
      <c r="O6" s="51">
        <v>7.3629424942074362E-3</v>
      </c>
    </row>
    <row r="7" spans="1:15" x14ac:dyDescent="0.25">
      <c r="A7" s="71">
        <v>42704</v>
      </c>
      <c r="B7" s="72">
        <v>198.56</v>
      </c>
      <c r="C7" s="73">
        <v>248.24</v>
      </c>
      <c r="D7" s="147"/>
      <c r="E7" s="75"/>
      <c r="F7" s="73"/>
      <c r="G7" s="234">
        <v>42710</v>
      </c>
      <c r="H7" s="75" t="s">
        <v>95</v>
      </c>
      <c r="I7" s="76">
        <v>13.28</v>
      </c>
      <c r="J7" s="124">
        <v>0.18</v>
      </c>
      <c r="K7" s="125">
        <v>11.33</v>
      </c>
      <c r="L7" s="242"/>
      <c r="M7" s="238"/>
      <c r="N7" s="51">
        <v>1.2502014504431911</v>
      </c>
      <c r="O7" s="51">
        <v>-2.4154011518330964E-2</v>
      </c>
    </row>
    <row r="8" spans="1:15" x14ac:dyDescent="0.25">
      <c r="A8" s="71">
        <v>42735</v>
      </c>
      <c r="B8" s="72">
        <v>205.25</v>
      </c>
      <c r="C8" s="73">
        <v>261.63</v>
      </c>
      <c r="D8" s="147"/>
      <c r="E8" s="75"/>
      <c r="F8" s="73"/>
      <c r="G8" s="234">
        <v>42710</v>
      </c>
      <c r="H8" s="75" t="s">
        <v>100</v>
      </c>
      <c r="I8" s="76">
        <v>-92.62</v>
      </c>
      <c r="J8" s="124">
        <v>0.17</v>
      </c>
      <c r="K8" s="125">
        <v>11.3</v>
      </c>
      <c r="L8" s="242"/>
      <c r="M8" s="238"/>
      <c r="N8" s="51">
        <v>1.2746894031668696</v>
      </c>
      <c r="O8" s="51">
        <v>3.3394120534757654E-4</v>
      </c>
    </row>
    <row r="9" spans="1:15" x14ac:dyDescent="0.25">
      <c r="A9" s="71">
        <v>42766</v>
      </c>
      <c r="B9" s="72">
        <v>0</v>
      </c>
      <c r="C9" s="73">
        <v>0</v>
      </c>
      <c r="D9" s="147"/>
      <c r="E9" s="75"/>
      <c r="F9" s="73"/>
      <c r="G9" s="234">
        <v>42810</v>
      </c>
      <c r="H9" s="75" t="s">
        <v>130</v>
      </c>
      <c r="I9" s="76">
        <v>13.28</v>
      </c>
      <c r="J9" s="124">
        <v>0.16</v>
      </c>
      <c r="K9" s="125">
        <v>11.3</v>
      </c>
      <c r="L9" s="242">
        <v>0</v>
      </c>
      <c r="M9" s="238">
        <v>26.95</v>
      </c>
      <c r="N9" s="51" t="e">
        <v>#DIV/0!</v>
      </c>
      <c r="O9" s="51" t="e">
        <v>#DIV/0!</v>
      </c>
    </row>
    <row r="10" spans="1:15" x14ac:dyDescent="0.25">
      <c r="A10" s="71">
        <v>42794</v>
      </c>
      <c r="B10" s="72">
        <v>74.69</v>
      </c>
      <c r="C10" s="73">
        <v>98.32</v>
      </c>
      <c r="D10" s="147"/>
      <c r="E10" s="75"/>
      <c r="F10" s="73"/>
      <c r="G10" s="234">
        <v>43008</v>
      </c>
      <c r="H10" s="75" t="s">
        <v>160</v>
      </c>
      <c r="I10" s="76">
        <v>13.28</v>
      </c>
      <c r="J10" s="124">
        <v>0.16</v>
      </c>
      <c r="K10" s="125">
        <v>11.38</v>
      </c>
      <c r="L10" s="242">
        <v>618</v>
      </c>
      <c r="M10" s="238">
        <v>58.76</v>
      </c>
      <c r="N10" s="51">
        <v>1.3163743473021823</v>
      </c>
      <c r="O10" s="51">
        <v>4.2018885340660228E-2</v>
      </c>
    </row>
    <row r="11" spans="1:15" x14ac:dyDescent="0.25">
      <c r="A11" s="71">
        <v>42825</v>
      </c>
      <c r="B11" s="72">
        <v>67.16</v>
      </c>
      <c r="C11" s="73">
        <v>87.12</v>
      </c>
      <c r="D11" s="147"/>
      <c r="E11" s="75"/>
      <c r="F11" s="73"/>
      <c r="G11" s="234">
        <v>42815</v>
      </c>
      <c r="H11" s="75" t="s">
        <v>132</v>
      </c>
      <c r="I11" s="76">
        <v>16.62</v>
      </c>
      <c r="J11" s="124">
        <v>0.16</v>
      </c>
      <c r="K11" s="125">
        <v>11.45</v>
      </c>
      <c r="L11" s="242">
        <v>546</v>
      </c>
      <c r="M11" s="238">
        <v>33.6</v>
      </c>
      <c r="N11" s="51">
        <v>1.2972007147111377</v>
      </c>
      <c r="O11" s="51">
        <v>2.2845252749615685E-2</v>
      </c>
    </row>
    <row r="12" spans="1:15" x14ac:dyDescent="0.25">
      <c r="A12" s="71">
        <v>42855</v>
      </c>
      <c r="B12" s="72">
        <v>90.29</v>
      </c>
      <c r="C12" s="73">
        <v>118.14</v>
      </c>
      <c r="D12" s="147"/>
      <c r="E12" s="75"/>
      <c r="F12" s="73"/>
      <c r="G12" s="234"/>
      <c r="H12" s="75"/>
      <c r="I12" s="76"/>
      <c r="J12" s="124">
        <v>0.16</v>
      </c>
      <c r="K12" s="125">
        <v>11.49</v>
      </c>
      <c r="L12" s="242">
        <v>764</v>
      </c>
      <c r="M12" s="238">
        <v>39.81</v>
      </c>
      <c r="N12" s="51">
        <v>1.3084505482334698</v>
      </c>
      <c r="O12" s="51">
        <v>3.4095086271947794E-2</v>
      </c>
    </row>
    <row r="13" spans="1:15" x14ac:dyDescent="0.25">
      <c r="A13" s="71">
        <v>42886</v>
      </c>
      <c r="B13" s="72">
        <v>207.74</v>
      </c>
      <c r="C13" s="73">
        <v>267.43</v>
      </c>
      <c r="D13" s="147"/>
      <c r="E13" s="75"/>
      <c r="F13" s="73"/>
      <c r="G13" s="234"/>
      <c r="H13" s="75"/>
      <c r="I13" s="76"/>
      <c r="J13" s="124">
        <v>0.16</v>
      </c>
      <c r="K13" s="125">
        <v>11.51</v>
      </c>
      <c r="L13" s="242">
        <v>1790</v>
      </c>
      <c r="M13" s="238">
        <v>30.07</v>
      </c>
      <c r="N13" s="51">
        <v>1.2873303167420813</v>
      </c>
      <c r="O13" s="51">
        <v>1.2974854780559264E-2</v>
      </c>
    </row>
    <row r="14" spans="1:15" x14ac:dyDescent="0.25">
      <c r="A14" s="71">
        <v>42916</v>
      </c>
      <c r="B14" s="72">
        <v>379.46</v>
      </c>
      <c r="C14" s="73">
        <v>476.05</v>
      </c>
      <c r="D14" s="147"/>
      <c r="E14" s="75"/>
      <c r="F14" s="73"/>
      <c r="G14" s="234"/>
      <c r="H14" s="75"/>
      <c r="I14" s="76"/>
      <c r="J14" s="124">
        <v>0.16</v>
      </c>
      <c r="K14" s="125">
        <v>11.54</v>
      </c>
      <c r="L14" s="242">
        <v>3266</v>
      </c>
      <c r="M14" s="238">
        <v>16.11</v>
      </c>
      <c r="N14" s="51">
        <v>1.2545459336952511</v>
      </c>
      <c r="O14" s="51">
        <v>-1.9809528266270915E-2</v>
      </c>
    </row>
    <row r="15" spans="1:15" x14ac:dyDescent="0.25">
      <c r="A15" s="71">
        <v>42947</v>
      </c>
      <c r="B15" s="72">
        <v>0</v>
      </c>
      <c r="C15" s="73">
        <v>0</v>
      </c>
      <c r="D15" s="147"/>
      <c r="E15" s="75"/>
      <c r="F15" s="73"/>
      <c r="G15" s="234"/>
      <c r="H15" s="75"/>
      <c r="I15" s="76"/>
      <c r="J15" s="124">
        <v>0.16</v>
      </c>
      <c r="K15" s="125">
        <v>11.54</v>
      </c>
      <c r="L15" s="242">
        <v>0</v>
      </c>
      <c r="M15" s="238">
        <v>16.11</v>
      </c>
      <c r="N15" s="51" t="e">
        <v>#DIV/0!</v>
      </c>
      <c r="O15" s="51" t="e">
        <v>#DIV/0!</v>
      </c>
    </row>
    <row r="16" spans="1:15" x14ac:dyDescent="0.25">
      <c r="A16" s="71">
        <v>42978</v>
      </c>
      <c r="B16" s="72">
        <v>0</v>
      </c>
      <c r="C16" s="73">
        <v>0</v>
      </c>
      <c r="D16" s="147"/>
      <c r="E16" s="75"/>
      <c r="F16" s="73"/>
      <c r="G16" s="234"/>
      <c r="H16" s="75"/>
      <c r="I16" s="76"/>
      <c r="J16" s="124">
        <v>0.16</v>
      </c>
      <c r="K16" s="125">
        <v>11.54</v>
      </c>
      <c r="L16" s="242">
        <v>0</v>
      </c>
      <c r="M16" s="238">
        <v>16.11</v>
      </c>
      <c r="N16" s="51" t="e">
        <v>#DIV/0!</v>
      </c>
      <c r="O16" s="51" t="e">
        <v>#DIV/0!</v>
      </c>
    </row>
    <row r="17" spans="1:16" x14ac:dyDescent="0.25">
      <c r="A17" s="71">
        <v>43008</v>
      </c>
      <c r="B17" s="72">
        <v>0</v>
      </c>
      <c r="C17" s="73">
        <v>0</v>
      </c>
      <c r="D17" s="147"/>
      <c r="E17" s="75"/>
      <c r="F17" s="73"/>
      <c r="G17" s="234"/>
      <c r="H17" s="75"/>
      <c r="I17" s="76"/>
      <c r="J17" s="124">
        <v>0.16</v>
      </c>
      <c r="K17" s="125">
        <v>11.54</v>
      </c>
      <c r="L17" s="242">
        <v>0</v>
      </c>
      <c r="M17" s="238">
        <v>16.11</v>
      </c>
      <c r="N17" s="51" t="e">
        <v>#DIV/0!</v>
      </c>
      <c r="O17" s="51" t="e">
        <v>#DIV/0!</v>
      </c>
    </row>
    <row r="18" spans="1:16" x14ac:dyDescent="0.25">
      <c r="A18" s="71">
        <v>43039</v>
      </c>
      <c r="B18" s="72">
        <v>0</v>
      </c>
      <c r="C18" s="73">
        <v>0</v>
      </c>
      <c r="D18" s="147"/>
      <c r="E18" s="75"/>
      <c r="F18" s="73"/>
      <c r="G18" s="234"/>
      <c r="H18" s="75"/>
      <c r="I18" s="76"/>
      <c r="J18" s="124">
        <v>0.16</v>
      </c>
      <c r="K18" s="125">
        <v>11.54</v>
      </c>
      <c r="L18" s="242">
        <v>0</v>
      </c>
      <c r="M18" s="238">
        <v>0</v>
      </c>
      <c r="N18" s="51" t="e">
        <v>#DIV/0!</v>
      </c>
      <c r="O18" s="51" t="e">
        <v>#DIV/0!</v>
      </c>
      <c r="P18" s="1" t="s">
        <v>180</v>
      </c>
    </row>
    <row r="19" spans="1:16" x14ac:dyDescent="0.25">
      <c r="A19" s="71"/>
      <c r="B19" s="72"/>
      <c r="C19" s="73"/>
      <c r="D19" s="147"/>
      <c r="E19" s="75"/>
      <c r="F19" s="73"/>
      <c r="G19" s="234"/>
      <c r="H19" s="75"/>
      <c r="I19" s="76"/>
      <c r="J19" s="124">
        <v>0.15708736337186441</v>
      </c>
      <c r="K19" s="125">
        <v>11.538334512856805</v>
      </c>
      <c r="L19" s="242"/>
      <c r="M19" s="238"/>
      <c r="N19" s="51" t="e">
        <v>#DIV/0!</v>
      </c>
      <c r="O19" s="51" t="e">
        <v>#DIV/0!</v>
      </c>
    </row>
    <row r="20" spans="1:16" ht="16.5" thickBot="1" x14ac:dyDescent="0.3">
      <c r="A20" s="77" t="s">
        <v>15</v>
      </c>
      <c r="B20" s="78"/>
      <c r="C20" s="79"/>
      <c r="D20" s="148"/>
      <c r="E20" s="80"/>
      <c r="F20" s="79"/>
      <c r="G20" s="235"/>
      <c r="H20" s="80"/>
      <c r="I20" s="81"/>
      <c r="J20" s="126"/>
      <c r="K20" s="127"/>
      <c r="L20" s="243"/>
      <c r="M20" s="239"/>
      <c r="N20" s="51"/>
    </row>
    <row r="21" spans="1:16" s="60" customFormat="1" ht="16.5" thickTop="1" x14ac:dyDescent="0.25">
      <c r="A21" s="562" t="s">
        <v>85</v>
      </c>
      <c r="B21" s="563">
        <f ca="1">SUMIFS($B$5:$B$20,$A$5:$A$20,"&gt;="&amp;$B22,$A$5:$A$20,"&lt;="&amp;$D22)</f>
        <v>0</v>
      </c>
      <c r="C21" s="566">
        <f ca="1">SUMIFS($C$5:$C$20,$A$5:$A$20,"&gt;="&amp;$B22,$A$5:$A$20,"&lt;="&amp;$D22)</f>
        <v>0</v>
      </c>
      <c r="D21" s="568"/>
      <c r="E21" s="564"/>
      <c r="F21" s="569">
        <f ca="1">SUMIFS($F$5:$F$20,$D$5:$D$20,"&gt;="&amp;$B22,$D$5:$D$20,"&lt;="&amp;$D22)</f>
        <v>0</v>
      </c>
      <c r="G21" s="567"/>
      <c r="H21" s="564"/>
      <c r="I21" s="566">
        <f ca="1">SUMIFS($I$5:$I$20,$G$5:$G$20,"&gt;="&amp;$B22,$G$5:$G$20,"&lt;="&amp;$D22)</f>
        <v>0</v>
      </c>
      <c r="J21" s="571"/>
      <c r="K21" s="592"/>
      <c r="L21" s="570">
        <f ca="1">SUMIFS($L$5:$L$20,$A$5:$A$20,"&gt;="&amp;$B22,$A$5:$A$20,"&lt;="&amp;$D22)</f>
        <v>0</v>
      </c>
      <c r="M21" s="565"/>
    </row>
    <row r="22" spans="1:16" s="561" customFormat="1" x14ac:dyDescent="0.25">
      <c r="A22" s="572" t="s">
        <v>328</v>
      </c>
      <c r="B22" s="2353">
        <f>Prehľad!AV1</f>
        <v>43831</v>
      </c>
      <c r="C22" s="2354"/>
      <c r="D22" s="2353">
        <f ca="1">Prehľad!AX1</f>
        <v>44607</v>
      </c>
      <c r="E22" s="2354"/>
      <c r="F22" s="573"/>
      <c r="G22" s="574"/>
      <c r="H22" s="575"/>
      <c r="I22" s="573"/>
      <c r="J22" s="576"/>
      <c r="K22" s="577"/>
      <c r="L22" s="578"/>
      <c r="M22" s="579"/>
      <c r="N22" s="560"/>
    </row>
    <row r="23" spans="1:16" x14ac:dyDescent="0.25">
      <c r="A23" s="53"/>
      <c r="D23" s="56"/>
      <c r="E23" s="6"/>
      <c r="F23" s="55"/>
    </row>
    <row r="24" spans="1:16" x14ac:dyDescent="0.25">
      <c r="A24" s="53"/>
      <c r="D24" s="56"/>
      <c r="E24" s="6"/>
      <c r="F24" s="55"/>
    </row>
    <row r="25" spans="1:16" x14ac:dyDescent="0.25">
      <c r="A25" s="53"/>
      <c r="D25" s="56"/>
      <c r="E25" s="6"/>
      <c r="F25" s="55"/>
    </row>
    <row r="26" spans="1:16" x14ac:dyDescent="0.25">
      <c r="A26" s="53"/>
      <c r="E26" s="57"/>
      <c r="F26" s="55"/>
    </row>
    <row r="27" spans="1:16" x14ac:dyDescent="0.25">
      <c r="A27" s="53"/>
      <c r="E27" s="57"/>
      <c r="F27" s="55"/>
    </row>
    <row r="28" spans="1:16" x14ac:dyDescent="0.25">
      <c r="E28" s="57"/>
      <c r="F28" s="55"/>
    </row>
    <row r="29" spans="1:16" x14ac:dyDescent="0.25">
      <c r="E29" s="57"/>
      <c r="F29" s="55"/>
    </row>
    <row r="30" spans="1:16" x14ac:dyDescent="0.25">
      <c r="E30" s="57"/>
      <c r="F30" s="55"/>
    </row>
    <row r="31" spans="1:16" x14ac:dyDescent="0.25">
      <c r="E31" s="57"/>
    </row>
    <row r="32" spans="1:16" x14ac:dyDescent="0.25">
      <c r="E32" s="57"/>
    </row>
    <row r="33" spans="5:5" x14ac:dyDescent="0.25">
      <c r="E33" s="57"/>
    </row>
    <row r="34" spans="5:5" x14ac:dyDescent="0.25">
      <c r="E34" s="57"/>
    </row>
    <row r="35" spans="5:5" x14ac:dyDescent="0.25">
      <c r="E35" s="57"/>
    </row>
    <row r="36" spans="5:5" x14ac:dyDescent="0.25">
      <c r="E36" s="57"/>
    </row>
    <row r="37" spans="5:5" x14ac:dyDescent="0.25">
      <c r="E37" s="57"/>
    </row>
    <row r="38" spans="5:5" x14ac:dyDescent="0.25">
      <c r="E38" s="57"/>
    </row>
  </sheetData>
  <mergeCells count="13">
    <mergeCell ref="B22:C22"/>
    <mergeCell ref="D22:E22"/>
    <mergeCell ref="L2:L4"/>
    <mergeCell ref="M2:M4"/>
    <mergeCell ref="K2:K4"/>
    <mergeCell ref="B3:C3"/>
    <mergeCell ref="D4:E4"/>
    <mergeCell ref="G4:H4"/>
    <mergeCell ref="A1:C1"/>
    <mergeCell ref="E1:G1"/>
    <mergeCell ref="B2:D2"/>
    <mergeCell ref="G2:H2"/>
    <mergeCell ref="J2:J4"/>
  </mergeCells>
  <conditionalFormatting sqref="O5:O20">
    <cfRule type="cellIs" dxfId="23" priority="3" operator="greaterThan">
      <formula>0</formula>
    </cfRule>
    <cfRule type="cellIs" dxfId="22" priority="4" operator="lessThan">
      <formula>0</formula>
    </cfRule>
  </conditionalFormatting>
  <conditionalFormatting sqref="O22">
    <cfRule type="cellIs" dxfId="21" priority="1" operator="greaterThan">
      <formula>0</formula>
    </cfRule>
    <cfRule type="cellIs" dxfId="20" priority="2" operator="lessThan">
      <formula>0</formula>
    </cfRule>
  </conditionalFormatting>
  <pageMargins left="0" right="0" top="0.39370078740157483" bottom="0.39370078740157483" header="0" footer="0"/>
  <pageSetup paperSize="9" scale="7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6">
    <pageSetUpPr fitToPage="1"/>
  </sheetPr>
  <dimension ref="A1:P38"/>
  <sheetViews>
    <sheetView workbookViewId="0">
      <pane ySplit="4" topLeftCell="A5" activePane="bottomLeft" state="frozen"/>
      <selection activeCell="L43" sqref="L43:M43"/>
      <selection pane="bottomLeft" activeCell="L43" sqref="L43:M43"/>
    </sheetView>
  </sheetViews>
  <sheetFormatPr defaultRowHeight="15.75" x14ac:dyDescent="0.25"/>
  <cols>
    <col min="1" max="1" width="12.625" style="52" customWidth="1"/>
    <col min="2" max="2" width="6.625" style="61" customWidth="1"/>
    <col min="3" max="3" width="11.5" style="55" customWidth="1"/>
    <col min="4" max="4" width="9" style="1"/>
    <col min="5" max="5" width="9" style="5"/>
    <col min="6" max="6" width="9.375" style="5" bestFit="1" customWidth="1"/>
    <col min="7" max="8" width="9" style="1"/>
    <col min="9" max="9" width="9.375" style="1" bestFit="1" customWidth="1"/>
    <col min="10" max="10" width="8.625" style="8" customWidth="1"/>
    <col min="11" max="11" width="8.625" style="1" customWidth="1"/>
    <col min="12" max="12" width="9" style="5"/>
    <col min="13" max="13" width="9" style="61"/>
    <col min="14" max="16384" width="9" style="1"/>
  </cols>
  <sheetData>
    <row r="1" spans="1:15" s="60" customFormat="1" x14ac:dyDescent="0.25">
      <c r="A1" s="2344" t="s">
        <v>47</v>
      </c>
      <c r="B1" s="2344"/>
      <c r="C1" s="2344"/>
      <c r="D1" s="63">
        <v>0.27412127001901632</v>
      </c>
      <c r="E1" s="2345" t="s">
        <v>53</v>
      </c>
      <c r="F1" s="2345"/>
      <c r="G1" s="2345"/>
      <c r="H1" s="82">
        <v>7.0889106807224005</v>
      </c>
      <c r="I1" s="91" t="s">
        <v>66</v>
      </c>
      <c r="J1" s="82"/>
      <c r="K1" s="129">
        <v>37987</v>
      </c>
      <c r="L1" s="240"/>
      <c r="M1" s="236"/>
    </row>
    <row r="2" spans="1:15" s="50" customFormat="1" x14ac:dyDescent="0.25">
      <c r="A2" s="86" t="s">
        <v>16</v>
      </c>
      <c r="B2" s="2346" t="s">
        <v>17</v>
      </c>
      <c r="C2" s="2346"/>
      <c r="D2" s="2347"/>
      <c r="E2" s="87">
        <v>544937</v>
      </c>
      <c r="F2" s="88">
        <v>569411</v>
      </c>
      <c r="G2" s="2348" t="s">
        <v>64</v>
      </c>
      <c r="H2" s="2349"/>
      <c r="I2" s="128">
        <v>4</v>
      </c>
      <c r="J2" s="2350" t="s">
        <v>51</v>
      </c>
      <c r="K2" s="2350" t="s">
        <v>52</v>
      </c>
      <c r="L2" s="2355" t="s">
        <v>102</v>
      </c>
      <c r="M2" s="2358" t="s">
        <v>101</v>
      </c>
    </row>
    <row r="3" spans="1:15" s="85" customFormat="1" ht="16.5" thickBot="1" x14ac:dyDescent="0.3">
      <c r="A3" s="89" t="s">
        <v>60</v>
      </c>
      <c r="B3" s="2361">
        <v>35000</v>
      </c>
      <c r="C3" s="2362"/>
      <c r="D3" s="113" t="s">
        <v>65</v>
      </c>
      <c r="E3" s="114">
        <v>14.031485284052019</v>
      </c>
      <c r="F3" s="115" t="s">
        <v>61</v>
      </c>
      <c r="G3" s="116">
        <v>207.86585365853659</v>
      </c>
      <c r="H3" s="117" t="s">
        <v>62</v>
      </c>
      <c r="I3" s="118">
        <v>6.146702469745053E-2</v>
      </c>
      <c r="J3" s="2351"/>
      <c r="K3" s="2351"/>
      <c r="L3" s="2356"/>
      <c r="M3" s="2359"/>
    </row>
    <row r="4" spans="1:15" ht="16.5" thickTop="1" x14ac:dyDescent="0.25">
      <c r="A4" s="90" t="s">
        <v>67</v>
      </c>
      <c r="B4" s="62">
        <v>7.0889106807224005</v>
      </c>
      <c r="C4" s="58">
        <v>8.1151017406227016E-2</v>
      </c>
      <c r="D4" s="2363" t="s">
        <v>48</v>
      </c>
      <c r="E4" s="2364"/>
      <c r="F4" s="58">
        <v>0.12745648443245894</v>
      </c>
      <c r="G4" s="2363" t="s">
        <v>50</v>
      </c>
      <c r="H4" s="2364"/>
      <c r="I4" s="59">
        <v>4.0467434828797919E-3</v>
      </c>
      <c r="J4" s="2352"/>
      <c r="K4" s="2352"/>
      <c r="L4" s="2357"/>
      <c r="M4" s="2360"/>
      <c r="N4" s="54">
        <v>1.1447600493388819</v>
      </c>
    </row>
    <row r="5" spans="1:15" x14ac:dyDescent="0.25">
      <c r="A5" s="64">
        <v>42643</v>
      </c>
      <c r="B5" s="65">
        <v>102.27</v>
      </c>
      <c r="C5" s="66">
        <v>124.24</v>
      </c>
      <c r="D5" s="67">
        <v>42653</v>
      </c>
      <c r="E5" s="68" t="s">
        <v>68</v>
      </c>
      <c r="F5" s="66">
        <v>697.61</v>
      </c>
      <c r="G5" s="69">
        <v>42684</v>
      </c>
      <c r="H5" s="68" t="s">
        <v>95</v>
      </c>
      <c r="I5" s="70">
        <v>83.76</v>
      </c>
      <c r="J5" s="122">
        <v>0.09</v>
      </c>
      <c r="K5" s="123">
        <v>7.04</v>
      </c>
      <c r="L5" s="241"/>
      <c r="M5" s="237"/>
      <c r="N5" s="51">
        <v>1.2148235064046153</v>
      </c>
      <c r="O5" s="51">
        <v>7.006345706573347E-2</v>
      </c>
    </row>
    <row r="6" spans="1:15" x14ac:dyDescent="0.25">
      <c r="A6" s="71">
        <v>42674</v>
      </c>
      <c r="B6" s="72">
        <v>317.93</v>
      </c>
      <c r="C6" s="73">
        <v>369.41</v>
      </c>
      <c r="D6" s="147">
        <v>42642</v>
      </c>
      <c r="E6" s="75" t="s">
        <v>79</v>
      </c>
      <c r="F6" s="73">
        <v>49.5</v>
      </c>
      <c r="G6" s="234">
        <v>42716</v>
      </c>
      <c r="H6" s="75" t="s">
        <v>99</v>
      </c>
      <c r="I6" s="76">
        <v>21.82</v>
      </c>
      <c r="J6" s="124">
        <v>0.22</v>
      </c>
      <c r="K6" s="125">
        <v>6.84</v>
      </c>
      <c r="L6" s="242"/>
      <c r="M6" s="238"/>
      <c r="N6" s="51">
        <v>1.1619224357562985</v>
      </c>
      <c r="O6" s="51">
        <v>1.7162386417416631E-2</v>
      </c>
    </row>
    <row r="7" spans="1:15" x14ac:dyDescent="0.25">
      <c r="A7" s="71">
        <v>42704</v>
      </c>
      <c r="B7" s="72">
        <v>251.25</v>
      </c>
      <c r="C7" s="73">
        <v>276.74</v>
      </c>
      <c r="D7" s="147"/>
      <c r="E7" s="75"/>
      <c r="F7" s="73"/>
      <c r="G7" s="234">
        <v>42710</v>
      </c>
      <c r="H7" s="75" t="s">
        <v>95</v>
      </c>
      <c r="I7" s="76">
        <v>20.2</v>
      </c>
      <c r="J7" s="124">
        <v>0.16</v>
      </c>
      <c r="K7" s="125">
        <v>6.88</v>
      </c>
      <c r="L7" s="242"/>
      <c r="M7" s="238"/>
      <c r="N7" s="51">
        <v>1.1014527363184079</v>
      </c>
      <c r="O7" s="51">
        <v>-4.330731302047397E-2</v>
      </c>
    </row>
    <row r="8" spans="1:15" x14ac:dyDescent="0.25">
      <c r="A8" s="71">
        <v>42735</v>
      </c>
      <c r="B8" s="72">
        <v>171.47</v>
      </c>
      <c r="C8" s="73">
        <v>192.15</v>
      </c>
      <c r="D8" s="147"/>
      <c r="E8" s="75"/>
      <c r="F8" s="73"/>
      <c r="G8" s="234">
        <v>42710</v>
      </c>
      <c r="H8" s="75" t="s">
        <v>100</v>
      </c>
      <c r="I8" s="76">
        <v>-83.76</v>
      </c>
      <c r="J8" s="124">
        <v>0.15</v>
      </c>
      <c r="K8" s="125">
        <v>6.86</v>
      </c>
      <c r="L8" s="242"/>
      <c r="M8" s="238"/>
      <c r="N8" s="51">
        <v>1.1206041873213974</v>
      </c>
      <c r="O8" s="51">
        <v>-2.4155862017484431E-2</v>
      </c>
    </row>
    <row r="9" spans="1:15" x14ac:dyDescent="0.25">
      <c r="A9" s="71">
        <v>42766</v>
      </c>
      <c r="B9" s="72">
        <v>137.47</v>
      </c>
      <c r="C9" s="73">
        <v>158.18</v>
      </c>
      <c r="D9" s="147">
        <v>42804</v>
      </c>
      <c r="E9" s="75" t="s">
        <v>129</v>
      </c>
      <c r="F9" s="73">
        <v>1499.12</v>
      </c>
      <c r="G9" s="234">
        <v>42810</v>
      </c>
      <c r="H9" s="75" t="s">
        <v>130</v>
      </c>
      <c r="I9" s="76">
        <v>20.2</v>
      </c>
      <c r="J9" s="124">
        <v>0.14000000000000001</v>
      </c>
      <c r="K9" s="125">
        <v>6.93</v>
      </c>
      <c r="L9" s="242">
        <v>1856</v>
      </c>
      <c r="M9" s="238">
        <v>51.66</v>
      </c>
      <c r="N9" s="51">
        <v>1.1506510511384302</v>
      </c>
      <c r="O9" s="51">
        <v>5.8910017995483788E-3</v>
      </c>
    </row>
    <row r="10" spans="1:15" x14ac:dyDescent="0.25">
      <c r="A10" s="71">
        <v>42794</v>
      </c>
      <c r="B10" s="72">
        <v>124.92</v>
      </c>
      <c r="C10" s="73">
        <v>145.41</v>
      </c>
      <c r="D10" s="147">
        <v>42853</v>
      </c>
      <c r="E10" s="75" t="s">
        <v>137</v>
      </c>
      <c r="F10" s="73">
        <v>394.68</v>
      </c>
      <c r="G10" s="234">
        <v>43008</v>
      </c>
      <c r="H10" s="75" t="s">
        <v>160</v>
      </c>
      <c r="I10" s="76">
        <v>20.2</v>
      </c>
      <c r="J10" s="124">
        <v>0.22</v>
      </c>
      <c r="K10" s="125">
        <v>6.98</v>
      </c>
      <c r="L10" s="242">
        <v>1690</v>
      </c>
      <c r="M10" s="238">
        <v>36.74</v>
      </c>
      <c r="N10" s="51">
        <v>1.1640249759846302</v>
      </c>
      <c r="O10" s="51">
        <v>1.9264926645748304E-2</v>
      </c>
    </row>
    <row r="11" spans="1:15" x14ac:dyDescent="0.25">
      <c r="A11" s="71">
        <v>42825</v>
      </c>
      <c r="B11" s="72">
        <v>177.18</v>
      </c>
      <c r="C11" s="73">
        <v>207.18</v>
      </c>
      <c r="D11" s="147">
        <v>42870</v>
      </c>
      <c r="E11" s="75" t="s">
        <v>138</v>
      </c>
      <c r="F11" s="73">
        <v>478.46</v>
      </c>
      <c r="G11" s="234">
        <v>42815</v>
      </c>
      <c r="H11" s="75" t="s">
        <v>132</v>
      </c>
      <c r="I11" s="76">
        <v>16.62</v>
      </c>
      <c r="J11" s="124">
        <v>0.21</v>
      </c>
      <c r="K11" s="125">
        <v>7.01</v>
      </c>
      <c r="L11" s="242">
        <v>2455</v>
      </c>
      <c r="M11" s="238">
        <v>45.56</v>
      </c>
      <c r="N11" s="51">
        <v>1.1693193362682017</v>
      </c>
      <c r="O11" s="51">
        <v>2.4559286929319857E-2</v>
      </c>
    </row>
    <row r="12" spans="1:15" x14ac:dyDescent="0.25">
      <c r="A12" s="71">
        <v>42855</v>
      </c>
      <c r="B12" s="72">
        <v>174.68</v>
      </c>
      <c r="C12" s="73">
        <v>201.48</v>
      </c>
      <c r="D12" s="147"/>
      <c r="E12" s="75"/>
      <c r="F12" s="73"/>
      <c r="G12" s="234"/>
      <c r="H12" s="75"/>
      <c r="I12" s="76"/>
      <c r="J12" s="124">
        <v>0.19</v>
      </c>
      <c r="K12" s="125">
        <v>7.04</v>
      </c>
      <c r="L12" s="242">
        <v>2410</v>
      </c>
      <c r="M12" s="238">
        <v>54.88</v>
      </c>
      <c r="N12" s="51">
        <v>1.1534234027936798</v>
      </c>
      <c r="O12" s="51">
        <v>8.6633534547979618E-3</v>
      </c>
    </row>
    <row r="13" spans="1:15" x14ac:dyDescent="0.25">
      <c r="A13" s="71">
        <v>42886</v>
      </c>
      <c r="B13" s="72">
        <v>208.31</v>
      </c>
      <c r="C13" s="73">
        <v>234.01</v>
      </c>
      <c r="D13" s="147"/>
      <c r="E13" s="75"/>
      <c r="F13" s="73"/>
      <c r="G13" s="234"/>
      <c r="H13" s="75"/>
      <c r="I13" s="76"/>
      <c r="J13" s="124">
        <v>0.22</v>
      </c>
      <c r="K13" s="125">
        <v>7.07</v>
      </c>
      <c r="L13" s="242"/>
      <c r="M13" s="238"/>
      <c r="N13" s="51">
        <v>1.1233738178676012</v>
      </c>
      <c r="O13" s="51">
        <v>-2.1386231471280714E-2</v>
      </c>
    </row>
    <row r="14" spans="1:15" x14ac:dyDescent="0.25">
      <c r="A14" s="71">
        <v>42916</v>
      </c>
      <c r="B14" s="72">
        <v>69.459999999999994</v>
      </c>
      <c r="C14" s="73">
        <v>77.290000000000006</v>
      </c>
      <c r="D14" s="147"/>
      <c r="E14" s="75"/>
      <c r="F14" s="73"/>
      <c r="G14" s="234"/>
      <c r="H14" s="75"/>
      <c r="I14" s="76"/>
      <c r="J14" s="124">
        <v>0.21</v>
      </c>
      <c r="K14" s="125">
        <v>7.09</v>
      </c>
      <c r="L14" s="242">
        <v>931</v>
      </c>
      <c r="M14" s="238">
        <v>37.11</v>
      </c>
      <c r="N14" s="51">
        <v>1.1127267492081776</v>
      </c>
      <c r="O14" s="51">
        <v>-3.2033300130704268E-2</v>
      </c>
    </row>
    <row r="15" spans="1:15" x14ac:dyDescent="0.25">
      <c r="A15" s="71">
        <v>42947</v>
      </c>
      <c r="B15" s="72">
        <v>0</v>
      </c>
      <c r="C15" s="73">
        <v>0</v>
      </c>
      <c r="D15" s="147"/>
      <c r="E15" s="75"/>
      <c r="F15" s="73"/>
      <c r="G15" s="234"/>
      <c r="H15" s="75"/>
      <c r="I15" s="76"/>
      <c r="J15" s="124">
        <v>0.21</v>
      </c>
      <c r="K15" s="125">
        <v>7.09</v>
      </c>
      <c r="L15" s="242">
        <v>0</v>
      </c>
      <c r="M15" s="238">
        <v>37.11</v>
      </c>
      <c r="N15" s="51" t="e">
        <v>#DIV/0!</v>
      </c>
      <c r="O15" s="51" t="e">
        <v>#DIV/0!</v>
      </c>
    </row>
    <row r="16" spans="1:15" x14ac:dyDescent="0.25">
      <c r="A16" s="71">
        <v>42978</v>
      </c>
      <c r="B16" s="72">
        <v>0</v>
      </c>
      <c r="C16" s="73">
        <v>0</v>
      </c>
      <c r="D16" s="147"/>
      <c r="E16" s="75"/>
      <c r="F16" s="73"/>
      <c r="G16" s="234"/>
      <c r="H16" s="75"/>
      <c r="I16" s="76"/>
      <c r="J16" s="124">
        <v>0.21</v>
      </c>
      <c r="K16" s="125">
        <v>7.09</v>
      </c>
      <c r="L16" s="242">
        <v>0</v>
      </c>
      <c r="M16" s="238">
        <v>37.11</v>
      </c>
      <c r="N16" s="51" t="e">
        <v>#DIV/0!</v>
      </c>
      <c r="O16" s="51" t="e">
        <v>#DIV/0!</v>
      </c>
    </row>
    <row r="17" spans="1:16" x14ac:dyDescent="0.25">
      <c r="A17" s="71">
        <v>43008</v>
      </c>
      <c r="B17" s="72">
        <v>0</v>
      </c>
      <c r="C17" s="73">
        <v>0</v>
      </c>
      <c r="D17" s="147"/>
      <c r="E17" s="75"/>
      <c r="F17" s="73"/>
      <c r="G17" s="234"/>
      <c r="H17" s="75"/>
      <c r="I17" s="76"/>
      <c r="J17" s="124">
        <v>0.21</v>
      </c>
      <c r="K17" s="125">
        <v>7.09</v>
      </c>
      <c r="L17" s="242">
        <v>0</v>
      </c>
      <c r="M17" s="238">
        <v>37.11</v>
      </c>
      <c r="N17" s="51" t="e">
        <v>#DIV/0!</v>
      </c>
      <c r="O17" s="51" t="e">
        <v>#DIV/0!</v>
      </c>
    </row>
    <row r="18" spans="1:16" x14ac:dyDescent="0.25">
      <c r="A18" s="71">
        <v>43039</v>
      </c>
      <c r="B18" s="72">
        <v>0</v>
      </c>
      <c r="C18" s="73">
        <v>0</v>
      </c>
      <c r="D18" s="147"/>
      <c r="E18" s="75"/>
      <c r="F18" s="73"/>
      <c r="G18" s="234"/>
      <c r="H18" s="75"/>
      <c r="I18" s="76"/>
      <c r="J18" s="124">
        <v>0.21</v>
      </c>
      <c r="K18" s="125">
        <v>7.09</v>
      </c>
      <c r="L18" s="242">
        <v>0</v>
      </c>
      <c r="M18" s="238">
        <v>0</v>
      </c>
      <c r="N18" s="51" t="e">
        <v>#DIV/0!</v>
      </c>
      <c r="O18" s="51" t="e">
        <v>#DIV/0!</v>
      </c>
      <c r="P18" s="1" t="s">
        <v>180</v>
      </c>
    </row>
    <row r="19" spans="1:16" x14ac:dyDescent="0.25">
      <c r="A19" s="71"/>
      <c r="B19" s="72"/>
      <c r="C19" s="73"/>
      <c r="D19" s="147"/>
      <c r="E19" s="75"/>
      <c r="F19" s="73"/>
      <c r="G19" s="234"/>
      <c r="H19" s="75"/>
      <c r="I19" s="76"/>
      <c r="J19" s="124">
        <v>0.21265424532156571</v>
      </c>
      <c r="K19" s="125">
        <v>7.0889106807224005</v>
      </c>
      <c r="L19" s="242"/>
      <c r="M19" s="238"/>
      <c r="N19" s="51" t="e">
        <v>#DIV/0!</v>
      </c>
      <c r="O19" s="51" t="e">
        <v>#DIV/0!</v>
      </c>
    </row>
    <row r="20" spans="1:16" ht="16.5" thickBot="1" x14ac:dyDescent="0.3">
      <c r="A20" s="77" t="s">
        <v>15</v>
      </c>
      <c r="B20" s="78"/>
      <c r="C20" s="79"/>
      <c r="D20" s="148"/>
      <c r="E20" s="80"/>
      <c r="F20" s="79"/>
      <c r="G20" s="235"/>
      <c r="H20" s="80"/>
      <c r="I20" s="81"/>
      <c r="J20" s="126"/>
      <c r="K20" s="127"/>
      <c r="L20" s="243"/>
      <c r="M20" s="239"/>
      <c r="N20" s="51"/>
    </row>
    <row r="21" spans="1:16" s="60" customFormat="1" ht="16.5" thickTop="1" x14ac:dyDescent="0.25">
      <c r="A21" s="562" t="s">
        <v>85</v>
      </c>
      <c r="B21" s="563">
        <f ca="1">SUMIFS($B$5:$B$20,$A$5:$A$20,"&gt;="&amp;$B22,$A$5:$A$20,"&lt;="&amp;$D22)</f>
        <v>0</v>
      </c>
      <c r="C21" s="566">
        <f ca="1">SUMIFS($C$5:$C$20,$A$5:$A$20,"&gt;="&amp;$B22,$A$5:$A$20,"&lt;="&amp;$D22)</f>
        <v>0</v>
      </c>
      <c r="D21" s="568"/>
      <c r="E21" s="564"/>
      <c r="F21" s="569">
        <f ca="1">SUMIFS($F$5:$F$20,$D$5:$D$20,"&gt;="&amp;$B22,$D$5:$D$20,"&lt;="&amp;$D22)</f>
        <v>0</v>
      </c>
      <c r="G21" s="567"/>
      <c r="H21" s="564"/>
      <c r="I21" s="566">
        <f ca="1">SUMIFS($I$5:$I$20,$G$5:$G$20,"&gt;="&amp;$B22,$G$5:$G$20,"&lt;="&amp;$D22)</f>
        <v>0</v>
      </c>
      <c r="J21" s="571"/>
      <c r="K21" s="592"/>
      <c r="L21" s="570">
        <f ca="1">SUMIFS($L$5:$L$20,$A$5:$A$20,"&gt;="&amp;$B22,$A$5:$A$20,"&lt;="&amp;$D22)</f>
        <v>0</v>
      </c>
      <c r="M21" s="565"/>
    </row>
    <row r="22" spans="1:16" s="561" customFormat="1" x14ac:dyDescent="0.25">
      <c r="A22" s="572" t="s">
        <v>328</v>
      </c>
      <c r="B22" s="2353">
        <f>Prehľad!AV1</f>
        <v>43831</v>
      </c>
      <c r="C22" s="2354"/>
      <c r="D22" s="2353">
        <f ca="1">Prehľad!AX1</f>
        <v>44607</v>
      </c>
      <c r="E22" s="2354"/>
      <c r="F22" s="573"/>
      <c r="G22" s="574"/>
      <c r="H22" s="575"/>
      <c r="I22" s="573"/>
      <c r="J22" s="576"/>
      <c r="K22" s="577"/>
      <c r="L22" s="578"/>
      <c r="M22" s="579"/>
      <c r="N22" s="560"/>
    </row>
    <row r="23" spans="1:16" x14ac:dyDescent="0.25">
      <c r="A23" s="53"/>
      <c r="D23" s="56"/>
      <c r="E23" s="6"/>
      <c r="F23" s="55"/>
    </row>
    <row r="24" spans="1:16" x14ac:dyDescent="0.25">
      <c r="A24" s="53"/>
      <c r="D24" s="56"/>
      <c r="E24" s="6"/>
      <c r="F24" s="55"/>
    </row>
    <row r="25" spans="1:16" x14ac:dyDescent="0.25">
      <c r="A25" s="53"/>
      <c r="D25" s="56"/>
      <c r="E25" s="6"/>
      <c r="F25" s="55"/>
    </row>
    <row r="26" spans="1:16" x14ac:dyDescent="0.25">
      <c r="A26" s="53"/>
      <c r="E26" s="57"/>
      <c r="F26" s="55"/>
    </row>
    <row r="27" spans="1:16" x14ac:dyDescent="0.25">
      <c r="A27" s="53"/>
      <c r="E27" s="57"/>
      <c r="F27" s="55"/>
    </row>
    <row r="28" spans="1:16" x14ac:dyDescent="0.25">
      <c r="E28" s="57"/>
      <c r="F28" s="55"/>
    </row>
    <row r="29" spans="1:16" x14ac:dyDescent="0.25">
      <c r="E29" s="57"/>
      <c r="F29" s="55"/>
    </row>
    <row r="30" spans="1:16" x14ac:dyDescent="0.25">
      <c r="E30" s="57"/>
      <c r="F30" s="55"/>
    </row>
    <row r="31" spans="1:16" x14ac:dyDescent="0.25">
      <c r="E31" s="57"/>
    </row>
    <row r="32" spans="1:16" x14ac:dyDescent="0.25">
      <c r="E32" s="57"/>
    </row>
    <row r="33" spans="5:5" x14ac:dyDescent="0.25">
      <c r="E33" s="57"/>
    </row>
    <row r="34" spans="5:5" x14ac:dyDescent="0.25">
      <c r="E34" s="57"/>
    </row>
    <row r="35" spans="5:5" x14ac:dyDescent="0.25">
      <c r="E35" s="57"/>
    </row>
    <row r="36" spans="5:5" x14ac:dyDescent="0.25">
      <c r="E36" s="57"/>
    </row>
    <row r="37" spans="5:5" x14ac:dyDescent="0.25">
      <c r="E37" s="57"/>
    </row>
    <row r="38" spans="5:5" x14ac:dyDescent="0.25">
      <c r="E38" s="57"/>
    </row>
  </sheetData>
  <mergeCells count="13">
    <mergeCell ref="B22:C22"/>
    <mergeCell ref="D22:E22"/>
    <mergeCell ref="L2:L4"/>
    <mergeCell ref="M2:M4"/>
    <mergeCell ref="K2:K4"/>
    <mergeCell ref="B3:C3"/>
    <mergeCell ref="D4:E4"/>
    <mergeCell ref="G4:H4"/>
    <mergeCell ref="A1:C1"/>
    <mergeCell ref="E1:G1"/>
    <mergeCell ref="B2:D2"/>
    <mergeCell ref="G2:H2"/>
    <mergeCell ref="J2:J4"/>
  </mergeCells>
  <conditionalFormatting sqref="O5:O20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O22">
    <cfRule type="cellIs" dxfId="17" priority="1" operator="greaterThan">
      <formula>0</formula>
    </cfRule>
    <cfRule type="cellIs" dxfId="16" priority="2" operator="lessThan">
      <formula>0</formula>
    </cfRule>
  </conditionalFormatting>
  <printOptions horizontalCentered="1"/>
  <pageMargins left="0" right="0" top="0.39370078740157483" bottom="0.39370078740157483" header="0" footer="0"/>
  <pageSetup paperSize="9" scale="7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7">
    <pageSetUpPr fitToPage="1"/>
  </sheetPr>
  <dimension ref="A1:Q38"/>
  <sheetViews>
    <sheetView workbookViewId="0">
      <pane ySplit="4" topLeftCell="A5" activePane="bottomLeft" state="frozen"/>
      <selection activeCell="L43" sqref="L43:M43"/>
      <selection pane="bottomLeft" activeCell="L43" sqref="L43:M43"/>
    </sheetView>
  </sheetViews>
  <sheetFormatPr defaultRowHeight="15.75" x14ac:dyDescent="0.25"/>
  <cols>
    <col min="1" max="1" width="12.625" style="52" customWidth="1"/>
    <col min="2" max="2" width="6.625" style="61" customWidth="1"/>
    <col min="3" max="3" width="8.625" style="55" customWidth="1"/>
    <col min="4" max="4" width="9" style="1"/>
    <col min="5" max="5" width="9" style="5"/>
    <col min="6" max="6" width="9.375" style="5" bestFit="1" customWidth="1"/>
    <col min="7" max="7" width="9" style="1"/>
    <col min="8" max="8" width="22" style="1" customWidth="1"/>
    <col min="9" max="9" width="9.375" style="1" bestFit="1" customWidth="1"/>
    <col min="10" max="10" width="8.625" style="8" customWidth="1"/>
    <col min="11" max="11" width="8.625" style="1" customWidth="1"/>
    <col min="12" max="12" width="9" style="5"/>
    <col min="13" max="13" width="9" style="61"/>
    <col min="14" max="14" width="10.75" style="61" customWidth="1"/>
    <col min="15" max="16384" width="9" style="1"/>
  </cols>
  <sheetData>
    <row r="1" spans="1:17" s="60" customFormat="1" x14ac:dyDescent="0.25">
      <c r="A1" s="2344" t="s">
        <v>47</v>
      </c>
      <c r="B1" s="2344"/>
      <c r="C1" s="2344"/>
      <c r="D1" s="63">
        <v>0.22823807711054858</v>
      </c>
      <c r="E1" s="2345" t="s">
        <v>53</v>
      </c>
      <c r="F1" s="2345"/>
      <c r="G1" s="2345"/>
      <c r="H1" s="82">
        <v>11.706161745827982</v>
      </c>
      <c r="I1" s="91" t="s">
        <v>66</v>
      </c>
      <c r="J1" s="82"/>
      <c r="K1" s="129">
        <v>33970</v>
      </c>
      <c r="L1" s="240"/>
      <c r="M1" s="236"/>
      <c r="N1" s="236"/>
    </row>
    <row r="2" spans="1:17" s="50" customFormat="1" x14ac:dyDescent="0.25">
      <c r="A2" s="86" t="s">
        <v>0</v>
      </c>
      <c r="B2" s="2346" t="s">
        <v>1</v>
      </c>
      <c r="C2" s="2346"/>
      <c r="D2" s="2347"/>
      <c r="E2" s="87">
        <v>355621</v>
      </c>
      <c r="F2" s="88">
        <v>363411</v>
      </c>
      <c r="G2" s="2348" t="s">
        <v>64</v>
      </c>
      <c r="H2" s="2349"/>
      <c r="I2" s="128">
        <v>4</v>
      </c>
      <c r="J2" s="2350" t="s">
        <v>51</v>
      </c>
      <c r="K2" s="2350" t="s">
        <v>52</v>
      </c>
      <c r="L2" s="2355" t="s">
        <v>102</v>
      </c>
      <c r="M2" s="2358" t="s">
        <v>101</v>
      </c>
      <c r="N2" s="2365" t="s">
        <v>171</v>
      </c>
    </row>
    <row r="3" spans="1:17" s="85" customFormat="1" ht="16.5" thickBot="1" x14ac:dyDescent="0.3">
      <c r="A3" s="89" t="s">
        <v>60</v>
      </c>
      <c r="B3" s="2361">
        <v>25000</v>
      </c>
      <c r="C3" s="2362"/>
      <c r="D3" s="113" t="s">
        <v>65</v>
      </c>
      <c r="E3" s="114">
        <v>25.029431895961672</v>
      </c>
      <c r="F3" s="115" t="s">
        <v>61</v>
      </c>
      <c r="G3" s="116">
        <v>83.235342375847736</v>
      </c>
      <c r="H3" s="117" t="s">
        <v>62</v>
      </c>
      <c r="I3" s="118">
        <v>6.8792634235067193E-2</v>
      </c>
      <c r="J3" s="2351"/>
      <c r="K3" s="2351"/>
      <c r="L3" s="2356"/>
      <c r="M3" s="2359"/>
      <c r="N3" s="2366"/>
    </row>
    <row r="4" spans="1:17" ht="16.5" thickTop="1" x14ac:dyDescent="0.25">
      <c r="A4" s="90" t="s">
        <v>67</v>
      </c>
      <c r="B4" s="62">
        <v>11.706161745827982</v>
      </c>
      <c r="C4" s="58">
        <v>0.13171245186136071</v>
      </c>
      <c r="D4" s="2363" t="s">
        <v>48</v>
      </c>
      <c r="E4" s="2364"/>
      <c r="F4" s="58">
        <v>8.6649550706033376E-3</v>
      </c>
      <c r="G4" s="2363" t="s">
        <v>50</v>
      </c>
      <c r="H4" s="2364"/>
      <c r="I4" s="59">
        <v>1.9068035943517327E-2</v>
      </c>
      <c r="J4" s="2352"/>
      <c r="K4" s="2352"/>
      <c r="L4" s="2357"/>
      <c r="M4" s="2360"/>
      <c r="N4" s="343">
        <v>-33.909999999999997</v>
      </c>
      <c r="O4" s="54">
        <v>1.1251548946716234</v>
      </c>
    </row>
    <row r="5" spans="1:17" x14ac:dyDescent="0.25">
      <c r="A5" s="64">
        <v>42643</v>
      </c>
      <c r="B5" s="65">
        <v>0</v>
      </c>
      <c r="C5" s="66">
        <v>0</v>
      </c>
      <c r="D5" s="67">
        <v>42657</v>
      </c>
      <c r="E5" s="68" t="s">
        <v>78</v>
      </c>
      <c r="F5" s="66">
        <v>67.5</v>
      </c>
      <c r="G5" s="69">
        <v>42684</v>
      </c>
      <c r="H5" s="68" t="s">
        <v>95</v>
      </c>
      <c r="I5" s="70">
        <v>135.85</v>
      </c>
      <c r="J5" s="122">
        <v>0</v>
      </c>
      <c r="K5" s="123">
        <v>0</v>
      </c>
      <c r="L5" s="241"/>
      <c r="M5" s="237"/>
      <c r="N5" s="237"/>
      <c r="O5" s="51" t="e">
        <v>#DIV/0!</v>
      </c>
      <c r="P5" s="51" t="e">
        <v>#DIV/0!</v>
      </c>
    </row>
    <row r="6" spans="1:17" x14ac:dyDescent="0.25">
      <c r="A6" s="71">
        <v>42674</v>
      </c>
      <c r="B6" s="72">
        <v>105.05</v>
      </c>
      <c r="C6" s="73">
        <v>120.05</v>
      </c>
      <c r="D6" s="74"/>
      <c r="E6" s="75"/>
      <c r="F6" s="73"/>
      <c r="G6" s="234">
        <v>42716</v>
      </c>
      <c r="H6" s="75" t="s">
        <v>99</v>
      </c>
      <c r="I6" s="76">
        <v>21.82</v>
      </c>
      <c r="J6" s="124">
        <v>0.37</v>
      </c>
      <c r="K6" s="125">
        <v>11.92</v>
      </c>
      <c r="L6" s="242"/>
      <c r="M6" s="238"/>
      <c r="N6" s="238"/>
      <c r="O6" s="51">
        <v>1.1427891480247501</v>
      </c>
      <c r="P6" s="51">
        <v>1.7634253353126628E-2</v>
      </c>
    </row>
    <row r="7" spans="1:17" x14ac:dyDescent="0.25">
      <c r="A7" s="71">
        <v>42704</v>
      </c>
      <c r="B7" s="72">
        <v>59.22</v>
      </c>
      <c r="C7" s="73">
        <v>64.97</v>
      </c>
      <c r="D7" s="74"/>
      <c r="E7" s="75"/>
      <c r="F7" s="73"/>
      <c r="G7" s="234">
        <v>42710</v>
      </c>
      <c r="H7" s="75" t="s">
        <v>95</v>
      </c>
      <c r="I7" s="76">
        <v>20.2</v>
      </c>
      <c r="J7" s="124">
        <v>0.28000000000000003</v>
      </c>
      <c r="K7" s="125">
        <v>11.96</v>
      </c>
      <c r="L7" s="242"/>
      <c r="M7" s="238"/>
      <c r="N7" s="238"/>
      <c r="O7" s="51">
        <v>1.09709557581898</v>
      </c>
      <c r="P7" s="51">
        <v>-2.8059318852643456E-2</v>
      </c>
    </row>
    <row r="8" spans="1:17" x14ac:dyDescent="0.25">
      <c r="A8" s="71">
        <v>42735</v>
      </c>
      <c r="B8" s="72">
        <v>96.58</v>
      </c>
      <c r="C8" s="73">
        <v>108.26</v>
      </c>
      <c r="D8" s="74"/>
      <c r="E8" s="75"/>
      <c r="F8" s="73"/>
      <c r="G8" s="234">
        <v>42710</v>
      </c>
      <c r="H8" s="75" t="s">
        <v>100</v>
      </c>
      <c r="I8" s="76">
        <v>-135.85</v>
      </c>
      <c r="J8" s="124">
        <v>0.25</v>
      </c>
      <c r="K8" s="125">
        <v>11.96</v>
      </c>
      <c r="L8" s="242"/>
      <c r="M8" s="238"/>
      <c r="N8" s="238"/>
      <c r="O8" s="51">
        <v>1.1209360115966038</v>
      </c>
      <c r="P8" s="51">
        <v>-4.2188830750196082E-3</v>
      </c>
    </row>
    <row r="9" spans="1:17" x14ac:dyDescent="0.25">
      <c r="A9" s="71">
        <v>42766</v>
      </c>
      <c r="B9" s="72">
        <v>0</v>
      </c>
      <c r="C9" s="73">
        <v>0</v>
      </c>
      <c r="D9" s="74"/>
      <c r="E9" s="75"/>
      <c r="F9" s="73"/>
      <c r="G9" s="234">
        <v>42810</v>
      </c>
      <c r="H9" s="75" t="s">
        <v>130</v>
      </c>
      <c r="I9" s="76">
        <v>20.2</v>
      </c>
      <c r="J9" s="124">
        <v>0.18</v>
      </c>
      <c r="K9" s="125">
        <v>11.96</v>
      </c>
      <c r="L9" s="242">
        <v>0</v>
      </c>
      <c r="M9" s="238">
        <v>79.959999999999994</v>
      </c>
      <c r="N9" s="238"/>
      <c r="O9" s="51" t="e">
        <v>#DIV/0!</v>
      </c>
      <c r="P9" s="51" t="e">
        <v>#DIV/0!</v>
      </c>
    </row>
    <row r="10" spans="1:17" x14ac:dyDescent="0.25">
      <c r="A10" s="71">
        <v>42794</v>
      </c>
      <c r="B10" s="72">
        <v>14.95</v>
      </c>
      <c r="C10" s="73">
        <v>16.75</v>
      </c>
      <c r="D10" s="74"/>
      <c r="E10" s="75"/>
      <c r="F10" s="73"/>
      <c r="G10" s="234">
        <v>43008</v>
      </c>
      <c r="H10" s="75" t="s">
        <v>160</v>
      </c>
      <c r="I10" s="76">
        <v>20.2</v>
      </c>
      <c r="J10" s="124">
        <v>0.18</v>
      </c>
      <c r="K10" s="125">
        <v>11.98</v>
      </c>
      <c r="L10" s="242">
        <v>122</v>
      </c>
      <c r="M10" s="238">
        <v>65.010000000000005</v>
      </c>
      <c r="N10" s="238"/>
      <c r="O10" s="51">
        <v>1.1204013377926423</v>
      </c>
      <c r="P10" s="51">
        <v>-4.7535568789811578E-3</v>
      </c>
    </row>
    <row r="11" spans="1:17" x14ac:dyDescent="0.25">
      <c r="A11" s="71">
        <v>42825</v>
      </c>
      <c r="B11" s="72">
        <v>0</v>
      </c>
      <c r="C11" s="73">
        <v>0</v>
      </c>
      <c r="D11" s="74"/>
      <c r="E11" s="75"/>
      <c r="F11" s="73"/>
      <c r="G11" s="234">
        <v>42815</v>
      </c>
      <c r="H11" s="75" t="s">
        <v>132</v>
      </c>
      <c r="I11" s="76">
        <v>16.62</v>
      </c>
      <c r="J11" s="124">
        <v>0.2</v>
      </c>
      <c r="K11" s="125">
        <v>11.98</v>
      </c>
      <c r="L11" s="242">
        <v>0</v>
      </c>
      <c r="M11" s="238">
        <v>65.010000000000005</v>
      </c>
      <c r="N11" s="238"/>
      <c r="O11" s="51" t="e">
        <v>#DIV/0!</v>
      </c>
      <c r="P11" s="51" t="e">
        <v>#DIV/0!</v>
      </c>
    </row>
    <row r="12" spans="1:17" x14ac:dyDescent="0.25">
      <c r="A12" s="71">
        <v>42855</v>
      </c>
      <c r="B12" s="72">
        <v>44.23</v>
      </c>
      <c r="C12" s="73">
        <v>50.41</v>
      </c>
      <c r="D12" s="74"/>
      <c r="E12" s="75"/>
      <c r="F12" s="73"/>
      <c r="G12" s="234">
        <v>43024</v>
      </c>
      <c r="H12" s="75" t="s">
        <v>175</v>
      </c>
      <c r="I12" s="76">
        <v>49.5</v>
      </c>
      <c r="J12" s="124">
        <v>0.19</v>
      </c>
      <c r="K12" s="125">
        <v>12</v>
      </c>
      <c r="L12" s="242">
        <v>365</v>
      </c>
      <c r="M12" s="238">
        <v>60.78</v>
      </c>
      <c r="N12" s="238"/>
      <c r="O12" s="51">
        <v>1.1397241691159847</v>
      </c>
      <c r="P12" s="51">
        <v>1.4569274444361291E-2</v>
      </c>
    </row>
    <row r="13" spans="1:17" x14ac:dyDescent="0.25">
      <c r="A13" s="71">
        <v>42886</v>
      </c>
      <c r="B13" s="72">
        <v>256.52999999999997</v>
      </c>
      <c r="C13" s="73">
        <v>289.77999999999997</v>
      </c>
      <c r="D13" s="74"/>
      <c r="E13" s="75"/>
      <c r="F13" s="73"/>
      <c r="G13" s="234">
        <v>43140</v>
      </c>
      <c r="H13" s="75" t="s">
        <v>207</v>
      </c>
      <c r="I13" s="76">
        <v>-19.079999999999998</v>
      </c>
      <c r="J13" s="124">
        <v>0.16</v>
      </c>
      <c r="K13" s="125">
        <v>11.94</v>
      </c>
      <c r="L13" s="242">
        <v>2160</v>
      </c>
      <c r="M13" s="238">
        <v>56.53</v>
      </c>
      <c r="N13" s="238"/>
      <c r="O13" s="51">
        <v>1.1296144700424902</v>
      </c>
      <c r="P13" s="51">
        <v>4.4595753708667196E-3</v>
      </c>
    </row>
    <row r="14" spans="1:17" x14ac:dyDescent="0.25">
      <c r="A14" s="71">
        <v>42916</v>
      </c>
      <c r="B14" s="72">
        <v>124.29</v>
      </c>
      <c r="C14" s="73">
        <v>137.36000000000001</v>
      </c>
      <c r="D14" s="74"/>
      <c r="E14" s="75"/>
      <c r="F14" s="73"/>
      <c r="G14" s="234"/>
      <c r="H14" s="75"/>
      <c r="I14" s="76"/>
      <c r="J14" s="124">
        <v>0.16</v>
      </c>
      <c r="K14" s="125">
        <v>11.94</v>
      </c>
      <c r="L14" s="242">
        <v>1044</v>
      </c>
      <c r="M14" s="238">
        <v>115.97</v>
      </c>
      <c r="N14" s="238"/>
      <c r="O14" s="51">
        <v>1.1051572934266636</v>
      </c>
      <c r="P14" s="51">
        <v>-1.9997601244959862E-2</v>
      </c>
    </row>
    <row r="15" spans="1:17" x14ac:dyDescent="0.25">
      <c r="A15" s="71">
        <v>42947</v>
      </c>
      <c r="B15" s="72">
        <v>2.06</v>
      </c>
      <c r="C15" s="73">
        <v>2.2799999999999998</v>
      </c>
      <c r="D15" s="74"/>
      <c r="E15" s="75"/>
      <c r="F15" s="73"/>
      <c r="G15" s="234"/>
      <c r="H15" s="75"/>
      <c r="I15" s="76"/>
      <c r="J15" s="124">
        <v>0.16</v>
      </c>
      <c r="K15" s="125">
        <v>11.94</v>
      </c>
      <c r="L15" s="242">
        <v>16</v>
      </c>
      <c r="M15" s="238">
        <v>113.91</v>
      </c>
      <c r="N15" s="238"/>
      <c r="O15" s="51">
        <v>1.1067961165048543</v>
      </c>
      <c r="P15" s="51">
        <v>-1.8358778166769119E-2</v>
      </c>
    </row>
    <row r="16" spans="1:17" x14ac:dyDescent="0.25">
      <c r="A16" s="71">
        <v>42978</v>
      </c>
      <c r="B16" s="72">
        <v>0</v>
      </c>
      <c r="C16" s="73">
        <v>0</v>
      </c>
      <c r="D16" s="74"/>
      <c r="E16" s="75"/>
      <c r="F16" s="73"/>
      <c r="G16" s="234"/>
      <c r="H16" s="75"/>
      <c r="I16" s="76"/>
      <c r="J16" s="124">
        <v>0.16</v>
      </c>
      <c r="K16" s="125">
        <v>11.94</v>
      </c>
      <c r="L16" s="242">
        <v>0</v>
      </c>
      <c r="M16" s="238">
        <v>80</v>
      </c>
      <c r="N16" s="238">
        <v>-33.909999999999997</v>
      </c>
      <c r="O16" s="51" t="e">
        <v>#DIV/0!</v>
      </c>
      <c r="P16" s="51" t="e">
        <v>#DIV/0!</v>
      </c>
      <c r="Q16" s="1" t="s">
        <v>193</v>
      </c>
    </row>
    <row r="17" spans="1:16" x14ac:dyDescent="0.25">
      <c r="A17" s="71">
        <v>43008</v>
      </c>
      <c r="B17" s="72">
        <v>18.45</v>
      </c>
      <c r="C17" s="73">
        <v>20.39</v>
      </c>
      <c r="D17" s="74"/>
      <c r="E17" s="75"/>
      <c r="F17" s="73"/>
      <c r="G17" s="234"/>
      <c r="H17" s="75"/>
      <c r="I17" s="76"/>
      <c r="J17" s="124">
        <v>0.16</v>
      </c>
      <c r="K17" s="125">
        <v>11.96</v>
      </c>
      <c r="L17" s="242">
        <v>143</v>
      </c>
      <c r="M17" s="238">
        <v>61.55</v>
      </c>
      <c r="N17" s="348"/>
      <c r="O17" s="51">
        <v>1.1051490514905149</v>
      </c>
      <c r="P17" s="51">
        <v>-2.000584318110854E-2</v>
      </c>
    </row>
    <row r="18" spans="1:16" ht="16.5" thickBot="1" x14ac:dyDescent="0.3">
      <c r="A18" s="71">
        <v>43039</v>
      </c>
      <c r="B18" s="72">
        <v>190.55</v>
      </c>
      <c r="C18" s="73">
        <v>215.79000000000002</v>
      </c>
      <c r="D18" s="74"/>
      <c r="E18" s="75"/>
      <c r="F18" s="73"/>
      <c r="G18" s="234"/>
      <c r="H18" s="75"/>
      <c r="I18" s="76"/>
      <c r="J18" s="359">
        <v>0.16</v>
      </c>
      <c r="K18" s="125">
        <v>11.94</v>
      </c>
      <c r="L18" s="242">
        <v>1759</v>
      </c>
      <c r="M18" s="238">
        <v>1</v>
      </c>
      <c r="N18" s="348"/>
      <c r="O18" s="51">
        <v>1.1324586722644976</v>
      </c>
      <c r="P18" s="51">
        <v>7.30377759287415E-3</v>
      </c>
    </row>
    <row r="19" spans="1:16" ht="16.5" thickTop="1" x14ac:dyDescent="0.25">
      <c r="A19" s="71">
        <v>43069</v>
      </c>
      <c r="B19" s="72">
        <v>0</v>
      </c>
      <c r="C19" s="73">
        <v>0</v>
      </c>
      <c r="D19" s="74"/>
      <c r="E19" s="75"/>
      <c r="F19" s="73"/>
      <c r="G19" s="234"/>
      <c r="H19" s="75"/>
      <c r="I19" s="76"/>
      <c r="J19" s="360">
        <v>0.23</v>
      </c>
      <c r="K19" s="125">
        <v>11.71</v>
      </c>
      <c r="L19" s="242">
        <v>0</v>
      </c>
      <c r="M19" s="238">
        <v>1</v>
      </c>
      <c r="N19" s="348"/>
      <c r="O19" s="51" t="e">
        <v>#DIV/0!</v>
      </c>
      <c r="P19" s="51" t="e">
        <v>#DIV/0!</v>
      </c>
    </row>
    <row r="20" spans="1:16" ht="16.5" thickBot="1" x14ac:dyDescent="0.3">
      <c r="A20" s="71">
        <v>43100</v>
      </c>
      <c r="B20" s="72">
        <v>0</v>
      </c>
      <c r="C20" s="73">
        <v>0</v>
      </c>
      <c r="D20" s="74"/>
      <c r="E20" s="75"/>
      <c r="F20" s="73"/>
      <c r="G20" s="234"/>
      <c r="H20" s="75"/>
      <c r="I20" s="76"/>
      <c r="J20" s="361">
        <v>0.23</v>
      </c>
      <c r="K20" s="125">
        <v>11.71</v>
      </c>
      <c r="L20" s="242">
        <v>0</v>
      </c>
      <c r="M20" s="238">
        <v>0</v>
      </c>
      <c r="N20" s="348"/>
      <c r="O20" s="51" t="e">
        <v>#DIV/0!</v>
      </c>
      <c r="P20" s="51" t="e">
        <v>#DIV/0!</v>
      </c>
    </row>
    <row r="21" spans="1:16" s="60" customFormat="1" ht="16.5" thickTop="1" x14ac:dyDescent="0.25">
      <c r="A21" s="562" t="s">
        <v>85</v>
      </c>
      <c r="B21" s="563">
        <f ca="1">SUMIFS($B$5:$B$20,$A$5:$A$20,"&gt;="&amp;$B22,$A$5:$A$20,"&lt;="&amp;$D22)</f>
        <v>0</v>
      </c>
      <c r="C21" s="566">
        <f ca="1">SUMIFS($C$5:$C$20,$A$5:$A$20,"&gt;="&amp;$B22,$A$5:$A$20,"&lt;="&amp;$D22)</f>
        <v>0</v>
      </c>
      <c r="D21" s="568"/>
      <c r="E21" s="564"/>
      <c r="F21" s="569">
        <f ca="1">SUMIFS($F$5:$F$20,$D$5:$D$20,"&gt;="&amp;$B22,$D$5:$D$20,"&lt;="&amp;$D22)</f>
        <v>0</v>
      </c>
      <c r="G21" s="567"/>
      <c r="H21" s="564"/>
      <c r="I21" s="566">
        <f ca="1">SUMIFS($I$5:$I$20,$G$5:$G$20,"&gt;="&amp;$B22,$G$5:$G$20,"&lt;="&amp;$D22)</f>
        <v>0</v>
      </c>
      <c r="J21" s="571"/>
      <c r="K21" s="592"/>
      <c r="L21" s="570">
        <f ca="1">SUMIFS($L$5:$L$20,$A$5:$A$20,"&gt;="&amp;$B22,$A$5:$A$20,"&lt;="&amp;$D22)</f>
        <v>0</v>
      </c>
      <c r="M21" s="565"/>
    </row>
    <row r="22" spans="1:16" s="561" customFormat="1" x14ac:dyDescent="0.25">
      <c r="A22" s="572" t="s">
        <v>328</v>
      </c>
      <c r="B22" s="2353">
        <f>Prehľad!AV1</f>
        <v>43831</v>
      </c>
      <c r="C22" s="2354"/>
      <c r="D22" s="2353">
        <f ca="1">Prehľad!AX1</f>
        <v>44607</v>
      </c>
      <c r="E22" s="2354"/>
      <c r="F22" s="573"/>
      <c r="G22" s="574"/>
      <c r="H22" s="575"/>
      <c r="I22" s="573"/>
      <c r="J22" s="576"/>
      <c r="K22" s="577"/>
      <c r="L22" s="578"/>
      <c r="M22" s="579"/>
      <c r="N22" s="560"/>
    </row>
    <row r="23" spans="1:16" x14ac:dyDescent="0.25">
      <c r="A23" s="53"/>
      <c r="D23" s="56"/>
      <c r="E23" s="6"/>
      <c r="F23" s="55"/>
    </row>
    <row r="24" spans="1:16" x14ac:dyDescent="0.25">
      <c r="A24" s="53"/>
      <c r="D24" s="56"/>
      <c r="E24" s="6"/>
      <c r="F24" s="55"/>
    </row>
    <row r="25" spans="1:16" x14ac:dyDescent="0.25">
      <c r="A25" s="53"/>
      <c r="D25" s="56"/>
      <c r="E25" s="6"/>
      <c r="F25" s="55"/>
    </row>
    <row r="26" spans="1:16" x14ac:dyDescent="0.25">
      <c r="A26" s="53"/>
      <c r="E26" s="57"/>
      <c r="F26" s="55"/>
    </row>
    <row r="27" spans="1:16" x14ac:dyDescent="0.25">
      <c r="A27" s="53"/>
      <c r="E27" s="57"/>
      <c r="F27" s="55"/>
    </row>
    <row r="28" spans="1:16" x14ac:dyDescent="0.25">
      <c r="E28" s="57"/>
      <c r="F28" s="55"/>
    </row>
    <row r="29" spans="1:16" x14ac:dyDescent="0.25">
      <c r="E29" s="57"/>
      <c r="F29" s="55"/>
    </row>
    <row r="30" spans="1:16" x14ac:dyDescent="0.25">
      <c r="E30" s="57"/>
      <c r="F30" s="55"/>
    </row>
    <row r="31" spans="1:16" x14ac:dyDescent="0.25">
      <c r="E31" s="57"/>
    </row>
    <row r="32" spans="1:16" x14ac:dyDescent="0.25">
      <c r="E32" s="57"/>
    </row>
    <row r="33" spans="5:5" x14ac:dyDescent="0.25">
      <c r="E33" s="57"/>
    </row>
    <row r="34" spans="5:5" x14ac:dyDescent="0.25">
      <c r="E34" s="57"/>
    </row>
    <row r="35" spans="5:5" x14ac:dyDescent="0.25">
      <c r="E35" s="57"/>
    </row>
    <row r="36" spans="5:5" x14ac:dyDescent="0.25">
      <c r="E36" s="57"/>
    </row>
    <row r="37" spans="5:5" x14ac:dyDescent="0.25">
      <c r="E37" s="57"/>
    </row>
    <row r="38" spans="5:5" x14ac:dyDescent="0.25">
      <c r="E38" s="57"/>
    </row>
  </sheetData>
  <mergeCells count="14">
    <mergeCell ref="B22:C22"/>
    <mergeCell ref="D22:E22"/>
    <mergeCell ref="N2:N3"/>
    <mergeCell ref="L2:L4"/>
    <mergeCell ref="M2:M4"/>
    <mergeCell ref="A1:C1"/>
    <mergeCell ref="J2:J4"/>
    <mergeCell ref="B2:D2"/>
    <mergeCell ref="K2:K4"/>
    <mergeCell ref="E1:G1"/>
    <mergeCell ref="D4:E4"/>
    <mergeCell ref="G4:H4"/>
    <mergeCell ref="B3:C3"/>
    <mergeCell ref="G2:H2"/>
  </mergeCells>
  <conditionalFormatting sqref="P5:P20">
    <cfRule type="cellIs" dxfId="15" priority="3" operator="greaterThan">
      <formula>0</formula>
    </cfRule>
    <cfRule type="cellIs" dxfId="14" priority="4" operator="lessThan">
      <formula>0</formula>
    </cfRule>
  </conditionalFormatting>
  <conditionalFormatting sqref="O22">
    <cfRule type="cellIs" dxfId="13" priority="1" operator="greaterThan">
      <formula>0</formula>
    </cfRule>
    <cfRule type="cellIs" dxfId="12" priority="2" operator="lessThan">
      <formula>0</formula>
    </cfRule>
  </conditionalFormatting>
  <pageMargins left="0" right="0" top="0.39370078740157483" bottom="0.39370078740157483" header="0" footer="0"/>
  <pageSetup paperSize="9" scale="8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8">
    <pageSetUpPr fitToPage="1"/>
  </sheetPr>
  <dimension ref="A1:Q54"/>
  <sheetViews>
    <sheetView workbookViewId="0">
      <pane ySplit="4" topLeftCell="A8" activePane="bottomLeft" state="frozen"/>
      <selection activeCell="L43" sqref="L43:M43"/>
      <selection pane="bottomLeft" activeCell="L43" sqref="L43:M43"/>
    </sheetView>
  </sheetViews>
  <sheetFormatPr defaultRowHeight="15.75" x14ac:dyDescent="0.25"/>
  <cols>
    <col min="1" max="1" width="12.625" style="52" customWidth="1"/>
    <col min="2" max="2" width="8.625" style="61" customWidth="1"/>
    <col min="3" max="3" width="10.75" style="55" customWidth="1"/>
    <col min="4" max="4" width="9" style="1"/>
    <col min="5" max="5" width="30.75" style="5" customWidth="1"/>
    <col min="6" max="6" width="11.375" style="5" customWidth="1"/>
    <col min="7" max="7" width="9" style="1"/>
    <col min="8" max="8" width="42.25" style="1" customWidth="1"/>
    <col min="9" max="9" width="10.375" style="1" bestFit="1" customWidth="1"/>
    <col min="10" max="10" width="8.625" style="8" customWidth="1"/>
    <col min="11" max="11" width="8.625" style="1" customWidth="1"/>
    <col min="12" max="12" width="9" style="5"/>
    <col min="13" max="13" width="9" style="61"/>
    <col min="14" max="14" width="10.75" style="61" customWidth="1"/>
    <col min="15" max="16384" width="9" style="1"/>
  </cols>
  <sheetData>
    <row r="1" spans="1:16" s="60" customFormat="1" x14ac:dyDescent="0.25">
      <c r="A1" s="2344" t="s">
        <v>47</v>
      </c>
      <c r="B1" s="2344"/>
      <c r="C1" s="2344"/>
      <c r="D1" s="63">
        <v>0.38588521427578715</v>
      </c>
      <c r="E1" s="2345" t="s">
        <v>53</v>
      </c>
      <c r="F1" s="2345"/>
      <c r="G1" s="2345"/>
      <c r="H1" s="82">
        <v>7.6528025351554767</v>
      </c>
      <c r="I1" s="91" t="s">
        <v>66</v>
      </c>
      <c r="J1" s="82"/>
      <c r="K1" s="129">
        <v>39447</v>
      </c>
      <c r="L1" s="240"/>
      <c r="M1" s="236"/>
      <c r="N1" s="236"/>
    </row>
    <row r="2" spans="1:16" s="50" customFormat="1" x14ac:dyDescent="0.25">
      <c r="A2" s="130" t="s">
        <v>22</v>
      </c>
      <c r="B2" s="2367" t="s">
        <v>21</v>
      </c>
      <c r="C2" s="2367"/>
      <c r="D2" s="2368"/>
      <c r="E2" s="87">
        <v>308496</v>
      </c>
      <c r="F2" s="88">
        <v>328692</v>
      </c>
      <c r="G2" s="2348" t="s">
        <v>306</v>
      </c>
      <c r="H2" s="2349"/>
      <c r="I2" s="534">
        <v>12.670467447759391</v>
      </c>
      <c r="J2" s="2350" t="s">
        <v>51</v>
      </c>
      <c r="K2" s="2350" t="s">
        <v>52</v>
      </c>
      <c r="L2" s="2355" t="s">
        <v>102</v>
      </c>
      <c r="M2" s="2358" t="s">
        <v>101</v>
      </c>
      <c r="N2" s="2365" t="s">
        <v>171</v>
      </c>
    </row>
    <row r="3" spans="1:16" s="85" customFormat="1" ht="16.5" thickBot="1" x14ac:dyDescent="0.3">
      <c r="A3" s="89" t="s">
        <v>60</v>
      </c>
      <c r="B3" s="2361">
        <v>20000</v>
      </c>
      <c r="C3" s="2362"/>
      <c r="D3" s="113" t="s">
        <v>65</v>
      </c>
      <c r="E3" s="114">
        <v>12.670467447759391</v>
      </c>
      <c r="F3" s="115" t="s">
        <v>61</v>
      </c>
      <c r="G3" s="116">
        <v>131.53947741378676</v>
      </c>
      <c r="H3" s="117" t="s">
        <v>62</v>
      </c>
      <c r="I3" s="118">
        <v>5.3104564642196352E-2</v>
      </c>
      <c r="J3" s="2351"/>
      <c r="K3" s="2351"/>
      <c r="L3" s="2356"/>
      <c r="M3" s="2359"/>
      <c r="N3" s="2366"/>
    </row>
    <row r="4" spans="1:16" ht="16.5" thickTop="1" x14ac:dyDescent="0.25">
      <c r="A4" s="90" t="s">
        <v>67</v>
      </c>
      <c r="B4" s="62">
        <v>7.6528025351554767</v>
      </c>
      <c r="C4" s="58">
        <v>9.0172311348781939E-2</v>
      </c>
      <c r="D4" s="2363" t="s">
        <v>48</v>
      </c>
      <c r="E4" s="2364"/>
      <c r="F4" s="58">
        <v>0.21344127550009903</v>
      </c>
      <c r="G4" s="2363" t="s">
        <v>50</v>
      </c>
      <c r="H4" s="2364"/>
      <c r="I4" s="59">
        <v>2.9167062784709836E-2</v>
      </c>
      <c r="J4" s="2352"/>
      <c r="K4" s="2352"/>
      <c r="L4" s="2357"/>
      <c r="M4" s="2360"/>
      <c r="N4" s="343">
        <v>-2.879999999999999</v>
      </c>
      <c r="O4" s="54">
        <v>1.1782913636481276</v>
      </c>
    </row>
    <row r="5" spans="1:16" x14ac:dyDescent="0.25">
      <c r="A5" s="64">
        <v>42643</v>
      </c>
      <c r="B5" s="65">
        <v>148.93</v>
      </c>
      <c r="C5" s="66">
        <v>176.51</v>
      </c>
      <c r="D5" s="67">
        <v>42402</v>
      </c>
      <c r="E5" s="68" t="s">
        <v>147</v>
      </c>
      <c r="F5" s="66">
        <v>843.79</v>
      </c>
      <c r="G5" s="69">
        <v>42684</v>
      </c>
      <c r="H5" s="68" t="s">
        <v>95</v>
      </c>
      <c r="I5" s="70">
        <v>54.24</v>
      </c>
      <c r="J5" s="122">
        <v>0.09</v>
      </c>
      <c r="K5" s="123">
        <v>7.2</v>
      </c>
      <c r="L5" s="241"/>
      <c r="M5" s="237"/>
      <c r="N5" s="237"/>
      <c r="O5" s="51">
        <v>1.1851876720606995</v>
      </c>
      <c r="P5" s="51">
        <v>6.8963084125719387E-3</v>
      </c>
    </row>
    <row r="6" spans="1:16" x14ac:dyDescent="0.25">
      <c r="A6" s="71">
        <v>42674</v>
      </c>
      <c r="B6" s="72">
        <v>40.85</v>
      </c>
      <c r="C6" s="73">
        <v>47.23</v>
      </c>
      <c r="D6" s="147">
        <v>42466</v>
      </c>
      <c r="E6" s="75" t="s">
        <v>148</v>
      </c>
      <c r="F6" s="73">
        <v>299.77</v>
      </c>
      <c r="G6" s="234">
        <v>42716</v>
      </c>
      <c r="H6" s="75" t="s">
        <v>99</v>
      </c>
      <c r="I6" s="76">
        <v>21.82</v>
      </c>
      <c r="J6" s="124">
        <v>0.1</v>
      </c>
      <c r="K6" s="125">
        <v>7.09</v>
      </c>
      <c r="L6" s="242"/>
      <c r="M6" s="238"/>
      <c r="N6" s="238"/>
      <c r="O6" s="51">
        <v>1.1561811505507955</v>
      </c>
      <c r="P6" s="51">
        <v>-2.2110213097332077E-2</v>
      </c>
    </row>
    <row r="7" spans="1:16" x14ac:dyDescent="0.25">
      <c r="A7" s="71">
        <v>42704</v>
      </c>
      <c r="B7" s="72">
        <v>66.05</v>
      </c>
      <c r="C7" s="73">
        <v>73.27</v>
      </c>
      <c r="D7" s="147">
        <v>42928</v>
      </c>
      <c r="E7" s="75" t="s">
        <v>149</v>
      </c>
      <c r="F7" s="73">
        <v>231.9</v>
      </c>
      <c r="G7" s="234">
        <v>42710</v>
      </c>
      <c r="H7" s="75" t="s">
        <v>95</v>
      </c>
      <c r="I7" s="76">
        <v>20.92</v>
      </c>
      <c r="J7" s="124">
        <v>0.1</v>
      </c>
      <c r="K7" s="125">
        <v>7.15</v>
      </c>
      <c r="L7" s="242"/>
      <c r="M7" s="238"/>
      <c r="N7" s="238"/>
      <c r="O7" s="51">
        <v>1.1093111279333838</v>
      </c>
      <c r="P7" s="51">
        <v>-6.8980235714743765E-2</v>
      </c>
    </row>
    <row r="8" spans="1:16" x14ac:dyDescent="0.25">
      <c r="A8" s="71">
        <v>42735</v>
      </c>
      <c r="B8" s="72">
        <v>64.53</v>
      </c>
      <c r="C8" s="73">
        <v>72.11</v>
      </c>
      <c r="D8" s="147">
        <v>42907</v>
      </c>
      <c r="E8" s="75" t="s">
        <v>150</v>
      </c>
      <c r="F8" s="73">
        <v>1030.49</v>
      </c>
      <c r="G8" s="234">
        <v>42810</v>
      </c>
      <c r="H8" s="75" t="s">
        <v>130</v>
      </c>
      <c r="I8" s="76">
        <v>20.92</v>
      </c>
      <c r="J8" s="124">
        <v>0.11</v>
      </c>
      <c r="K8" s="125">
        <v>7.22</v>
      </c>
      <c r="L8" s="242"/>
      <c r="M8" s="238"/>
      <c r="N8" s="238"/>
      <c r="O8" s="51">
        <v>1.1174647450798079</v>
      </c>
      <c r="P8" s="51">
        <v>-6.0826618568319724E-2</v>
      </c>
    </row>
    <row r="9" spans="1:16" x14ac:dyDescent="0.25">
      <c r="A9" s="71">
        <v>42766</v>
      </c>
      <c r="B9" s="72">
        <v>20.49</v>
      </c>
      <c r="C9" s="73">
        <v>23.43</v>
      </c>
      <c r="D9" s="147">
        <v>42656</v>
      </c>
      <c r="E9" s="75" t="s">
        <v>151</v>
      </c>
      <c r="F9" s="73">
        <v>24.31</v>
      </c>
      <c r="G9" s="234">
        <v>42809</v>
      </c>
      <c r="H9" s="75" t="s">
        <v>130</v>
      </c>
      <c r="I9" s="76">
        <v>54.24</v>
      </c>
      <c r="J9" s="124">
        <v>0.1</v>
      </c>
      <c r="K9" s="125">
        <v>7.28</v>
      </c>
      <c r="L9" s="242">
        <v>241</v>
      </c>
      <c r="M9" s="238">
        <v>62.37</v>
      </c>
      <c r="N9" s="238"/>
      <c r="O9" s="51">
        <v>1.143484626647145</v>
      </c>
      <c r="P9" s="51">
        <v>-3.4806737000982579E-2</v>
      </c>
    </row>
    <row r="10" spans="1:16" x14ac:dyDescent="0.25">
      <c r="A10" s="71">
        <v>42794</v>
      </c>
      <c r="B10" s="72">
        <v>65.180000000000007</v>
      </c>
      <c r="C10" s="73">
        <v>75.19</v>
      </c>
      <c r="D10" s="147">
        <v>42709</v>
      </c>
      <c r="E10" s="75" t="s">
        <v>152</v>
      </c>
      <c r="F10" s="73">
        <v>294.52</v>
      </c>
      <c r="G10" s="234">
        <v>43008</v>
      </c>
      <c r="H10" s="75" t="s">
        <v>159</v>
      </c>
      <c r="I10" s="76">
        <v>54.24</v>
      </c>
      <c r="J10" s="124">
        <v>0.1</v>
      </c>
      <c r="K10" s="125">
        <v>7.37</v>
      </c>
      <c r="L10" s="242">
        <v>831</v>
      </c>
      <c r="M10" s="238">
        <v>53.69</v>
      </c>
      <c r="N10" s="238"/>
      <c r="O10" s="51">
        <v>1.1535747161706043</v>
      </c>
      <c r="P10" s="51">
        <v>-2.4716647477523335E-2</v>
      </c>
    </row>
    <row r="11" spans="1:16" x14ac:dyDescent="0.25">
      <c r="A11" s="71">
        <v>42825</v>
      </c>
      <c r="B11" s="72">
        <v>44.46</v>
      </c>
      <c r="C11" s="73">
        <v>51.32</v>
      </c>
      <c r="D11" s="147"/>
      <c r="E11" s="75"/>
      <c r="F11" s="73"/>
      <c r="G11" s="234">
        <v>43008</v>
      </c>
      <c r="H11" s="75" t="s">
        <v>160</v>
      </c>
      <c r="I11" s="76">
        <v>20.92</v>
      </c>
      <c r="J11" s="124">
        <v>0.12</v>
      </c>
      <c r="K11" s="125">
        <v>7.47</v>
      </c>
      <c r="L11" s="242">
        <v>523</v>
      </c>
      <c r="M11" s="238">
        <v>49.73</v>
      </c>
      <c r="N11" s="238"/>
      <c r="O11" s="51">
        <v>1.1542959964012596</v>
      </c>
      <c r="P11" s="51">
        <v>-2.3995367246868016E-2</v>
      </c>
    </row>
    <row r="12" spans="1:16" x14ac:dyDescent="0.25">
      <c r="A12" s="71">
        <v>42855</v>
      </c>
      <c r="B12" s="72">
        <v>59.69</v>
      </c>
      <c r="C12" s="73">
        <v>68.930000000000007</v>
      </c>
      <c r="D12" s="147">
        <v>42810</v>
      </c>
      <c r="E12" s="75" t="s">
        <v>153</v>
      </c>
      <c r="F12" s="73">
        <v>62.52</v>
      </c>
      <c r="G12" s="234">
        <v>42815</v>
      </c>
      <c r="H12" s="75" t="s">
        <v>132</v>
      </c>
      <c r="I12" s="76">
        <v>16.62</v>
      </c>
      <c r="J12" s="124">
        <v>0.11</v>
      </c>
      <c r="K12" s="125">
        <v>7.51</v>
      </c>
      <c r="L12" s="242">
        <v>759</v>
      </c>
      <c r="M12" s="238">
        <v>37.04</v>
      </c>
      <c r="N12" s="238"/>
      <c r="O12" s="51">
        <v>1.1547997989613001</v>
      </c>
      <c r="P12" s="51">
        <v>-2.3491564686827449E-2</v>
      </c>
    </row>
    <row r="13" spans="1:16" x14ac:dyDescent="0.25">
      <c r="A13" s="71">
        <v>42886</v>
      </c>
      <c r="B13" s="72">
        <v>177.17</v>
      </c>
      <c r="C13" s="73">
        <v>199.61</v>
      </c>
      <c r="D13" s="147">
        <v>43077</v>
      </c>
      <c r="E13" s="75" t="s">
        <v>279</v>
      </c>
      <c r="F13" s="73">
        <v>1512.82</v>
      </c>
      <c r="G13" s="234">
        <v>43077</v>
      </c>
      <c r="H13" s="75" t="s">
        <v>191</v>
      </c>
      <c r="I13" s="76">
        <v>49.5</v>
      </c>
      <c r="J13" s="124">
        <v>0.11</v>
      </c>
      <c r="K13" s="125">
        <v>7.49</v>
      </c>
      <c r="L13" s="242">
        <v>2386</v>
      </c>
      <c r="M13" s="238">
        <v>36.380000000000003</v>
      </c>
      <c r="N13" s="238"/>
      <c r="O13" s="51">
        <v>1.1266580120787946</v>
      </c>
      <c r="P13" s="51">
        <v>-5.1633351569333019E-2</v>
      </c>
    </row>
    <row r="14" spans="1:16" x14ac:dyDescent="0.25">
      <c r="A14" s="71">
        <v>42916</v>
      </c>
      <c r="B14" s="72">
        <v>66.650000000000006</v>
      </c>
      <c r="C14" s="73">
        <v>72.36</v>
      </c>
      <c r="D14" s="147">
        <v>43444</v>
      </c>
      <c r="E14" s="75" t="s">
        <v>491</v>
      </c>
      <c r="F14" s="347">
        <v>10.54</v>
      </c>
      <c r="G14" s="234">
        <v>43101</v>
      </c>
      <c r="H14" s="75" t="s">
        <v>199</v>
      </c>
      <c r="I14" s="76">
        <v>20.92</v>
      </c>
      <c r="J14" s="124">
        <v>0.39</v>
      </c>
      <c r="K14" s="125">
        <v>7.53</v>
      </c>
      <c r="L14" s="242">
        <v>828</v>
      </c>
      <c r="M14" s="238">
        <v>44.73</v>
      </c>
      <c r="N14" s="238"/>
      <c r="O14" s="51">
        <v>1.0856714178544635</v>
      </c>
      <c r="P14" s="51">
        <v>-9.261994579366406E-2</v>
      </c>
    </row>
    <row r="15" spans="1:16" x14ac:dyDescent="0.25">
      <c r="A15" s="71">
        <v>42947</v>
      </c>
      <c r="B15" s="72">
        <v>53.37</v>
      </c>
      <c r="C15" s="73">
        <v>57.85</v>
      </c>
      <c r="D15" s="147"/>
      <c r="E15" s="75"/>
      <c r="F15" s="73"/>
      <c r="G15" s="234">
        <v>43101</v>
      </c>
      <c r="H15" s="75" t="s">
        <v>198</v>
      </c>
      <c r="I15" s="76">
        <v>54.24</v>
      </c>
      <c r="J15" s="124">
        <v>0.37</v>
      </c>
      <c r="K15" s="125">
        <v>7.58</v>
      </c>
      <c r="L15" s="242">
        <v>641</v>
      </c>
      <c r="M15" s="238">
        <v>48.36</v>
      </c>
      <c r="N15" s="238"/>
      <c r="O15" s="51">
        <v>1.0839422896758479</v>
      </c>
      <c r="P15" s="51">
        <v>-9.4349073972279651E-2</v>
      </c>
    </row>
    <row r="16" spans="1:16" x14ac:dyDescent="0.25">
      <c r="A16" s="71">
        <v>42978</v>
      </c>
      <c r="B16" s="72">
        <v>18.45</v>
      </c>
      <c r="C16" s="73">
        <v>19.98</v>
      </c>
      <c r="D16" s="147"/>
      <c r="E16" s="75"/>
      <c r="F16" s="73"/>
      <c r="G16" s="234">
        <v>43125</v>
      </c>
      <c r="H16" s="75" t="s">
        <v>206</v>
      </c>
      <c r="I16" s="76">
        <v>50</v>
      </c>
      <c r="J16" s="124">
        <v>0.37</v>
      </c>
      <c r="K16" s="125">
        <v>7.6</v>
      </c>
      <c r="L16" s="242">
        <v>217</v>
      </c>
      <c r="M16" s="238">
        <v>48.91</v>
      </c>
      <c r="N16" s="238"/>
      <c r="O16" s="51">
        <v>1.0829268292682928</v>
      </c>
      <c r="P16" s="51">
        <v>-9.5364534379834831E-2</v>
      </c>
    </row>
    <row r="17" spans="1:17" x14ac:dyDescent="0.25">
      <c r="A17" s="71">
        <v>43008</v>
      </c>
      <c r="B17" s="72">
        <v>40</v>
      </c>
      <c r="C17" s="73">
        <v>44.11</v>
      </c>
      <c r="D17" s="147"/>
      <c r="E17" s="75"/>
      <c r="F17" s="73"/>
      <c r="G17" s="234">
        <v>43152</v>
      </c>
      <c r="H17" s="75" t="s">
        <v>354</v>
      </c>
      <c r="I17" s="76">
        <v>2</v>
      </c>
      <c r="J17" s="124">
        <v>0.36</v>
      </c>
      <c r="K17" s="125">
        <v>7.63</v>
      </c>
      <c r="L17" s="242">
        <v>483</v>
      </c>
      <c r="M17" s="238">
        <v>43.91</v>
      </c>
      <c r="N17" s="348"/>
      <c r="O17" s="51">
        <v>1.1027499999999999</v>
      </c>
      <c r="P17" s="51">
        <v>-7.5541363648127691E-2</v>
      </c>
    </row>
    <row r="18" spans="1:17" ht="16.5" thickBot="1" x14ac:dyDescent="0.3">
      <c r="A18" s="71">
        <v>43039</v>
      </c>
      <c r="B18" s="72">
        <v>44.3</v>
      </c>
      <c r="C18" s="73">
        <v>50.09</v>
      </c>
      <c r="D18" s="147"/>
      <c r="E18" s="75"/>
      <c r="F18" s="73"/>
      <c r="G18" s="234">
        <v>43191</v>
      </c>
      <c r="H18" s="75" t="s">
        <v>301</v>
      </c>
      <c r="I18" s="76">
        <v>20.92</v>
      </c>
      <c r="J18" s="359">
        <v>0.34</v>
      </c>
      <c r="K18" s="125">
        <v>7.66</v>
      </c>
      <c r="L18" s="242">
        <v>541</v>
      </c>
      <c r="M18" s="238">
        <v>55</v>
      </c>
      <c r="N18" s="348">
        <v>-11.61</v>
      </c>
      <c r="O18" s="51">
        <v>1.1306997742663658</v>
      </c>
      <c r="P18" s="51">
        <v>-4.7591589381761779E-2</v>
      </c>
      <c r="Q18" s="1" t="s">
        <v>192</v>
      </c>
    </row>
    <row r="19" spans="1:17" ht="16.5" thickTop="1" x14ac:dyDescent="0.25">
      <c r="A19" s="71">
        <v>43069</v>
      </c>
      <c r="B19" s="72">
        <v>68.53</v>
      </c>
      <c r="C19" s="73">
        <v>78.540000000000006</v>
      </c>
      <c r="D19" s="147"/>
      <c r="E19" s="75"/>
      <c r="F19" s="73"/>
      <c r="G19" s="234">
        <v>43202</v>
      </c>
      <c r="H19" s="75" t="s">
        <v>354</v>
      </c>
      <c r="I19" s="76">
        <v>3</v>
      </c>
      <c r="J19" s="360">
        <v>0.39</v>
      </c>
      <c r="K19" s="125">
        <v>7.67</v>
      </c>
      <c r="L19" s="242">
        <v>872</v>
      </c>
      <c r="M19" s="238">
        <v>21.47</v>
      </c>
      <c r="N19" s="348"/>
      <c r="O19" s="51">
        <v>1.1460674157303372</v>
      </c>
      <c r="P19" s="51">
        <v>-3.2223947917790374E-2</v>
      </c>
    </row>
    <row r="20" spans="1:17" x14ac:dyDescent="0.25">
      <c r="A20" s="71">
        <v>43100</v>
      </c>
      <c r="B20" s="72">
        <v>58.16</v>
      </c>
      <c r="C20" s="73">
        <v>68.09</v>
      </c>
      <c r="D20" s="147"/>
      <c r="E20" s="75"/>
      <c r="F20" s="73"/>
      <c r="G20" s="234">
        <v>43234</v>
      </c>
      <c r="H20" s="75" t="s">
        <v>354</v>
      </c>
      <c r="I20" s="76">
        <v>5.31</v>
      </c>
      <c r="J20" s="361">
        <v>0.49</v>
      </c>
      <c r="K20" s="125">
        <v>7.62</v>
      </c>
      <c r="L20" s="242">
        <v>698</v>
      </c>
      <c r="M20" s="238">
        <v>18.309999999999999</v>
      </c>
      <c r="N20" s="348"/>
      <c r="O20" s="51">
        <v>1.1707359009628613</v>
      </c>
      <c r="P20" s="51">
        <v>-7.5554626852663009E-3</v>
      </c>
    </row>
    <row r="21" spans="1:17" x14ac:dyDescent="0.25">
      <c r="A21" s="71">
        <v>43131</v>
      </c>
      <c r="B21" s="72">
        <v>2.89</v>
      </c>
      <c r="C21" s="73">
        <v>3.42</v>
      </c>
      <c r="D21" s="147"/>
      <c r="E21" s="75"/>
      <c r="F21" s="347"/>
      <c r="G21" s="234">
        <v>43251</v>
      </c>
      <c r="H21" s="75" t="s">
        <v>366</v>
      </c>
      <c r="I21" s="76">
        <v>40</v>
      </c>
      <c r="J21" s="361">
        <v>0.5</v>
      </c>
      <c r="K21" s="125">
        <v>7.71</v>
      </c>
      <c r="L21" s="242">
        <v>34</v>
      </c>
      <c r="M21" s="238">
        <v>30.43</v>
      </c>
      <c r="N21" s="348"/>
      <c r="O21" s="51">
        <v>1.1833910034602075</v>
      </c>
      <c r="P21" s="51">
        <v>5.099639812079948E-3</v>
      </c>
    </row>
    <row r="22" spans="1:17" x14ac:dyDescent="0.25">
      <c r="A22" s="71">
        <v>43159</v>
      </c>
      <c r="B22" s="72">
        <v>68.59</v>
      </c>
      <c r="C22" s="73">
        <v>84.78</v>
      </c>
      <c r="D22" s="147"/>
      <c r="E22" s="75"/>
      <c r="F22" s="347"/>
      <c r="G22" s="234">
        <v>43282</v>
      </c>
      <c r="H22" s="75" t="s">
        <v>370</v>
      </c>
      <c r="I22" s="390">
        <v>20.92</v>
      </c>
      <c r="J22" s="361">
        <v>0.48</v>
      </c>
      <c r="K22" s="125">
        <v>7.68</v>
      </c>
      <c r="L22" s="242">
        <v>930</v>
      </c>
      <c r="M22" s="238">
        <v>1</v>
      </c>
      <c r="N22" s="348"/>
      <c r="O22" s="51">
        <v>1.2360402391019099</v>
      </c>
      <c r="P22" s="51">
        <v>5.7748875453782267E-2</v>
      </c>
    </row>
    <row r="23" spans="1:17" x14ac:dyDescent="0.25">
      <c r="A23" s="71">
        <v>43190</v>
      </c>
      <c r="B23" s="72">
        <v>26.82</v>
      </c>
      <c r="C23" s="73">
        <v>32.53</v>
      </c>
      <c r="D23" s="147"/>
      <c r="E23" s="75"/>
      <c r="F23" s="380"/>
      <c r="G23" s="763">
        <v>43221</v>
      </c>
      <c r="H23" s="75" t="s">
        <v>354</v>
      </c>
      <c r="I23" s="76">
        <v>5.4959999999999996</v>
      </c>
      <c r="J23" s="361">
        <v>0.46</v>
      </c>
      <c r="K23" s="125">
        <v>7.7</v>
      </c>
      <c r="L23" s="242">
        <v>327</v>
      </c>
      <c r="M23" s="238">
        <v>34.15</v>
      </c>
      <c r="N23" s="348"/>
      <c r="O23" s="51">
        <v>1.2129008202833707</v>
      </c>
      <c r="P23" s="51">
        <v>3.4609456635243063E-2</v>
      </c>
    </row>
    <row r="24" spans="1:17" x14ac:dyDescent="0.25">
      <c r="A24" s="71">
        <v>43220</v>
      </c>
      <c r="B24" s="72">
        <v>72.05</v>
      </c>
      <c r="C24" s="73">
        <v>86.85</v>
      </c>
      <c r="D24" s="147"/>
      <c r="E24" s="75"/>
      <c r="F24" s="380"/>
      <c r="G24" s="763">
        <v>43312</v>
      </c>
      <c r="H24" s="75" t="s">
        <v>354</v>
      </c>
      <c r="I24" s="76">
        <v>5.4959999999999996</v>
      </c>
      <c r="J24" s="361">
        <v>0.44</v>
      </c>
      <c r="K24" s="125">
        <v>7.68</v>
      </c>
      <c r="L24" s="242">
        <v>966</v>
      </c>
      <c r="M24" s="238">
        <v>23.71</v>
      </c>
      <c r="N24" s="348"/>
      <c r="O24" s="51">
        <v>1.205412907702984</v>
      </c>
      <c r="P24" s="51">
        <v>2.712154405485645E-2</v>
      </c>
    </row>
    <row r="25" spans="1:17" x14ac:dyDescent="0.25">
      <c r="A25" s="71">
        <v>43251</v>
      </c>
      <c r="B25" s="72">
        <v>119.65</v>
      </c>
      <c r="C25" s="73">
        <v>152.4</v>
      </c>
      <c r="D25" s="147"/>
      <c r="E25" s="75"/>
      <c r="F25" s="380"/>
      <c r="G25" s="234">
        <v>43374</v>
      </c>
      <c r="H25" s="75" t="s">
        <v>426</v>
      </c>
      <c r="I25" s="76">
        <v>20.92</v>
      </c>
      <c r="J25" s="361">
        <v>0.41</v>
      </c>
      <c r="K25" s="125">
        <v>7.64</v>
      </c>
      <c r="L25" s="242">
        <v>1642</v>
      </c>
      <c r="M25" s="238">
        <v>22.67</v>
      </c>
      <c r="N25" s="348"/>
      <c r="O25" s="51">
        <v>1.2737150020894275</v>
      </c>
      <c r="P25" s="51">
        <v>9.5423638441299863E-2</v>
      </c>
    </row>
    <row r="26" spans="1:17" x14ac:dyDescent="0.25">
      <c r="A26" s="71">
        <v>43281</v>
      </c>
      <c r="B26" s="72">
        <v>14.45</v>
      </c>
      <c r="C26" s="73">
        <v>18.41</v>
      </c>
      <c r="D26" s="147"/>
      <c r="E26" s="75"/>
      <c r="F26" s="380"/>
      <c r="G26" s="763">
        <v>43404</v>
      </c>
      <c r="H26" s="75" t="s">
        <v>354</v>
      </c>
      <c r="I26" s="76">
        <v>5.4959999999999996</v>
      </c>
      <c r="J26" s="361">
        <v>0.41</v>
      </c>
      <c r="K26" s="125">
        <v>7.65</v>
      </c>
      <c r="L26" s="242">
        <v>170</v>
      </c>
      <c r="M26" s="238">
        <v>24.09</v>
      </c>
      <c r="N26" s="348"/>
      <c r="O26" s="51">
        <v>1.2740484429065744</v>
      </c>
      <c r="P26" s="51">
        <v>9.5757079258446787E-2</v>
      </c>
    </row>
    <row r="27" spans="1:17" x14ac:dyDescent="0.25">
      <c r="A27" s="71">
        <v>43312</v>
      </c>
      <c r="B27" s="72">
        <v>28.14</v>
      </c>
      <c r="C27" s="73">
        <v>35.65</v>
      </c>
      <c r="D27" s="147"/>
      <c r="E27" s="75"/>
      <c r="F27" s="380"/>
      <c r="G27" s="234">
        <v>43466</v>
      </c>
      <c r="H27" s="75" t="s">
        <v>475</v>
      </c>
      <c r="I27" s="76">
        <v>20.92</v>
      </c>
      <c r="J27" s="361">
        <v>0.41</v>
      </c>
      <c r="K27" s="125">
        <v>7.67</v>
      </c>
      <c r="L27" s="242">
        <v>331</v>
      </c>
      <c r="M27" s="238">
        <v>23.5</v>
      </c>
      <c r="N27" s="348"/>
      <c r="O27" s="51">
        <v>1.2668798862828712</v>
      </c>
      <c r="P27" s="51">
        <v>8.8588522634743594E-2</v>
      </c>
    </row>
    <row r="28" spans="1:17" x14ac:dyDescent="0.25">
      <c r="A28" s="71">
        <v>43343</v>
      </c>
      <c r="B28" s="72">
        <v>30.6</v>
      </c>
      <c r="C28" s="73">
        <v>39</v>
      </c>
      <c r="D28" s="147"/>
      <c r="E28" s="75"/>
      <c r="F28" s="380"/>
      <c r="G28" s="902">
        <v>43502</v>
      </c>
      <c r="H28" s="516" t="s">
        <v>547</v>
      </c>
      <c r="I28" s="376">
        <v>-16.04</v>
      </c>
      <c r="J28" s="361">
        <v>0.4</v>
      </c>
      <c r="K28" s="125">
        <v>7.68</v>
      </c>
      <c r="L28" s="242">
        <v>360</v>
      </c>
      <c r="M28" s="238">
        <v>22.42</v>
      </c>
      <c r="N28" s="348"/>
      <c r="O28" s="51">
        <v>1.2745098039215685</v>
      </c>
      <c r="P28" s="51">
        <v>9.6218440273440953E-2</v>
      </c>
    </row>
    <row r="29" spans="1:17" x14ac:dyDescent="0.25">
      <c r="A29" s="71">
        <v>43373</v>
      </c>
      <c r="B29" s="72">
        <v>8.42</v>
      </c>
      <c r="C29" s="73">
        <v>10.73</v>
      </c>
      <c r="D29" s="147"/>
      <c r="E29" s="75"/>
      <c r="F29" s="380"/>
      <c r="G29" s="234"/>
      <c r="H29" s="75"/>
      <c r="I29" s="376"/>
      <c r="J29" s="361">
        <v>0.4</v>
      </c>
      <c r="K29" s="125">
        <v>7.69</v>
      </c>
      <c r="L29" s="242">
        <v>99</v>
      </c>
      <c r="M29" s="238">
        <v>14</v>
      </c>
      <c r="N29" s="348"/>
      <c r="O29" s="51">
        <v>1.2743467933491688</v>
      </c>
      <c r="P29" s="51">
        <v>9.6055429701041195E-2</v>
      </c>
    </row>
    <row r="30" spans="1:17" x14ac:dyDescent="0.25">
      <c r="A30" s="71">
        <v>43404</v>
      </c>
      <c r="B30" s="72">
        <v>69.3</v>
      </c>
      <c r="C30" s="73">
        <v>91.51</v>
      </c>
      <c r="D30" s="147"/>
      <c r="E30" s="75"/>
      <c r="F30" s="380"/>
      <c r="G30" s="234"/>
      <c r="H30" s="75"/>
      <c r="I30" s="376"/>
      <c r="J30" s="361">
        <v>0.39</v>
      </c>
      <c r="K30" s="125">
        <v>7.68</v>
      </c>
      <c r="L30" s="242">
        <v>913</v>
      </c>
      <c r="M30" s="238">
        <v>9.7899999999999991</v>
      </c>
      <c r="N30" s="348"/>
      <c r="O30" s="51">
        <v>1.3204906204906206</v>
      </c>
      <c r="P30" s="51">
        <v>0.14219925684249302</v>
      </c>
    </row>
    <row r="31" spans="1:17" x14ac:dyDescent="0.25">
      <c r="A31" s="71">
        <v>43434</v>
      </c>
      <c r="B31" s="72">
        <v>55.88</v>
      </c>
      <c r="C31" s="73">
        <v>71.84</v>
      </c>
      <c r="D31" s="147"/>
      <c r="E31" s="75"/>
      <c r="F31" s="380"/>
      <c r="G31" s="234"/>
      <c r="H31" s="75"/>
      <c r="I31" s="376"/>
      <c r="J31" s="361">
        <v>0.38</v>
      </c>
      <c r="K31" s="125">
        <v>7.69</v>
      </c>
      <c r="L31" s="242">
        <v>710</v>
      </c>
      <c r="M31" s="238">
        <v>11.96</v>
      </c>
      <c r="N31" s="348"/>
      <c r="O31" s="51">
        <v>1.2856120257695061</v>
      </c>
      <c r="P31" s="51">
        <v>0.10732066212137847</v>
      </c>
    </row>
    <row r="32" spans="1:17" x14ac:dyDescent="0.25">
      <c r="A32" s="71">
        <v>43465</v>
      </c>
      <c r="B32" s="72">
        <v>11.96</v>
      </c>
      <c r="C32" s="73">
        <v>15.379999999999999</v>
      </c>
      <c r="D32" s="147"/>
      <c r="E32" s="75"/>
      <c r="F32" s="380"/>
      <c r="G32" s="234"/>
      <c r="H32" s="75"/>
      <c r="I32" s="376"/>
      <c r="J32" s="361">
        <v>0.38</v>
      </c>
      <c r="K32" s="125">
        <v>7.65</v>
      </c>
      <c r="L32" s="242">
        <v>255</v>
      </c>
      <c r="M32" s="238">
        <v>1</v>
      </c>
      <c r="N32" s="348">
        <v>8.73</v>
      </c>
      <c r="O32" s="51">
        <v>1.285953177257525</v>
      </c>
      <c r="P32" s="51">
        <v>0.10766181360939742</v>
      </c>
    </row>
    <row r="33" spans="1:16" x14ac:dyDescent="0.25">
      <c r="A33" s="71"/>
      <c r="B33" s="72"/>
      <c r="C33" s="73"/>
      <c r="D33" s="147"/>
      <c r="E33" s="75"/>
      <c r="F33" s="380"/>
      <c r="G33" s="234"/>
      <c r="H33" s="75"/>
      <c r="I33" s="376"/>
      <c r="J33" s="361">
        <v>0.38588521427578715</v>
      </c>
      <c r="K33" s="125">
        <v>7.6528025351554767</v>
      </c>
      <c r="L33" s="242"/>
      <c r="M33" s="238"/>
      <c r="N33" s="348"/>
      <c r="O33" s="51" t="e">
        <v>#DIV/0!</v>
      </c>
      <c r="P33" s="51" t="e">
        <v>#DIV/0!</v>
      </c>
    </row>
    <row r="34" spans="1:16" ht="16.5" thickBot="1" x14ac:dyDescent="0.3">
      <c r="A34" s="77" t="s">
        <v>15</v>
      </c>
      <c r="B34" s="78"/>
      <c r="C34" s="79"/>
      <c r="D34" s="148"/>
      <c r="E34" s="80"/>
      <c r="F34" s="79"/>
      <c r="G34" s="235"/>
      <c r="H34" s="80"/>
      <c r="I34" s="81"/>
      <c r="J34" s="126"/>
      <c r="K34" s="127"/>
      <c r="L34" s="243"/>
      <c r="M34" s="239"/>
      <c r="N34" s="239"/>
      <c r="O34" s="51"/>
    </row>
    <row r="35" spans="1:16" s="60" customFormat="1" ht="16.5" thickTop="1" x14ac:dyDescent="0.25">
      <c r="A35" s="562" t="s">
        <v>85</v>
      </c>
      <c r="B35" s="563">
        <f ca="1">SUMIFS($B$6:$B$34,$A$6:$A$34,"&gt;="&amp;$B36,$A$6:$A$34,"&lt;="&amp;$D36)</f>
        <v>0</v>
      </c>
      <c r="C35" s="566">
        <f ca="1">SUMIFS($C$6:$C$34,$A$6:$A$34,"&gt;="&amp;$B36,$A$6:$A$34,"&lt;="&amp;$D36)</f>
        <v>0</v>
      </c>
      <c r="D35" s="568"/>
      <c r="E35" s="564"/>
      <c r="F35" s="569">
        <f ca="1">SUMIFS($F$6:$F$34,$D$6:$D$34,"&gt;="&amp;$B36,$D$6:$D$34,"&lt;="&amp;$D36)</f>
        <v>0</v>
      </c>
      <c r="G35" s="753" t="s">
        <v>354</v>
      </c>
      <c r="H35" s="798">
        <f ca="1">SUMIFS($I$6:$I$34,$H$6:$H$34,"="&amp;G35,$G$6:$G$34,"&gt;="&amp;$B$36,$G$6:$G$34,"&lt;="&amp;$D$36)</f>
        <v>0</v>
      </c>
      <c r="I35" s="566">
        <f ca="1">SUMIFS($I$6:$I$34,$G$6:$G$34,"&gt;="&amp;$B36,$G$6:$G$34,"&lt;="&amp;$D36)</f>
        <v>0</v>
      </c>
      <c r="J35" s="1108">
        <f>AVERAGE(J11:J34)</f>
        <v>0.36938631366416469</v>
      </c>
      <c r="K35" s="1109">
        <f>AVERAGE(K11:K34)</f>
        <v>7.6318609797893693</v>
      </c>
      <c r="L35" s="570">
        <f ca="1">SUMIFS($L$6:$L$34,$A$6:$A$34,"&gt;="&amp;$B36,$A$6:$A$34,"&lt;="&amp;$D36)</f>
        <v>0</v>
      </c>
      <c r="M35" s="565"/>
    </row>
    <row r="36" spans="1:16" s="561" customFormat="1" x14ac:dyDescent="0.25">
      <c r="A36" s="572" t="s">
        <v>328</v>
      </c>
      <c r="B36" s="2353">
        <f>Prehľad!AV1</f>
        <v>43831</v>
      </c>
      <c r="C36" s="2354"/>
      <c r="D36" s="2353">
        <f ca="1">Prehľad!AX1</f>
        <v>44607</v>
      </c>
      <c r="E36" s="2354"/>
      <c r="F36" s="573"/>
      <c r="G36" s="574"/>
      <c r="H36" s="575"/>
      <c r="I36" s="573"/>
      <c r="J36" s="1120" t="s">
        <v>712</v>
      </c>
      <c r="K36" s="1121">
        <f>MAX(K11:K34)</f>
        <v>7.71</v>
      </c>
      <c r="L36" s="826">
        <f>AVERAGE(L11:L34)</f>
        <v>667.5</v>
      </c>
      <c r="M36" s="579"/>
      <c r="N36" s="560"/>
    </row>
    <row r="37" spans="1:16" x14ac:dyDescent="0.25">
      <c r="A37" s="53"/>
      <c r="D37" s="56"/>
      <c r="E37" s="6"/>
      <c r="F37" s="55"/>
    </row>
    <row r="38" spans="1:16" s="52" customFormat="1" x14ac:dyDescent="0.25">
      <c r="A38" s="478">
        <v>43145</v>
      </c>
      <c r="B38" s="6" t="s">
        <v>263</v>
      </c>
      <c r="C38" s="6"/>
      <c r="D38" s="6" t="s">
        <v>279</v>
      </c>
      <c r="E38" s="6"/>
      <c r="F38" s="229">
        <v>1512.82</v>
      </c>
      <c r="G38" s="6" t="s">
        <v>280</v>
      </c>
      <c r="J38" s="229"/>
      <c r="L38" s="433"/>
      <c r="M38" s="479"/>
      <c r="N38" s="479"/>
    </row>
    <row r="39" spans="1:16" s="52" customFormat="1" x14ac:dyDescent="0.25">
      <c r="A39" s="478">
        <v>43444</v>
      </c>
      <c r="B39" s="6" t="s">
        <v>385</v>
      </c>
      <c r="C39" s="6"/>
      <c r="D39" s="6" t="s">
        <v>494</v>
      </c>
      <c r="E39" s="57" t="s">
        <v>492</v>
      </c>
      <c r="F39" s="229">
        <v>10.54</v>
      </c>
      <c r="G39" s="6" t="s">
        <v>493</v>
      </c>
      <c r="J39" s="229"/>
      <c r="L39" s="433"/>
      <c r="M39" s="479"/>
      <c r="N39" s="479"/>
    </row>
    <row r="40" spans="1:16" s="865" customFormat="1" ht="21" x14ac:dyDescent="0.25">
      <c r="A40" s="868" t="s">
        <v>497</v>
      </c>
      <c r="B40" s="860"/>
      <c r="C40" s="861"/>
      <c r="D40" s="862"/>
      <c r="E40" s="863"/>
      <c r="F40" s="864"/>
      <c r="J40" s="866"/>
      <c r="L40" s="867"/>
      <c r="M40" s="860"/>
      <c r="N40" s="860"/>
    </row>
    <row r="41" spans="1:16" x14ac:dyDescent="0.25">
      <c r="A41" s="53"/>
      <c r="D41" s="56"/>
      <c r="E41" s="6"/>
      <c r="F41" s="120"/>
      <c r="L41" s="61"/>
    </row>
    <row r="42" spans="1:16" x14ac:dyDescent="0.25">
      <c r="A42" s="53"/>
      <c r="E42" s="57"/>
      <c r="F42" s="120"/>
      <c r="H42" s="119"/>
    </row>
    <row r="43" spans="1:16" x14ac:dyDescent="0.25">
      <c r="A43" s="53"/>
      <c r="E43" s="57"/>
      <c r="F43" s="120"/>
    </row>
    <row r="44" spans="1:16" x14ac:dyDescent="0.25">
      <c r="E44" s="57"/>
      <c r="F44" s="120"/>
    </row>
    <row r="45" spans="1:16" x14ac:dyDescent="0.25">
      <c r="E45" s="57"/>
      <c r="F45" s="120"/>
    </row>
    <row r="46" spans="1:16" x14ac:dyDescent="0.25">
      <c r="E46" s="57"/>
      <c r="F46" s="120"/>
    </row>
    <row r="47" spans="1:16" x14ac:dyDescent="0.25">
      <c r="E47" s="57"/>
      <c r="F47" s="121"/>
    </row>
    <row r="48" spans="1:16" x14ac:dyDescent="0.25">
      <c r="E48" s="57"/>
      <c r="F48" s="121"/>
    </row>
    <row r="49" spans="5:6" x14ac:dyDescent="0.25">
      <c r="E49" s="57"/>
      <c r="F49" s="121"/>
    </row>
    <row r="50" spans="5:6" x14ac:dyDescent="0.25">
      <c r="E50" s="57"/>
    </row>
    <row r="51" spans="5:6" x14ac:dyDescent="0.25">
      <c r="E51" s="57"/>
    </row>
    <row r="52" spans="5:6" x14ac:dyDescent="0.25">
      <c r="E52" s="57"/>
    </row>
    <row r="53" spans="5:6" x14ac:dyDescent="0.25">
      <c r="E53" s="57"/>
    </row>
    <row r="54" spans="5:6" x14ac:dyDescent="0.25">
      <c r="E54" s="57"/>
    </row>
  </sheetData>
  <mergeCells count="14">
    <mergeCell ref="B36:C36"/>
    <mergeCell ref="D36:E36"/>
    <mergeCell ref="N2:N3"/>
    <mergeCell ref="A1:C1"/>
    <mergeCell ref="E1:G1"/>
    <mergeCell ref="B2:D2"/>
    <mergeCell ref="G2:H2"/>
    <mergeCell ref="J2:J4"/>
    <mergeCell ref="L2:L4"/>
    <mergeCell ref="M2:M4"/>
    <mergeCell ref="K2:K4"/>
    <mergeCell ref="B3:C3"/>
    <mergeCell ref="D4:E4"/>
    <mergeCell ref="G4:H4"/>
  </mergeCells>
  <conditionalFormatting sqref="P5:P34">
    <cfRule type="cellIs" dxfId="11" priority="5" operator="greaterThan">
      <formula>0</formula>
    </cfRule>
    <cfRule type="cellIs" dxfId="10" priority="6" operator="lessThan">
      <formula>0</formula>
    </cfRule>
  </conditionalFormatting>
  <conditionalFormatting sqref="O36">
    <cfRule type="cellIs" dxfId="9" priority="1" operator="greaterThan">
      <formula>0</formula>
    </cfRule>
    <cfRule type="cellIs" dxfId="8" priority="2" operator="lessThan">
      <formula>0</formula>
    </cfRule>
  </conditionalFormatting>
  <printOptions horizontalCentered="1"/>
  <pageMargins left="0" right="0" top="0.39370078740157483" bottom="0.39370078740157483" header="0" footer="0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R30"/>
  <sheetViews>
    <sheetView workbookViewId="0">
      <selection sqref="A1:L14"/>
    </sheetView>
  </sheetViews>
  <sheetFormatPr defaultRowHeight="18" customHeight="1" x14ac:dyDescent="0.25"/>
  <cols>
    <col min="1" max="1" width="3.625" style="220" customWidth="1"/>
    <col min="2" max="2" width="8.625" style="334" customWidth="1"/>
    <col min="3" max="3" width="23.5" style="334" customWidth="1"/>
    <col min="4" max="4" width="25.625" style="334" customWidth="1"/>
    <col min="5" max="5" width="7.625" style="335" customWidth="1"/>
    <col min="6" max="6" width="25.625" style="340" customWidth="1"/>
    <col min="7" max="7" width="11.625" style="340" customWidth="1"/>
    <col min="8" max="9" width="10.625" style="336" customWidth="1"/>
    <col min="10" max="12" width="6.625" style="339" customWidth="1"/>
    <col min="13" max="13" width="9" style="391"/>
    <col min="14" max="16384" width="9" style="392"/>
  </cols>
  <sheetData>
    <row r="1" spans="1:18" ht="18" customHeight="1" x14ac:dyDescent="0.25">
      <c r="A1" s="2022" t="s">
        <v>109</v>
      </c>
      <c r="B1" s="2022"/>
      <c r="C1" s="2022"/>
      <c r="D1" s="2022"/>
      <c r="E1" s="2022"/>
      <c r="F1" s="2022"/>
      <c r="G1" s="2022"/>
      <c r="H1" s="2022"/>
      <c r="I1" s="2023">
        <v>43101</v>
      </c>
      <c r="J1" s="2023"/>
      <c r="K1" s="2023"/>
      <c r="L1" s="2023"/>
    </row>
    <row r="2" spans="1:18" s="394" customFormat="1" ht="21" customHeight="1" x14ac:dyDescent="0.2">
      <c r="A2" s="2033" t="s">
        <v>42</v>
      </c>
      <c r="B2" s="2030" t="s">
        <v>2</v>
      </c>
      <c r="C2" s="2027" t="s">
        <v>3</v>
      </c>
      <c r="D2" s="2046" t="s">
        <v>346</v>
      </c>
      <c r="E2" s="2024" t="s">
        <v>108</v>
      </c>
      <c r="F2" s="2040" t="s">
        <v>204</v>
      </c>
      <c r="G2" s="2041"/>
      <c r="H2" s="2041"/>
      <c r="I2" s="2042"/>
      <c r="J2" s="2019" t="s">
        <v>203</v>
      </c>
      <c r="K2" s="2020"/>
      <c r="L2" s="2021"/>
      <c r="M2" s="393"/>
    </row>
    <row r="3" spans="1:18" s="393" customFormat="1" ht="21" customHeight="1" x14ac:dyDescent="0.2">
      <c r="A3" s="2034"/>
      <c r="B3" s="2031"/>
      <c r="C3" s="2028"/>
      <c r="D3" s="2047"/>
      <c r="E3" s="2025"/>
      <c r="F3" s="2043"/>
      <c r="G3" s="2044"/>
      <c r="H3" s="2044"/>
      <c r="I3" s="2045"/>
      <c r="J3" s="2036" t="s">
        <v>104</v>
      </c>
      <c r="K3" s="2038" t="s">
        <v>105</v>
      </c>
      <c r="L3" s="2017" t="s">
        <v>106</v>
      </c>
    </row>
    <row r="4" spans="1:18" s="393" customFormat="1" ht="24" customHeight="1" x14ac:dyDescent="0.2">
      <c r="A4" s="2035"/>
      <c r="B4" s="2032"/>
      <c r="C4" s="2029"/>
      <c r="D4" s="2048"/>
      <c r="E4" s="2026"/>
      <c r="F4" s="395" t="s">
        <v>205</v>
      </c>
      <c r="G4" s="396" t="s">
        <v>103</v>
      </c>
      <c r="H4" s="397" t="s">
        <v>107</v>
      </c>
      <c r="I4" s="398" t="s">
        <v>125</v>
      </c>
      <c r="J4" s="2037"/>
      <c r="K4" s="2039"/>
      <c r="L4" s="2018"/>
    </row>
    <row r="5" spans="1:18" s="399" customFormat="1" ht="30" customHeight="1" x14ac:dyDescent="0.25">
      <c r="A5" s="131">
        <v>1</v>
      </c>
      <c r="B5" s="144" t="s">
        <v>36</v>
      </c>
      <c r="C5" s="145" t="s">
        <v>37</v>
      </c>
      <c r="D5" s="1742" t="s">
        <v>1240</v>
      </c>
      <c r="E5" s="400" t="s">
        <v>110</v>
      </c>
      <c r="F5" s="159" t="s">
        <v>111</v>
      </c>
      <c r="G5" s="146" t="s">
        <v>112</v>
      </c>
      <c r="H5" s="193">
        <v>40406</v>
      </c>
      <c r="I5" s="139" t="s">
        <v>113</v>
      </c>
      <c r="J5" s="401">
        <v>17.3</v>
      </c>
      <c r="K5" s="402">
        <v>14.8</v>
      </c>
      <c r="L5" s="427"/>
      <c r="M5" s="391"/>
      <c r="N5" s="392"/>
      <c r="O5" s="392"/>
      <c r="P5" s="392"/>
      <c r="Q5" s="392"/>
      <c r="R5" s="392"/>
    </row>
    <row r="6" spans="1:18" ht="30" customHeight="1" x14ac:dyDescent="0.25">
      <c r="A6" s="131">
        <f t="shared" ref="A6:A20" si="0">A5+1</f>
        <v>2</v>
      </c>
      <c r="B6" s="132" t="s">
        <v>28</v>
      </c>
      <c r="C6" s="133" t="s">
        <v>27</v>
      </c>
      <c r="D6" s="1743"/>
      <c r="E6" s="403" t="s">
        <v>110</v>
      </c>
      <c r="F6" s="329" t="s">
        <v>114</v>
      </c>
      <c r="G6" s="142" t="s">
        <v>116</v>
      </c>
      <c r="H6" s="404">
        <v>41521</v>
      </c>
      <c r="I6" s="322" t="s">
        <v>113</v>
      </c>
      <c r="J6" s="405">
        <v>10.4</v>
      </c>
      <c r="K6" s="406">
        <v>8.8000000000000007</v>
      </c>
      <c r="L6" s="428"/>
    </row>
    <row r="7" spans="1:18" ht="30" customHeight="1" x14ac:dyDescent="0.25">
      <c r="A7" s="131">
        <f t="shared" si="0"/>
        <v>3</v>
      </c>
      <c r="B7" s="132" t="s">
        <v>23</v>
      </c>
      <c r="C7" s="133" t="s">
        <v>21</v>
      </c>
      <c r="D7" s="1743" t="s">
        <v>1286</v>
      </c>
      <c r="E7" s="403" t="s">
        <v>74</v>
      </c>
      <c r="F7" s="329" t="s">
        <v>114</v>
      </c>
      <c r="G7" s="142" t="s">
        <v>115</v>
      </c>
      <c r="H7" s="404">
        <v>41514</v>
      </c>
      <c r="I7" s="322" t="s">
        <v>113</v>
      </c>
      <c r="J7" s="405">
        <v>8.3000000000000007</v>
      </c>
      <c r="K7" s="406">
        <v>6.9</v>
      </c>
      <c r="L7" s="428"/>
    </row>
    <row r="8" spans="1:18" ht="30" customHeight="1" x14ac:dyDescent="0.25">
      <c r="A8" s="131">
        <f t="shared" si="0"/>
        <v>4</v>
      </c>
      <c r="B8" s="132" t="s">
        <v>11</v>
      </c>
      <c r="C8" s="133" t="s">
        <v>1</v>
      </c>
      <c r="D8" s="1743" t="s">
        <v>1240</v>
      </c>
      <c r="E8" s="403" t="s">
        <v>74</v>
      </c>
      <c r="F8" s="329" t="s">
        <v>114</v>
      </c>
      <c r="G8" s="142" t="s">
        <v>118</v>
      </c>
      <c r="H8" s="404">
        <v>40688</v>
      </c>
      <c r="I8" s="322" t="s">
        <v>113</v>
      </c>
      <c r="J8" s="405">
        <v>10.199999999999999</v>
      </c>
      <c r="K8" s="406">
        <v>9.4</v>
      </c>
      <c r="L8" s="428"/>
    </row>
    <row r="9" spans="1:18" ht="30" customHeight="1" x14ac:dyDescent="0.25">
      <c r="A9" s="131">
        <f t="shared" si="0"/>
        <v>5</v>
      </c>
      <c r="B9" s="132" t="s">
        <v>25</v>
      </c>
      <c r="C9" s="133" t="s">
        <v>26</v>
      </c>
      <c r="D9" s="1743"/>
      <c r="E9" s="403" t="s">
        <v>74</v>
      </c>
      <c r="F9" s="329" t="s">
        <v>114</v>
      </c>
      <c r="G9" s="142" t="s">
        <v>121</v>
      </c>
      <c r="H9" s="404">
        <v>41516</v>
      </c>
      <c r="I9" s="322" t="s">
        <v>113</v>
      </c>
      <c r="J9" s="405">
        <v>9.6999999999999993</v>
      </c>
      <c r="K9" s="406">
        <v>8.1</v>
      </c>
      <c r="L9" s="428"/>
    </row>
    <row r="10" spans="1:18" ht="30" customHeight="1" x14ac:dyDescent="0.25">
      <c r="A10" s="131">
        <f t="shared" si="0"/>
        <v>6</v>
      </c>
      <c r="B10" s="132" t="s">
        <v>20</v>
      </c>
      <c r="C10" s="133" t="s">
        <v>21</v>
      </c>
      <c r="D10" s="1743"/>
      <c r="E10" s="403" t="s">
        <v>74</v>
      </c>
      <c r="F10" s="329" t="s">
        <v>114</v>
      </c>
      <c r="G10" s="142" t="s">
        <v>117</v>
      </c>
      <c r="H10" s="404">
        <v>41513</v>
      </c>
      <c r="I10" s="322" t="s">
        <v>113</v>
      </c>
      <c r="J10" s="405">
        <v>8</v>
      </c>
      <c r="K10" s="406">
        <v>6.8</v>
      </c>
      <c r="L10" s="428"/>
    </row>
    <row r="11" spans="1:18" ht="30" customHeight="1" x14ac:dyDescent="0.25">
      <c r="A11" s="131">
        <f t="shared" si="0"/>
        <v>7</v>
      </c>
      <c r="B11" s="132" t="s">
        <v>30</v>
      </c>
      <c r="C11" s="133" t="s">
        <v>21</v>
      </c>
      <c r="D11" s="1743"/>
      <c r="E11" s="403" t="s">
        <v>74</v>
      </c>
      <c r="F11" s="329" t="s">
        <v>114</v>
      </c>
      <c r="G11" s="142" t="s">
        <v>120</v>
      </c>
      <c r="H11" s="404">
        <v>41661</v>
      </c>
      <c r="I11" s="322" t="s">
        <v>113</v>
      </c>
      <c r="J11" s="405">
        <v>8.5</v>
      </c>
      <c r="K11" s="406">
        <v>7.1</v>
      </c>
      <c r="L11" s="428"/>
    </row>
    <row r="12" spans="1:18" ht="30" customHeight="1" x14ac:dyDescent="0.25">
      <c r="A12" s="131">
        <f t="shared" si="0"/>
        <v>8</v>
      </c>
      <c r="B12" s="144" t="s">
        <v>40</v>
      </c>
      <c r="C12" s="145" t="s">
        <v>715</v>
      </c>
      <c r="D12" s="1742"/>
      <c r="E12" s="400" t="s">
        <v>74</v>
      </c>
      <c r="F12" s="329" t="s">
        <v>200</v>
      </c>
      <c r="G12" s="146" t="s">
        <v>201</v>
      </c>
      <c r="H12" s="193">
        <v>43131</v>
      </c>
      <c r="I12" s="139">
        <v>44227</v>
      </c>
      <c r="J12" s="401"/>
      <c r="K12" s="402"/>
      <c r="L12" s="427">
        <v>5.7</v>
      </c>
    </row>
    <row r="13" spans="1:18" ht="30" customHeight="1" x14ac:dyDescent="0.25">
      <c r="A13" s="131">
        <f t="shared" si="0"/>
        <v>9</v>
      </c>
      <c r="B13" s="132" t="s">
        <v>18</v>
      </c>
      <c r="C13" s="133" t="s">
        <v>17</v>
      </c>
      <c r="D13" s="1743"/>
      <c r="E13" s="403" t="s">
        <v>74</v>
      </c>
      <c r="F13" s="329" t="s">
        <v>200</v>
      </c>
      <c r="G13" s="142" t="s">
        <v>119</v>
      </c>
      <c r="H13" s="193">
        <v>42412</v>
      </c>
      <c r="I13" s="139">
        <v>43507</v>
      </c>
      <c r="J13" s="405">
        <v>8.5</v>
      </c>
      <c r="K13" s="406">
        <v>6.5</v>
      </c>
      <c r="L13" s="428"/>
    </row>
    <row r="14" spans="1:18" ht="30" customHeight="1" x14ac:dyDescent="0.25">
      <c r="A14" s="131">
        <f t="shared" si="0"/>
        <v>10</v>
      </c>
      <c r="B14" s="144" t="s">
        <v>38</v>
      </c>
      <c r="C14" s="145" t="s">
        <v>714</v>
      </c>
      <c r="D14" s="1742"/>
      <c r="E14" s="400" t="s">
        <v>74</v>
      </c>
      <c r="F14" s="329" t="s">
        <v>200</v>
      </c>
      <c r="G14" s="146" t="s">
        <v>711</v>
      </c>
      <c r="H14" s="193">
        <v>43805</v>
      </c>
      <c r="I14" s="139">
        <v>44900</v>
      </c>
      <c r="J14" s="401"/>
      <c r="K14" s="402"/>
      <c r="L14" s="427">
        <v>6.5</v>
      </c>
    </row>
    <row r="15" spans="1:18" ht="30" customHeight="1" x14ac:dyDescent="0.25">
      <c r="A15" s="131">
        <f t="shared" si="0"/>
        <v>11</v>
      </c>
      <c r="B15" s="132" t="s">
        <v>164</v>
      </c>
      <c r="C15" s="133" t="s">
        <v>17</v>
      </c>
      <c r="D15" s="1743"/>
      <c r="E15" s="403" t="s">
        <v>74</v>
      </c>
      <c r="F15" s="329" t="s">
        <v>200</v>
      </c>
      <c r="G15" s="142" t="s">
        <v>173</v>
      </c>
      <c r="H15" s="404">
        <v>43017</v>
      </c>
      <c r="I15" s="322">
        <v>44113</v>
      </c>
      <c r="J15" s="405"/>
      <c r="K15" s="406"/>
      <c r="L15" s="428">
        <v>7.7</v>
      </c>
    </row>
    <row r="16" spans="1:18" ht="30" customHeight="1" x14ac:dyDescent="0.25">
      <c r="A16" s="131">
        <f t="shared" si="0"/>
        <v>12</v>
      </c>
      <c r="B16" s="407" t="s">
        <v>185</v>
      </c>
      <c r="C16" s="408" t="s">
        <v>186</v>
      </c>
      <c r="D16" s="1744" t="s">
        <v>1287</v>
      </c>
      <c r="E16" s="409" t="s">
        <v>110</v>
      </c>
      <c r="F16" s="410" t="s">
        <v>200</v>
      </c>
      <c r="G16" s="411" t="s">
        <v>202</v>
      </c>
      <c r="H16" s="412">
        <v>43131</v>
      </c>
      <c r="I16" s="413">
        <v>44227</v>
      </c>
      <c r="J16" s="414"/>
      <c r="K16" s="415"/>
      <c r="L16" s="429">
        <v>7.1</v>
      </c>
    </row>
    <row r="17" spans="1:12" ht="30" customHeight="1" x14ac:dyDescent="0.25">
      <c r="A17" s="131">
        <f t="shared" si="0"/>
        <v>13</v>
      </c>
      <c r="B17" s="407" t="s">
        <v>215</v>
      </c>
      <c r="C17" s="408" t="s">
        <v>218</v>
      </c>
      <c r="D17" s="1744"/>
      <c r="E17" s="409" t="s">
        <v>74</v>
      </c>
      <c r="F17" s="410"/>
      <c r="G17" s="411"/>
      <c r="H17" s="412"/>
      <c r="I17" s="413"/>
      <c r="J17" s="414"/>
      <c r="K17" s="415"/>
      <c r="L17" s="429"/>
    </row>
    <row r="18" spans="1:12" ht="30" customHeight="1" x14ac:dyDescent="0.25">
      <c r="A18" s="131">
        <f t="shared" si="0"/>
        <v>14</v>
      </c>
      <c r="B18" s="407" t="s">
        <v>594</v>
      </c>
      <c r="C18" s="408" t="s">
        <v>186</v>
      </c>
      <c r="D18" s="1744" t="s">
        <v>1287</v>
      </c>
      <c r="E18" s="409" t="s">
        <v>110</v>
      </c>
      <c r="F18" s="410"/>
      <c r="G18" s="411"/>
      <c r="H18" s="412"/>
      <c r="I18" s="413"/>
      <c r="J18" s="414"/>
      <c r="K18" s="415"/>
      <c r="L18" s="429"/>
    </row>
    <row r="19" spans="1:12" ht="30" customHeight="1" x14ac:dyDescent="0.25">
      <c r="A19" s="131">
        <f t="shared" si="0"/>
        <v>15</v>
      </c>
      <c r="B19" s="407" t="s">
        <v>713</v>
      </c>
      <c r="C19" s="408" t="s">
        <v>39</v>
      </c>
      <c r="D19" s="1744"/>
      <c r="E19" s="409" t="s">
        <v>110</v>
      </c>
      <c r="F19" s="410" t="s">
        <v>716</v>
      </c>
      <c r="G19" s="411"/>
      <c r="H19" s="412"/>
      <c r="I19" s="413"/>
      <c r="J19" s="414"/>
      <c r="K19" s="415"/>
      <c r="L19" s="429">
        <v>9.8000000000000007</v>
      </c>
    </row>
    <row r="20" spans="1:12" ht="30" customHeight="1" x14ac:dyDescent="0.25">
      <c r="A20" s="131">
        <f t="shared" si="0"/>
        <v>16</v>
      </c>
      <c r="B20" s="407" t="str">
        <f>Prehľad!B22</f>
        <v>KE270MZ</v>
      </c>
      <c r="C20" s="408" t="str">
        <f>Prehľad!C22</f>
        <v>PEUGEOT - BOXER mikrobus</v>
      </c>
      <c r="D20" s="1744" t="s">
        <v>1288</v>
      </c>
      <c r="E20" s="409" t="s">
        <v>74</v>
      </c>
      <c r="F20" s="410" t="s">
        <v>716</v>
      </c>
      <c r="G20" s="411"/>
      <c r="H20" s="412"/>
      <c r="I20" s="413"/>
      <c r="J20" s="414"/>
      <c r="K20" s="415"/>
      <c r="L20" s="429">
        <v>6.4</v>
      </c>
    </row>
    <row r="21" spans="1:12" ht="30" customHeight="1" x14ac:dyDescent="0.25">
      <c r="A21" s="226"/>
      <c r="B21" s="416"/>
      <c r="C21" s="417"/>
      <c r="D21" s="1745"/>
      <c r="E21" s="418"/>
      <c r="F21" s="419"/>
      <c r="G21" s="420"/>
      <c r="H21" s="421"/>
      <c r="I21" s="422"/>
      <c r="J21" s="423"/>
      <c r="K21" s="424"/>
      <c r="L21" s="430"/>
    </row>
    <row r="24" spans="1:12" ht="18" customHeight="1" x14ac:dyDescent="0.25">
      <c r="A24" s="334" t="s">
        <v>190</v>
      </c>
      <c r="F24" s="425"/>
      <c r="G24" s="425" t="s">
        <v>123</v>
      </c>
    </row>
    <row r="25" spans="1:12" ht="18" customHeight="1" x14ac:dyDescent="0.25">
      <c r="A25" s="334"/>
    </row>
    <row r="26" spans="1:12" ht="18" customHeight="1" x14ac:dyDescent="0.25">
      <c r="A26" s="334"/>
    </row>
    <row r="27" spans="1:12" ht="18" customHeight="1" x14ac:dyDescent="0.25">
      <c r="A27" s="334" t="s">
        <v>122</v>
      </c>
      <c r="F27" s="425"/>
      <c r="G27" s="425" t="s">
        <v>123</v>
      </c>
    </row>
    <row r="28" spans="1:12" ht="18" customHeight="1" x14ac:dyDescent="0.25">
      <c r="A28" s="426"/>
    </row>
    <row r="30" spans="1:12" ht="18" customHeight="1" x14ac:dyDescent="0.25">
      <c r="A30" s="334" t="s">
        <v>124</v>
      </c>
      <c r="F30" s="425"/>
      <c r="G30" s="425" t="s">
        <v>123</v>
      </c>
    </row>
  </sheetData>
  <sortState ref="A5:Q20">
    <sortCondition ref="B5:B24"/>
  </sortState>
  <mergeCells count="12">
    <mergeCell ref="L3:L4"/>
    <mergeCell ref="J2:L2"/>
    <mergeCell ref="A1:H1"/>
    <mergeCell ref="I1:L1"/>
    <mergeCell ref="E2:E4"/>
    <mergeCell ref="C2:C4"/>
    <mergeCell ref="B2:B4"/>
    <mergeCell ref="A2:A4"/>
    <mergeCell ref="J3:J4"/>
    <mergeCell ref="K3:K4"/>
    <mergeCell ref="F2:I3"/>
    <mergeCell ref="D2:D4"/>
  </mergeCells>
  <conditionalFormatting sqref="I5:I21">
    <cfRule type="cellIs" dxfId="432" priority="1" operator="lessThan">
      <formula>TODAY()</formula>
    </cfRule>
    <cfRule type="cellIs" dxfId="431" priority="2" operator="lessThan">
      <formula>TODAY()+30</formula>
    </cfRule>
  </conditionalFormatting>
  <printOptions horizontalCentered="1"/>
  <pageMargins left="0.39370078740157483" right="0.39370078740157483" top="0.39370078740157483" bottom="0.39370078740157483" header="0" footer="0"/>
  <pageSetup paperSize="9" scale="5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9">
    <pageSetUpPr fitToPage="1"/>
  </sheetPr>
  <dimension ref="A1:O63"/>
  <sheetViews>
    <sheetView workbookViewId="0">
      <pane ySplit="4" topLeftCell="A22" activePane="bottomLeft" state="frozen"/>
      <selection activeCell="L43" sqref="L43:M43"/>
      <selection pane="bottomLeft" activeCell="L43" sqref="L43:M43"/>
    </sheetView>
  </sheetViews>
  <sheetFormatPr defaultRowHeight="15.75" x14ac:dyDescent="0.25"/>
  <cols>
    <col min="1" max="1" width="12.625" style="52" customWidth="1"/>
    <col min="2" max="2" width="10.75" style="61" customWidth="1"/>
    <col min="3" max="3" width="10.5" style="55" customWidth="1"/>
    <col min="4" max="4" width="9" style="1"/>
    <col min="5" max="5" width="29.75" style="5" customWidth="1"/>
    <col min="6" max="6" width="9.375" style="5" bestFit="1" customWidth="1"/>
    <col min="7" max="7" width="9" style="1"/>
    <col min="8" max="8" width="45.75" style="1" customWidth="1"/>
    <col min="9" max="9" width="10.375" style="1" bestFit="1" customWidth="1"/>
    <col min="10" max="10" width="8.625" style="8" customWidth="1"/>
    <col min="11" max="11" width="8.625" style="1" customWidth="1"/>
    <col min="12" max="12" width="9" style="5"/>
    <col min="13" max="13" width="9" style="61"/>
    <col min="14" max="16384" width="9" style="1"/>
  </cols>
  <sheetData>
    <row r="1" spans="1:15" s="60" customFormat="1" x14ac:dyDescent="0.25">
      <c r="A1" s="2344" t="s">
        <v>47</v>
      </c>
      <c r="B1" s="2344"/>
      <c r="C1" s="2344"/>
      <c r="D1" s="63">
        <v>0.19638019174908034</v>
      </c>
      <c r="E1" s="2345" t="s">
        <v>53</v>
      </c>
      <c r="F1" s="2345"/>
      <c r="G1" s="2345"/>
      <c r="H1" s="82">
        <v>6.7916088258931824</v>
      </c>
      <c r="I1" s="91" t="s">
        <v>66</v>
      </c>
      <c r="J1" s="82"/>
      <c r="K1" s="129">
        <v>38572</v>
      </c>
      <c r="L1" s="240"/>
      <c r="M1" s="236"/>
    </row>
    <row r="2" spans="1:15" s="50" customFormat="1" x14ac:dyDescent="0.25">
      <c r="A2" s="86" t="s">
        <v>24</v>
      </c>
      <c r="B2" s="2346" t="s">
        <v>21</v>
      </c>
      <c r="C2" s="2346"/>
      <c r="D2" s="2347"/>
      <c r="E2" s="87">
        <v>363646</v>
      </c>
      <c r="F2" s="88">
        <v>418394</v>
      </c>
      <c r="G2" s="2348" t="s">
        <v>306</v>
      </c>
      <c r="H2" s="2349"/>
      <c r="I2" s="534">
        <v>12.339480076767188</v>
      </c>
      <c r="J2" s="2350" t="s">
        <v>51</v>
      </c>
      <c r="K2" s="2350" t="s">
        <v>52</v>
      </c>
      <c r="L2" s="2355" t="s">
        <v>102</v>
      </c>
      <c r="M2" s="2358" t="s">
        <v>101</v>
      </c>
    </row>
    <row r="3" spans="1:15" s="85" customFormat="1" ht="16.5" thickBot="1" x14ac:dyDescent="0.3">
      <c r="A3" s="89" t="s">
        <v>60</v>
      </c>
      <c r="B3" s="2361">
        <v>20000</v>
      </c>
      <c r="C3" s="2362"/>
      <c r="D3" s="113" t="s">
        <v>65</v>
      </c>
      <c r="E3" s="114">
        <v>14.075290896646132</v>
      </c>
      <c r="F3" s="115" t="s">
        <v>61</v>
      </c>
      <c r="G3" s="116">
        <v>118.41081501653376</v>
      </c>
      <c r="H3" s="117" t="s">
        <v>62</v>
      </c>
      <c r="I3" s="118">
        <v>4.7801832722266575E-2</v>
      </c>
      <c r="J3" s="2351"/>
      <c r="K3" s="2351"/>
      <c r="L3" s="2356"/>
      <c r="M3" s="2359"/>
    </row>
    <row r="4" spans="1:15" ht="16.5" thickTop="1" x14ac:dyDescent="0.25">
      <c r="A4" s="90" t="s">
        <v>67</v>
      </c>
      <c r="B4" s="62">
        <v>6.7916088258931824</v>
      </c>
      <c r="C4" s="58">
        <v>8.1315299189011481E-2</v>
      </c>
      <c r="D4" s="2363" t="s">
        <v>48</v>
      </c>
      <c r="E4" s="2364"/>
      <c r="F4" s="58">
        <v>5.1446080222108573E-2</v>
      </c>
      <c r="G4" s="2363" t="s">
        <v>50</v>
      </c>
      <c r="H4" s="2364"/>
      <c r="I4" s="59">
        <v>1.581697961569372E-2</v>
      </c>
      <c r="J4" s="2352"/>
      <c r="K4" s="2352"/>
      <c r="L4" s="2357"/>
      <c r="M4" s="2360"/>
      <c r="N4" s="54">
        <v>1.1972906755023172</v>
      </c>
    </row>
    <row r="5" spans="1:15" x14ac:dyDescent="0.25">
      <c r="A5" s="64">
        <v>42643</v>
      </c>
      <c r="B5" s="65">
        <v>149.97999999999999</v>
      </c>
      <c r="C5" s="66">
        <v>177.01</v>
      </c>
      <c r="D5" s="67"/>
      <c r="E5" s="68" t="s">
        <v>49</v>
      </c>
      <c r="F5" s="66">
        <v>0</v>
      </c>
      <c r="G5" s="69">
        <v>42684</v>
      </c>
      <c r="H5" s="68" t="s">
        <v>95</v>
      </c>
      <c r="I5" s="70">
        <v>69.260000000000005</v>
      </c>
      <c r="J5" s="122">
        <v>7.0000000000000007E-2</v>
      </c>
      <c r="K5" s="123">
        <v>6.08</v>
      </c>
      <c r="L5" s="241"/>
      <c r="M5" s="237"/>
      <c r="N5" s="51">
        <v>1.1802240298706494</v>
      </c>
      <c r="O5" s="51">
        <v>-1.706664563166771E-2</v>
      </c>
    </row>
    <row r="6" spans="1:15" x14ac:dyDescent="0.25">
      <c r="A6" s="71">
        <v>42674</v>
      </c>
      <c r="B6" s="72">
        <v>78.319999999999993</v>
      </c>
      <c r="C6" s="73">
        <v>88.82</v>
      </c>
      <c r="D6" s="147"/>
      <c r="E6" s="75"/>
      <c r="F6" s="73"/>
      <c r="G6" s="234">
        <v>42716</v>
      </c>
      <c r="H6" s="75" t="s">
        <v>99</v>
      </c>
      <c r="I6" s="76">
        <v>21.82</v>
      </c>
      <c r="J6" s="124">
        <v>0.09</v>
      </c>
      <c r="K6" s="125">
        <v>6.12</v>
      </c>
      <c r="L6" s="242"/>
      <c r="M6" s="238"/>
      <c r="N6" s="51">
        <v>1.1340653728294179</v>
      </c>
      <c r="O6" s="51">
        <v>-6.3225302672899275E-2</v>
      </c>
    </row>
    <row r="7" spans="1:15" x14ac:dyDescent="0.25">
      <c r="A7" s="71">
        <v>42704</v>
      </c>
      <c r="B7" s="72">
        <v>96.66</v>
      </c>
      <c r="C7" s="73">
        <v>105.94</v>
      </c>
      <c r="D7" s="147"/>
      <c r="E7" s="75"/>
      <c r="F7" s="73"/>
      <c r="G7" s="234">
        <v>42710</v>
      </c>
      <c r="H7" s="75" t="s">
        <v>95</v>
      </c>
      <c r="I7" s="76">
        <v>20.2</v>
      </c>
      <c r="J7" s="124">
        <v>0.08</v>
      </c>
      <c r="K7" s="125">
        <v>6.09</v>
      </c>
      <c r="L7" s="242"/>
      <c r="M7" s="238"/>
      <c r="N7" s="51">
        <v>1.096006621146286</v>
      </c>
      <c r="O7" s="51">
        <v>-0.10128405435603116</v>
      </c>
    </row>
    <row r="8" spans="1:15" x14ac:dyDescent="0.25">
      <c r="A8" s="71">
        <v>42735</v>
      </c>
      <c r="B8" s="72">
        <v>54.08</v>
      </c>
      <c r="C8" s="73">
        <v>59.99</v>
      </c>
      <c r="D8" s="147"/>
      <c r="E8" s="75"/>
      <c r="F8" s="73"/>
      <c r="G8" s="234">
        <v>42710</v>
      </c>
      <c r="H8" s="75" t="s">
        <v>100</v>
      </c>
      <c r="I8" s="76">
        <v>-69.260000000000005</v>
      </c>
      <c r="J8" s="124">
        <v>0.09</v>
      </c>
      <c r="K8" s="125">
        <v>6.1</v>
      </c>
      <c r="L8" s="242"/>
      <c r="M8" s="238"/>
      <c r="N8" s="51">
        <v>1.1092825443786982</v>
      </c>
      <c r="O8" s="51">
        <v>-8.8008131123618938E-2</v>
      </c>
    </row>
    <row r="9" spans="1:15" x14ac:dyDescent="0.25">
      <c r="A9" s="71">
        <v>42766</v>
      </c>
      <c r="B9" s="72">
        <v>0</v>
      </c>
      <c r="C9" s="73">
        <v>0</v>
      </c>
      <c r="D9" s="147">
        <v>42880</v>
      </c>
      <c r="E9" s="75" t="s">
        <v>140</v>
      </c>
      <c r="F9" s="73">
        <v>1188.82</v>
      </c>
      <c r="G9" s="234">
        <v>42810</v>
      </c>
      <c r="H9" s="75" t="s">
        <v>130</v>
      </c>
      <c r="I9" s="76">
        <v>20.2</v>
      </c>
      <c r="J9" s="124">
        <v>0.08</v>
      </c>
      <c r="K9" s="125">
        <v>6.1</v>
      </c>
      <c r="L9" s="242">
        <v>0</v>
      </c>
      <c r="M9" s="238">
        <v>54.6</v>
      </c>
      <c r="N9" s="51" t="e">
        <v>#DIV/0!</v>
      </c>
      <c r="O9" s="51" t="e">
        <v>#DIV/0!</v>
      </c>
    </row>
    <row r="10" spans="1:15" x14ac:dyDescent="0.25">
      <c r="A10" s="71">
        <v>42794</v>
      </c>
      <c r="B10" s="72">
        <v>125</v>
      </c>
      <c r="C10" s="73">
        <v>143.35</v>
      </c>
      <c r="D10" s="147">
        <v>43054</v>
      </c>
      <c r="E10" s="75" t="s">
        <v>177</v>
      </c>
      <c r="F10" s="73">
        <v>210.89</v>
      </c>
      <c r="G10" s="234">
        <v>42815</v>
      </c>
      <c r="H10" s="75" t="s">
        <v>132</v>
      </c>
      <c r="I10" s="76">
        <v>16.62</v>
      </c>
      <c r="J10" s="124">
        <v>0.08</v>
      </c>
      <c r="K10" s="125">
        <v>6.27</v>
      </c>
      <c r="L10" s="242">
        <v>1828</v>
      </c>
      <c r="M10" s="238">
        <v>40.6</v>
      </c>
      <c r="N10" s="51">
        <v>1.1468</v>
      </c>
      <c r="O10" s="51">
        <v>-5.0490675502317117E-2</v>
      </c>
    </row>
    <row r="11" spans="1:15" x14ac:dyDescent="0.25">
      <c r="A11" s="71">
        <v>42825</v>
      </c>
      <c r="B11" s="72">
        <v>68.05</v>
      </c>
      <c r="C11" s="73">
        <v>78.38</v>
      </c>
      <c r="D11" s="147"/>
      <c r="E11" s="75"/>
      <c r="F11" s="73"/>
      <c r="G11" s="234">
        <v>43008</v>
      </c>
      <c r="H11" s="75" t="s">
        <v>160</v>
      </c>
      <c r="I11" s="76">
        <v>20.2</v>
      </c>
      <c r="J11" s="124">
        <v>0.08</v>
      </c>
      <c r="K11" s="125">
        <v>6.34</v>
      </c>
      <c r="L11" s="242">
        <v>977</v>
      </c>
      <c r="M11" s="238">
        <v>53.55</v>
      </c>
      <c r="N11" s="51">
        <v>1.1518001469507715</v>
      </c>
      <c r="O11" s="51">
        <v>-4.5490528551545673E-2</v>
      </c>
    </row>
    <row r="12" spans="1:15" x14ac:dyDescent="0.25">
      <c r="A12" s="71">
        <v>42855</v>
      </c>
      <c r="B12" s="72">
        <v>162.74</v>
      </c>
      <c r="C12" s="73">
        <v>188.14</v>
      </c>
      <c r="D12" s="147">
        <v>43145</v>
      </c>
      <c r="E12" s="75" t="s">
        <v>282</v>
      </c>
      <c r="F12" s="347">
        <v>499.98</v>
      </c>
      <c r="G12" s="234">
        <v>43101</v>
      </c>
      <c r="H12" s="75" t="s">
        <v>199</v>
      </c>
      <c r="I12" s="76">
        <v>20.2</v>
      </c>
      <c r="J12" s="124">
        <v>0.08</v>
      </c>
      <c r="K12" s="125">
        <v>6.45</v>
      </c>
      <c r="L12" s="242">
        <v>2134</v>
      </c>
      <c r="M12" s="238">
        <v>54.81</v>
      </c>
      <c r="N12" s="51">
        <v>1.1560771783212485</v>
      </c>
      <c r="O12" s="51">
        <v>-4.1213497181068703E-2</v>
      </c>
    </row>
    <row r="13" spans="1:15" x14ac:dyDescent="0.25">
      <c r="A13" s="71">
        <v>42886</v>
      </c>
      <c r="B13" s="72">
        <v>141.53</v>
      </c>
      <c r="C13" s="73">
        <v>160.47999999999999</v>
      </c>
      <c r="D13" s="345">
        <v>43241</v>
      </c>
      <c r="E13" s="346" t="s">
        <v>359</v>
      </c>
      <c r="F13" s="347">
        <v>39.130000000000003</v>
      </c>
      <c r="G13" s="234">
        <v>43125</v>
      </c>
      <c r="H13" s="75" t="s">
        <v>206</v>
      </c>
      <c r="I13" s="76">
        <v>50</v>
      </c>
      <c r="J13" s="124">
        <v>0.17</v>
      </c>
      <c r="K13" s="125">
        <v>6.51</v>
      </c>
      <c r="L13" s="242">
        <v>2060</v>
      </c>
      <c r="M13" s="238">
        <v>41.53</v>
      </c>
      <c r="N13" s="51">
        <v>1.1338938740902988</v>
      </c>
      <c r="O13" s="51">
        <v>-6.3396801412018311E-2</v>
      </c>
    </row>
    <row r="14" spans="1:15" x14ac:dyDescent="0.25">
      <c r="A14" s="71">
        <v>42916</v>
      </c>
      <c r="B14" s="72">
        <v>218.4</v>
      </c>
      <c r="C14" s="73">
        <v>238.89</v>
      </c>
      <c r="D14" s="147"/>
      <c r="E14" s="75"/>
      <c r="F14" s="73"/>
      <c r="G14" s="234">
        <v>43129</v>
      </c>
      <c r="H14" s="75" t="s">
        <v>212</v>
      </c>
      <c r="I14" s="76">
        <v>49.5</v>
      </c>
      <c r="J14" s="124">
        <v>0.15</v>
      </c>
      <c r="K14" s="125">
        <v>6.59</v>
      </c>
      <c r="L14" s="242">
        <v>3160</v>
      </c>
      <c r="M14" s="238">
        <v>44.88</v>
      </c>
      <c r="N14" s="51">
        <v>1.0938186813186812</v>
      </c>
      <c r="O14" s="51">
        <v>-0.10347199418363595</v>
      </c>
    </row>
    <row r="15" spans="1:15" x14ac:dyDescent="0.25">
      <c r="A15" s="71">
        <v>42947</v>
      </c>
      <c r="B15" s="72">
        <v>68.63</v>
      </c>
      <c r="C15" s="73">
        <v>74.03</v>
      </c>
      <c r="D15" s="147"/>
      <c r="E15" s="75"/>
      <c r="F15" s="73"/>
      <c r="G15" s="234">
        <v>43191</v>
      </c>
      <c r="H15" s="75" t="s">
        <v>301</v>
      </c>
      <c r="I15" s="76">
        <v>20.2</v>
      </c>
      <c r="J15" s="124">
        <v>0.15</v>
      </c>
      <c r="K15" s="125">
        <v>6.61</v>
      </c>
      <c r="L15" s="242">
        <v>984</v>
      </c>
      <c r="M15" s="238">
        <v>45.26</v>
      </c>
      <c r="N15" s="51">
        <v>1.0786827917820196</v>
      </c>
      <c r="O15" s="51">
        <v>-0.11860788372029751</v>
      </c>
    </row>
    <row r="16" spans="1:15" x14ac:dyDescent="0.25">
      <c r="A16" s="71">
        <v>42978</v>
      </c>
      <c r="B16" s="72">
        <v>2.87</v>
      </c>
      <c r="C16" s="73">
        <v>3.1</v>
      </c>
      <c r="D16" s="147"/>
      <c r="E16" s="75"/>
      <c r="F16" s="73"/>
      <c r="G16" s="234">
        <v>43251</v>
      </c>
      <c r="H16" s="75" t="s">
        <v>366</v>
      </c>
      <c r="I16" s="76">
        <v>40</v>
      </c>
      <c r="J16" s="124">
        <v>0.15</v>
      </c>
      <c r="K16" s="125">
        <v>6.61</v>
      </c>
      <c r="L16" s="242">
        <v>35</v>
      </c>
      <c r="M16" s="238">
        <v>53.39</v>
      </c>
      <c r="N16" s="51">
        <v>1.0801393728222997</v>
      </c>
      <c r="O16" s="51">
        <v>-0.1171513026800175</v>
      </c>
    </row>
    <row r="17" spans="1:15" x14ac:dyDescent="0.25">
      <c r="A17" s="71">
        <v>43008</v>
      </c>
      <c r="B17" s="72">
        <v>79.459999999999994</v>
      </c>
      <c r="C17" s="73">
        <v>87.7</v>
      </c>
      <c r="D17" s="147"/>
      <c r="E17" s="75"/>
      <c r="F17" s="73"/>
      <c r="G17" s="234">
        <v>43282</v>
      </c>
      <c r="H17" s="75" t="s">
        <v>370</v>
      </c>
      <c r="I17" s="76">
        <v>20.2</v>
      </c>
      <c r="J17" s="124">
        <v>0.14000000000000001</v>
      </c>
      <c r="K17" s="125">
        <v>6.65</v>
      </c>
      <c r="L17" s="242">
        <v>1087</v>
      </c>
      <c r="M17" s="238">
        <v>54.93</v>
      </c>
      <c r="N17" s="51">
        <v>1.1036999748301033</v>
      </c>
      <c r="O17" s="51">
        <v>-9.3590700672213867E-2</v>
      </c>
    </row>
    <row r="18" spans="1:15" ht="16.5" thickBot="1" x14ac:dyDescent="0.3">
      <c r="A18" s="71">
        <v>43039</v>
      </c>
      <c r="B18" s="72">
        <v>302.45</v>
      </c>
      <c r="C18" s="73">
        <v>341.4</v>
      </c>
      <c r="D18" s="147"/>
      <c r="E18" s="75"/>
      <c r="F18" s="73"/>
      <c r="G18" s="234">
        <v>43277</v>
      </c>
      <c r="H18" s="75" t="s">
        <v>371</v>
      </c>
      <c r="I18" s="76">
        <v>13</v>
      </c>
      <c r="J18" s="359">
        <v>0.14000000000000001</v>
      </c>
      <c r="K18" s="125">
        <v>6.69</v>
      </c>
      <c r="L18" s="242">
        <v>4419</v>
      </c>
      <c r="M18" s="238">
        <v>49.48</v>
      </c>
      <c r="N18" s="51">
        <v>1.1287816167961646</v>
      </c>
      <c r="O18" s="51">
        <v>-6.8509058706152537E-2</v>
      </c>
    </row>
    <row r="19" spans="1:15" ht="16.5" thickTop="1" x14ac:dyDescent="0.25">
      <c r="A19" s="71">
        <v>43069</v>
      </c>
      <c r="B19" s="72">
        <v>231.57</v>
      </c>
      <c r="C19" s="73">
        <v>271.08</v>
      </c>
      <c r="D19" s="147"/>
      <c r="E19" s="75"/>
      <c r="F19" s="73"/>
      <c r="G19" s="763">
        <v>43221</v>
      </c>
      <c r="H19" s="75" t="s">
        <v>354</v>
      </c>
      <c r="I19" s="76">
        <v>5.4959999999999996</v>
      </c>
      <c r="J19" s="360">
        <v>0.18</v>
      </c>
      <c r="K19" s="125">
        <v>6.71</v>
      </c>
      <c r="L19" s="242">
        <v>3368</v>
      </c>
      <c r="M19" s="238">
        <v>25.92</v>
      </c>
      <c r="N19" s="51">
        <v>1.1706179556937426</v>
      </c>
      <c r="O19" s="51">
        <v>-2.6672719808574552E-2</v>
      </c>
    </row>
    <row r="20" spans="1:15" x14ac:dyDescent="0.25">
      <c r="A20" s="71">
        <v>43100</v>
      </c>
      <c r="B20" s="72">
        <v>108.35</v>
      </c>
      <c r="C20" s="73">
        <v>126.06</v>
      </c>
      <c r="D20" s="147"/>
      <c r="E20" s="75"/>
      <c r="F20" s="380"/>
      <c r="G20" s="234">
        <v>43374</v>
      </c>
      <c r="H20" s="75" t="s">
        <v>426</v>
      </c>
      <c r="I20" s="76">
        <v>20.2</v>
      </c>
      <c r="J20" s="361">
        <v>0.18</v>
      </c>
      <c r="K20" s="125">
        <v>6.72</v>
      </c>
      <c r="L20" s="242">
        <v>1571</v>
      </c>
      <c r="M20" s="238">
        <v>50.57</v>
      </c>
      <c r="N20" s="51">
        <v>1.1634517766497463</v>
      </c>
      <c r="O20" s="51">
        <v>-3.3838898852570853E-2</v>
      </c>
    </row>
    <row r="21" spans="1:15" x14ac:dyDescent="0.25">
      <c r="A21" s="71">
        <v>43131</v>
      </c>
      <c r="B21" s="72">
        <v>81.59</v>
      </c>
      <c r="C21" s="73">
        <v>96.87</v>
      </c>
      <c r="D21" s="345">
        <v>43356</v>
      </c>
      <c r="E21" s="346" t="s">
        <v>417</v>
      </c>
      <c r="F21" s="347">
        <v>735.61</v>
      </c>
      <c r="G21" s="763">
        <v>43343</v>
      </c>
      <c r="H21" s="75" t="s">
        <v>354</v>
      </c>
      <c r="I21" s="76">
        <v>5.4959999999999996</v>
      </c>
      <c r="J21" s="361">
        <v>0.2</v>
      </c>
      <c r="K21" s="125">
        <v>6.75</v>
      </c>
      <c r="L21" s="242">
        <v>1119</v>
      </c>
      <c r="M21" s="238">
        <v>52.83</v>
      </c>
      <c r="N21" s="51">
        <v>1.1872778526780243</v>
      </c>
      <c r="O21" s="51">
        <v>-1.0012822824292833E-2</v>
      </c>
    </row>
    <row r="22" spans="1:15" x14ac:dyDescent="0.25">
      <c r="A22" s="71">
        <v>43159</v>
      </c>
      <c r="B22" s="72">
        <v>103</v>
      </c>
      <c r="C22" s="73">
        <v>121.09</v>
      </c>
      <c r="D22" s="147">
        <v>43395</v>
      </c>
      <c r="E22" s="75" t="s">
        <v>456</v>
      </c>
      <c r="F22" s="347">
        <v>41.95</v>
      </c>
      <c r="G22" s="234">
        <v>43466</v>
      </c>
      <c r="H22" s="75" t="s">
        <v>475</v>
      </c>
      <c r="I22" s="76">
        <v>20.2</v>
      </c>
      <c r="J22" s="361">
        <v>0.2</v>
      </c>
      <c r="K22" s="125">
        <v>6.77</v>
      </c>
      <c r="L22" s="242">
        <v>1397</v>
      </c>
      <c r="M22" s="238">
        <v>49.83</v>
      </c>
      <c r="N22" s="51">
        <v>1.175631067961165</v>
      </c>
      <c r="O22" s="51">
        <v>-2.1659607541152148E-2</v>
      </c>
    </row>
    <row r="23" spans="1:15" x14ac:dyDescent="0.25">
      <c r="A23" s="381">
        <v>43190</v>
      </c>
      <c r="B23" s="382">
        <v>121.14</v>
      </c>
      <c r="C23" s="383">
        <v>141.87</v>
      </c>
      <c r="D23" s="851">
        <v>43451</v>
      </c>
      <c r="E23" s="852" t="s">
        <v>488</v>
      </c>
      <c r="F23" s="853">
        <v>100.19</v>
      </c>
      <c r="G23" s="386">
        <v>43475</v>
      </c>
      <c r="H23" s="385" t="s">
        <v>486</v>
      </c>
      <c r="I23" s="387">
        <v>50</v>
      </c>
      <c r="J23" s="361">
        <v>0.19</v>
      </c>
      <c r="K23" s="125">
        <v>6.79</v>
      </c>
      <c r="L23" s="388">
        <v>1725</v>
      </c>
      <c r="M23" s="348">
        <v>55.19</v>
      </c>
      <c r="N23" s="51">
        <v>1.1711243189697871</v>
      </c>
      <c r="O23" s="51">
        <v>-2.6166356532530077E-2</v>
      </c>
    </row>
    <row r="24" spans="1:15" x14ac:dyDescent="0.25">
      <c r="A24" s="381">
        <v>43220</v>
      </c>
      <c r="B24" s="382">
        <v>202.12</v>
      </c>
      <c r="C24" s="383">
        <v>240.82</v>
      </c>
      <c r="D24" s="384"/>
      <c r="E24" s="385"/>
      <c r="F24" s="389"/>
      <c r="G24" s="917">
        <v>43434</v>
      </c>
      <c r="H24" s="831" t="s">
        <v>510</v>
      </c>
      <c r="I24" s="837">
        <v>13.4</v>
      </c>
      <c r="J24" s="361">
        <v>0.19</v>
      </c>
      <c r="K24" s="125">
        <v>6.81</v>
      </c>
      <c r="L24" s="388">
        <v>2875</v>
      </c>
      <c r="M24" s="348">
        <v>35.57</v>
      </c>
      <c r="N24" s="51">
        <v>1.1914704136156737</v>
      </c>
      <c r="O24" s="51">
        <v>-5.8202618866434186E-3</v>
      </c>
    </row>
    <row r="25" spans="1:15" x14ac:dyDescent="0.25">
      <c r="A25" s="381">
        <v>43251</v>
      </c>
      <c r="B25" s="382">
        <v>198.47</v>
      </c>
      <c r="C25" s="383">
        <v>250.63</v>
      </c>
      <c r="D25" s="384"/>
      <c r="E25" s="385"/>
      <c r="F25" s="389"/>
      <c r="G25" s="234">
        <v>43480</v>
      </c>
      <c r="H25" s="75" t="s">
        <v>513</v>
      </c>
      <c r="I25" s="76">
        <v>8.4</v>
      </c>
      <c r="J25" s="361">
        <v>0.19</v>
      </c>
      <c r="K25" s="125">
        <v>6.83</v>
      </c>
      <c r="L25" s="388">
        <v>2816</v>
      </c>
      <c r="M25" s="348">
        <v>50.6</v>
      </c>
      <c r="N25" s="51">
        <v>1.2628105003275054</v>
      </c>
      <c r="O25" s="51">
        <v>6.5519824825188255E-2</v>
      </c>
    </row>
    <row r="26" spans="1:15" x14ac:dyDescent="0.25">
      <c r="A26" s="381">
        <v>43281</v>
      </c>
      <c r="B26" s="382">
        <v>259.57</v>
      </c>
      <c r="C26" s="383">
        <v>346.22</v>
      </c>
      <c r="D26" s="384"/>
      <c r="E26" s="385"/>
      <c r="F26" s="389"/>
      <c r="G26" s="431">
        <v>43480</v>
      </c>
      <c r="H26" s="346" t="s">
        <v>514</v>
      </c>
      <c r="I26" s="390">
        <v>335.12</v>
      </c>
      <c r="J26" s="361">
        <v>0.18</v>
      </c>
      <c r="K26" s="125">
        <v>6.84</v>
      </c>
      <c r="L26" s="388">
        <v>3729</v>
      </c>
      <c r="M26" s="348">
        <v>48.13</v>
      </c>
      <c r="N26" s="51">
        <v>1.3338213198751783</v>
      </c>
      <c r="O26" s="51">
        <v>0.13653064437286111</v>
      </c>
    </row>
    <row r="27" spans="1:15" x14ac:dyDescent="0.25">
      <c r="A27" s="381">
        <v>43312</v>
      </c>
      <c r="B27" s="382">
        <v>22.48</v>
      </c>
      <c r="C27" s="383">
        <v>30.11</v>
      </c>
      <c r="D27" s="384"/>
      <c r="E27" s="385"/>
      <c r="F27" s="389"/>
      <c r="G27" s="234">
        <v>43528</v>
      </c>
      <c r="H27" s="75" t="s">
        <v>561</v>
      </c>
      <c r="I27" s="76">
        <v>8.4</v>
      </c>
      <c r="J27" s="361">
        <v>0.18</v>
      </c>
      <c r="K27" s="125">
        <v>6.84</v>
      </c>
      <c r="L27" s="388">
        <v>321</v>
      </c>
      <c r="M27" s="348">
        <v>51.15</v>
      </c>
      <c r="N27" s="51">
        <v>1.3394128113879002</v>
      </c>
      <c r="O27" s="51">
        <v>0.14212213588558309</v>
      </c>
    </row>
    <row r="28" spans="1:15" x14ac:dyDescent="0.25">
      <c r="A28" s="381">
        <v>43342</v>
      </c>
      <c r="B28" s="382">
        <v>19.760000000000002</v>
      </c>
      <c r="C28" s="383">
        <v>26.92</v>
      </c>
      <c r="D28" s="384"/>
      <c r="E28" s="385"/>
      <c r="F28" s="389"/>
      <c r="G28" s="234">
        <v>43556</v>
      </c>
      <c r="H28" s="75" t="s">
        <v>578</v>
      </c>
      <c r="I28" s="76">
        <v>20.2</v>
      </c>
      <c r="J28" s="361">
        <v>0.2</v>
      </c>
      <c r="K28" s="125">
        <v>6.85</v>
      </c>
      <c r="L28" s="388">
        <v>241</v>
      </c>
      <c r="M28" s="348">
        <v>49.89</v>
      </c>
      <c r="N28" s="51">
        <v>1.3623481781376519</v>
      </c>
      <c r="O28" s="51">
        <v>0.1650575026353347</v>
      </c>
    </row>
    <row r="29" spans="1:15" x14ac:dyDescent="0.25">
      <c r="A29" s="381">
        <v>43373</v>
      </c>
      <c r="B29" s="382">
        <v>59.65</v>
      </c>
      <c r="C29" s="383">
        <v>80.22</v>
      </c>
      <c r="D29" s="384"/>
      <c r="E29" s="385"/>
      <c r="F29" s="389"/>
      <c r="G29" s="917">
        <v>43524</v>
      </c>
      <c r="H29" s="831" t="s">
        <v>510</v>
      </c>
      <c r="I29" s="837">
        <v>13</v>
      </c>
      <c r="J29" s="361">
        <v>0.2</v>
      </c>
      <c r="K29" s="125">
        <v>6.86</v>
      </c>
      <c r="L29" s="388">
        <v>794</v>
      </c>
      <c r="M29" s="348">
        <v>50.24</v>
      </c>
      <c r="N29" s="51">
        <v>1.3448449287510478</v>
      </c>
      <c r="O29" s="51">
        <v>0.14755425324873062</v>
      </c>
    </row>
    <row r="30" spans="1:15" x14ac:dyDescent="0.25">
      <c r="A30" s="381">
        <v>43404</v>
      </c>
      <c r="B30" s="382">
        <v>246.99</v>
      </c>
      <c r="C30" s="383">
        <v>326.70999999999998</v>
      </c>
      <c r="D30" s="384"/>
      <c r="E30" s="385"/>
      <c r="F30" s="389"/>
      <c r="G30" s="763">
        <v>43555</v>
      </c>
      <c r="H30" s="75" t="s">
        <v>354</v>
      </c>
      <c r="I30" s="76">
        <v>5.4959999999999996</v>
      </c>
      <c r="J30" s="361">
        <v>0.2</v>
      </c>
      <c r="K30" s="125">
        <v>6.87</v>
      </c>
      <c r="L30" s="388">
        <v>3539</v>
      </c>
      <c r="M30" s="348">
        <v>246.99</v>
      </c>
      <c r="N30" s="51">
        <v>1.3227661038908456</v>
      </c>
      <c r="O30" s="51">
        <v>0.12547542838852843</v>
      </c>
    </row>
    <row r="31" spans="1:15" x14ac:dyDescent="0.25">
      <c r="A31" s="381">
        <v>43434</v>
      </c>
      <c r="B31" s="382">
        <v>213.34</v>
      </c>
      <c r="C31" s="383">
        <v>276.70999999999998</v>
      </c>
      <c r="D31" s="384"/>
      <c r="E31" s="385"/>
      <c r="F31" s="389"/>
      <c r="G31" s="431">
        <v>43563</v>
      </c>
      <c r="H31" s="346" t="s">
        <v>607</v>
      </c>
      <c r="I31" s="390">
        <v>8.4</v>
      </c>
      <c r="J31" s="361">
        <v>0.19</v>
      </c>
      <c r="K31" s="125">
        <v>6.87</v>
      </c>
      <c r="L31" s="388">
        <v>3070</v>
      </c>
      <c r="M31" s="348">
        <v>31.64</v>
      </c>
      <c r="N31" s="51">
        <v>1.297037592575232</v>
      </c>
      <c r="O31" s="51">
        <v>9.9746917072914831E-2</v>
      </c>
    </row>
    <row r="32" spans="1:15" x14ac:dyDescent="0.25">
      <c r="A32" s="381">
        <v>43465</v>
      </c>
      <c r="B32" s="382">
        <v>115.94</v>
      </c>
      <c r="C32" s="383">
        <v>143.01</v>
      </c>
      <c r="D32" s="384"/>
      <c r="E32" s="385"/>
      <c r="F32" s="389"/>
      <c r="G32" s="234">
        <v>43588</v>
      </c>
      <c r="H32" s="75" t="s">
        <v>662</v>
      </c>
      <c r="I32" s="76">
        <v>40</v>
      </c>
      <c r="J32" s="361">
        <v>0.19</v>
      </c>
      <c r="K32" s="125">
        <v>6.88</v>
      </c>
      <c r="L32" s="388">
        <v>1662</v>
      </c>
      <c r="M32" s="348">
        <v>54.45</v>
      </c>
      <c r="N32" s="51">
        <v>1.233482835949629</v>
      </c>
      <c r="O32" s="51">
        <v>3.6192160447311883E-2</v>
      </c>
    </row>
    <row r="33" spans="1:15" x14ac:dyDescent="0.25">
      <c r="A33" s="381">
        <v>43496</v>
      </c>
      <c r="B33" s="382">
        <v>105.6</v>
      </c>
      <c r="C33" s="383">
        <v>128.04</v>
      </c>
      <c r="D33" s="384"/>
      <c r="E33" s="385"/>
      <c r="F33" s="389"/>
      <c r="G33" s="234">
        <v>43647</v>
      </c>
      <c r="H33" s="75" t="s">
        <v>762</v>
      </c>
      <c r="I33" s="76">
        <v>20.02</v>
      </c>
      <c r="J33" s="361">
        <v>0.19</v>
      </c>
      <c r="K33" s="125">
        <v>6.85</v>
      </c>
      <c r="L33" s="388">
        <v>1701</v>
      </c>
      <c r="M33" s="348">
        <v>52</v>
      </c>
      <c r="N33" s="51">
        <v>1.2124999999999999</v>
      </c>
      <c r="O33" s="51">
        <v>1.5209324497682752E-2</v>
      </c>
    </row>
    <row r="34" spans="1:15" x14ac:dyDescent="0.25">
      <c r="A34" s="381">
        <v>43524</v>
      </c>
      <c r="B34" s="382">
        <v>24.45</v>
      </c>
      <c r="C34" s="383">
        <v>29.64</v>
      </c>
      <c r="D34" s="384"/>
      <c r="E34" s="385"/>
      <c r="F34" s="389"/>
      <c r="G34" s="234">
        <v>43739</v>
      </c>
      <c r="H34" s="75" t="s">
        <v>771</v>
      </c>
      <c r="I34" s="76">
        <v>20.02</v>
      </c>
      <c r="J34" s="361">
        <v>0.2</v>
      </c>
      <c r="K34" s="125">
        <v>6.83</v>
      </c>
      <c r="L34" s="388">
        <v>511</v>
      </c>
      <c r="M34" s="348">
        <v>38</v>
      </c>
      <c r="N34" s="51">
        <v>1.2122699386503069</v>
      </c>
      <c r="O34" s="51">
        <v>1.4979263147989696E-2</v>
      </c>
    </row>
    <row r="35" spans="1:15" x14ac:dyDescent="0.25">
      <c r="A35" s="381">
        <v>43555</v>
      </c>
      <c r="B35" s="382">
        <v>36.08</v>
      </c>
      <c r="C35" s="383">
        <v>44.15</v>
      </c>
      <c r="D35" s="384"/>
      <c r="E35" s="385"/>
      <c r="F35" s="389"/>
      <c r="G35" s="234">
        <v>43739</v>
      </c>
      <c r="H35" s="75" t="s">
        <v>772</v>
      </c>
      <c r="I35" s="76">
        <v>-20.02</v>
      </c>
      <c r="J35" s="361">
        <v>0.2</v>
      </c>
      <c r="K35" s="125">
        <v>6.85</v>
      </c>
      <c r="L35" s="388">
        <v>436</v>
      </c>
      <c r="M35" s="348">
        <v>52</v>
      </c>
      <c r="N35" s="51">
        <v>1.2236696230598669</v>
      </c>
      <c r="O35" s="51">
        <v>2.637894755754977E-2</v>
      </c>
    </row>
    <row r="36" spans="1:15" x14ac:dyDescent="0.25">
      <c r="A36" s="381">
        <v>43585</v>
      </c>
      <c r="B36" s="382">
        <v>36</v>
      </c>
      <c r="C36" s="383">
        <v>44.05</v>
      </c>
      <c r="D36" s="384"/>
      <c r="E36" s="385"/>
      <c r="F36" s="389"/>
      <c r="G36" s="234">
        <v>43647</v>
      </c>
      <c r="H36" s="75" t="s">
        <v>774</v>
      </c>
      <c r="I36" s="76">
        <v>-20.02</v>
      </c>
      <c r="J36" s="361">
        <v>0.2</v>
      </c>
      <c r="K36" s="125">
        <v>6.82</v>
      </c>
      <c r="L36" s="388">
        <v>731</v>
      </c>
      <c r="M36" s="348">
        <v>16</v>
      </c>
      <c r="N36" s="51">
        <v>1.223611111111111</v>
      </c>
      <c r="O36" s="51">
        <v>2.6320435608793824E-2</v>
      </c>
    </row>
    <row r="37" spans="1:15" x14ac:dyDescent="0.25">
      <c r="A37" s="381">
        <v>43616</v>
      </c>
      <c r="B37" s="382">
        <v>-16</v>
      </c>
      <c r="C37" s="383">
        <v>-19.579999999999998</v>
      </c>
      <c r="D37" s="384"/>
      <c r="E37" s="385"/>
      <c r="F37" s="389"/>
      <c r="G37" s="386"/>
      <c r="H37" s="385"/>
      <c r="I37" s="387"/>
      <c r="J37" s="361">
        <v>0.2</v>
      </c>
      <c r="K37" s="125">
        <v>6.79</v>
      </c>
      <c r="L37" s="388">
        <v>0</v>
      </c>
      <c r="M37" s="348">
        <v>0</v>
      </c>
      <c r="N37" s="51">
        <v>1.2237499999999999</v>
      </c>
      <c r="O37" s="51">
        <v>2.6459324497682735E-2</v>
      </c>
    </row>
    <row r="38" spans="1:15" x14ac:dyDescent="0.25">
      <c r="A38" s="381"/>
      <c r="B38" s="382"/>
      <c r="C38" s="383"/>
      <c r="D38" s="384"/>
      <c r="E38" s="385"/>
      <c r="F38" s="389"/>
      <c r="G38" s="386"/>
      <c r="H38" s="385"/>
      <c r="I38" s="387"/>
      <c r="J38" s="361">
        <v>0.19638019174908034</v>
      </c>
      <c r="K38" s="125">
        <v>6.7916088258931824</v>
      </c>
      <c r="L38" s="388"/>
      <c r="M38" s="348"/>
      <c r="N38" s="51" t="e">
        <v>#DIV/0!</v>
      </c>
      <c r="O38" s="51" t="e">
        <v>#DIV/0!</v>
      </c>
    </row>
    <row r="39" spans="1:15" x14ac:dyDescent="0.25">
      <c r="A39" s="381"/>
      <c r="B39" s="382"/>
      <c r="C39" s="383"/>
      <c r="D39" s="384"/>
      <c r="E39" s="385"/>
      <c r="F39" s="389"/>
      <c r="G39" s="386"/>
      <c r="H39" s="385"/>
      <c r="I39" s="387"/>
      <c r="J39" s="361">
        <v>0.19638019174908034</v>
      </c>
      <c r="K39" s="125">
        <v>6.7916088258931824</v>
      </c>
      <c r="L39" s="388"/>
      <c r="M39" s="348"/>
      <c r="N39" s="51" t="e">
        <v>#DIV/0!</v>
      </c>
      <c r="O39" s="51" t="e">
        <v>#DIV/0!</v>
      </c>
    </row>
    <row r="40" spans="1:15" x14ac:dyDescent="0.25">
      <c r="A40" s="381"/>
      <c r="B40" s="382"/>
      <c r="C40" s="383"/>
      <c r="D40" s="384"/>
      <c r="E40" s="385"/>
      <c r="F40" s="389"/>
      <c r="G40" s="386"/>
      <c r="H40" s="385"/>
      <c r="I40" s="387"/>
      <c r="J40" s="361">
        <v>0.19638019174908034</v>
      </c>
      <c r="K40" s="125">
        <v>6.7916088258931824</v>
      </c>
      <c r="L40" s="388"/>
      <c r="M40" s="348"/>
      <c r="N40" s="51" t="e">
        <v>#DIV/0!</v>
      </c>
      <c r="O40" s="51" t="e">
        <v>#DIV/0!</v>
      </c>
    </row>
    <row r="41" spans="1:15" x14ac:dyDescent="0.25">
      <c r="A41" s="381"/>
      <c r="B41" s="382"/>
      <c r="C41" s="383"/>
      <c r="D41" s="384"/>
      <c r="E41" s="385"/>
      <c r="F41" s="389"/>
      <c r="G41" s="386"/>
      <c r="H41" s="385"/>
      <c r="I41" s="387"/>
      <c r="J41" s="361">
        <v>0.19638019174908034</v>
      </c>
      <c r="K41" s="125">
        <v>6.7916088258931824</v>
      </c>
      <c r="L41" s="388"/>
      <c r="M41" s="348"/>
      <c r="N41" s="51" t="e">
        <v>#DIV/0!</v>
      </c>
      <c r="O41" s="51" t="e">
        <v>#DIV/0!</v>
      </c>
    </row>
    <row r="42" spans="1:15" x14ac:dyDescent="0.25">
      <c r="A42" s="381"/>
      <c r="B42" s="382"/>
      <c r="C42" s="383"/>
      <c r="D42" s="384"/>
      <c r="E42" s="385"/>
      <c r="F42" s="389"/>
      <c r="G42" s="386"/>
      <c r="H42" s="385"/>
      <c r="I42" s="387"/>
      <c r="J42" s="361">
        <v>0.19638019174908034</v>
      </c>
      <c r="K42" s="125">
        <v>6.7916088258931824</v>
      </c>
      <c r="L42" s="388"/>
      <c r="M42" s="348"/>
      <c r="N42" s="51" t="e">
        <v>#DIV/0!</v>
      </c>
      <c r="O42" s="51" t="e">
        <v>#DIV/0!</v>
      </c>
    </row>
    <row r="43" spans="1:15" ht="16.5" thickBot="1" x14ac:dyDescent="0.3">
      <c r="A43" s="77" t="s">
        <v>15</v>
      </c>
      <c r="B43" s="78"/>
      <c r="C43" s="79"/>
      <c r="D43" s="148"/>
      <c r="E43" s="80"/>
      <c r="F43" s="79"/>
      <c r="G43" s="235"/>
      <c r="H43" s="80"/>
      <c r="I43" s="81"/>
      <c r="J43" s="126"/>
      <c r="K43" s="127"/>
      <c r="L43" s="243"/>
      <c r="M43" s="239"/>
      <c r="N43" s="51"/>
    </row>
    <row r="44" spans="1:15" s="60" customFormat="1" ht="16.5" thickTop="1" x14ac:dyDescent="0.25">
      <c r="A44" s="562" t="s">
        <v>85</v>
      </c>
      <c r="B44" s="563">
        <f ca="1">SUMIFS($B$6:$B$43,$A$6:$A$43,"&gt;="&amp;$B45,$A$6:$A$43,"&lt;="&amp;$D45)</f>
        <v>0</v>
      </c>
      <c r="C44" s="566">
        <f ca="1">SUMIFS($C$6:$C$43,$A$6:$A$43,"&gt;="&amp;$B45,$A$6:$A$43,"&lt;="&amp;$D45)</f>
        <v>0</v>
      </c>
      <c r="D44" s="568"/>
      <c r="E44" s="564"/>
      <c r="F44" s="569">
        <f ca="1">SUMIFS($F$6:$F$43,$D$6:$D$43,"&gt;="&amp;$B45,$D$6:$D$43,"&lt;="&amp;$D45)</f>
        <v>0</v>
      </c>
      <c r="G44" s="753" t="s">
        <v>354</v>
      </c>
      <c r="H44" s="798">
        <f ca="1">SUMIFS($I$6:$I$43,$H$6:$H$43,"="&amp;G44,$G$6:$G$43,"&gt;="&amp;$B$45,$G$6:$G$43,"&lt;="&amp;$D$45)</f>
        <v>0</v>
      </c>
      <c r="I44" s="566">
        <f ca="1">SUMIFS($I$6:$I$43,$G$6:$G$43,"&gt;="&amp;$B45,$G$6:$G$43,"&lt;="&amp;$D45)</f>
        <v>0</v>
      </c>
      <c r="J44" s="1108">
        <f>AVERAGE(J5:J43)</f>
        <v>0.16294476207224745</v>
      </c>
      <c r="K44" s="1109">
        <f>AVERAGE(K5:K43)</f>
        <v>6.6499485297227867</v>
      </c>
      <c r="L44" s="570">
        <f ca="1">SUMIFS($L$6:$L$43,$A$6:$A$43,"&gt;="&amp;$B45,$A$6:$A$43,"&lt;="&amp;$D45)</f>
        <v>0</v>
      </c>
      <c r="M44" s="565"/>
    </row>
    <row r="45" spans="1:15" s="561" customFormat="1" x14ac:dyDescent="0.25">
      <c r="A45" s="572" t="s">
        <v>328</v>
      </c>
      <c r="B45" s="2353">
        <f>Prehľad!AV1</f>
        <v>43831</v>
      </c>
      <c r="C45" s="2354"/>
      <c r="D45" s="2353">
        <f ca="1">Prehľad!AX1</f>
        <v>44607</v>
      </c>
      <c r="E45" s="2354"/>
      <c r="F45" s="573"/>
      <c r="G45" s="574"/>
      <c r="H45" s="575"/>
      <c r="I45" s="573"/>
      <c r="J45" s="1120" t="s">
        <v>712</v>
      </c>
      <c r="K45" s="1121">
        <f>MAX(K5:K43)</f>
        <v>6.88</v>
      </c>
      <c r="L45" s="826">
        <f>AVERAGE(L5:L43)</f>
        <v>1665.1724137931035</v>
      </c>
      <c r="M45" s="579"/>
      <c r="N45" s="560"/>
    </row>
    <row r="46" spans="1:15" x14ac:dyDescent="0.25">
      <c r="A46" s="53"/>
      <c r="D46" s="56"/>
      <c r="E46" s="6"/>
      <c r="F46" s="55"/>
    </row>
    <row r="47" spans="1:15" s="52" customFormat="1" x14ac:dyDescent="0.25">
      <c r="A47" s="478">
        <v>43145</v>
      </c>
      <c r="B47" s="6" t="s">
        <v>263</v>
      </c>
      <c r="C47" s="6"/>
      <c r="D47" s="6" t="s">
        <v>282</v>
      </c>
      <c r="E47" s="5"/>
      <c r="F47" s="229">
        <v>499.98</v>
      </c>
      <c r="G47" s="6" t="s">
        <v>283</v>
      </c>
      <c r="J47" s="229"/>
      <c r="L47" s="433"/>
      <c r="M47" s="479"/>
      <c r="N47" s="479"/>
    </row>
    <row r="48" spans="1:15" s="52" customFormat="1" x14ac:dyDescent="0.25">
      <c r="A48" s="478">
        <v>43241</v>
      </c>
      <c r="B48" s="6" t="s">
        <v>263</v>
      </c>
      <c r="C48" s="6"/>
      <c r="D48" s="750" t="s">
        <v>360</v>
      </c>
      <c r="E48" s="776">
        <v>395968</v>
      </c>
      <c r="F48" s="764">
        <v>39.130000000000003</v>
      </c>
      <c r="G48" s="6" t="s">
        <v>361</v>
      </c>
      <c r="J48" s="229"/>
      <c r="L48" s="433"/>
      <c r="M48" s="479"/>
      <c r="N48" s="479"/>
    </row>
    <row r="49" spans="1:14" s="800" customFormat="1" x14ac:dyDescent="0.25">
      <c r="A49" s="799">
        <v>43353</v>
      </c>
      <c r="B49" s="750" t="s">
        <v>376</v>
      </c>
      <c r="C49" s="750"/>
      <c r="D49" s="750" t="s">
        <v>418</v>
      </c>
      <c r="E49" s="776">
        <v>406217</v>
      </c>
      <c r="F49" s="764">
        <v>735.61</v>
      </c>
      <c r="G49" s="750" t="s">
        <v>378</v>
      </c>
      <c r="J49" s="764"/>
      <c r="L49" s="801"/>
      <c r="M49" s="802"/>
      <c r="N49" s="802"/>
    </row>
    <row r="50" spans="1:14" s="800" customFormat="1" x14ac:dyDescent="0.25">
      <c r="A50" s="799">
        <v>43395</v>
      </c>
      <c r="B50" s="750" t="s">
        <v>448</v>
      </c>
      <c r="C50" s="750"/>
      <c r="D50" s="750" t="s">
        <v>457</v>
      </c>
      <c r="E50" s="776">
        <v>410117</v>
      </c>
      <c r="F50" s="764">
        <v>41.95</v>
      </c>
      <c r="G50" s="750" t="s">
        <v>332</v>
      </c>
      <c r="J50" s="764"/>
      <c r="L50" s="801"/>
      <c r="M50" s="802"/>
      <c r="N50" s="802"/>
    </row>
    <row r="51" spans="1:14" s="800" customFormat="1" x14ac:dyDescent="0.25">
      <c r="A51" s="799">
        <v>43451</v>
      </c>
      <c r="B51" s="750" t="s">
        <v>376</v>
      </c>
      <c r="C51" s="750"/>
      <c r="D51" s="750" t="s">
        <v>501</v>
      </c>
      <c r="E51" s="776">
        <v>414905</v>
      </c>
      <c r="F51" s="764">
        <v>100.19</v>
      </c>
      <c r="G51" s="750" t="s">
        <v>473</v>
      </c>
      <c r="J51" s="764"/>
      <c r="L51" s="801"/>
      <c r="M51" s="802"/>
      <c r="N51" s="802"/>
    </row>
    <row r="52" spans="1:14" x14ac:dyDescent="0.25">
      <c r="A52" s="53"/>
      <c r="E52" s="57"/>
      <c r="F52" s="55"/>
    </row>
    <row r="53" spans="1:14" x14ac:dyDescent="0.25">
      <c r="E53" s="57"/>
      <c r="F53" s="55"/>
    </row>
    <row r="54" spans="1:14" x14ac:dyDescent="0.25">
      <c r="E54" s="57"/>
      <c r="F54" s="55"/>
    </row>
    <row r="55" spans="1:14" x14ac:dyDescent="0.25">
      <c r="E55" s="57"/>
      <c r="F55" s="55"/>
    </row>
    <row r="56" spans="1:14" x14ac:dyDescent="0.25">
      <c r="E56" s="57"/>
    </row>
    <row r="57" spans="1:14" x14ac:dyDescent="0.25">
      <c r="E57" s="57"/>
    </row>
    <row r="58" spans="1:14" x14ac:dyDescent="0.25">
      <c r="E58" s="57"/>
    </row>
    <row r="59" spans="1:14" x14ac:dyDescent="0.25">
      <c r="E59" s="57"/>
    </row>
    <row r="60" spans="1:14" x14ac:dyDescent="0.25">
      <c r="E60" s="57"/>
    </row>
    <row r="61" spans="1:14" x14ac:dyDescent="0.25">
      <c r="E61" s="57"/>
    </row>
    <row r="62" spans="1:14" x14ac:dyDescent="0.25">
      <c r="E62" s="57"/>
    </row>
    <row r="63" spans="1:14" x14ac:dyDescent="0.25">
      <c r="E63" s="57"/>
    </row>
  </sheetData>
  <mergeCells count="13">
    <mergeCell ref="B45:C45"/>
    <mergeCell ref="D45:E45"/>
    <mergeCell ref="L2:L4"/>
    <mergeCell ref="M2:M4"/>
    <mergeCell ref="K2:K4"/>
    <mergeCell ref="B3:C3"/>
    <mergeCell ref="D4:E4"/>
    <mergeCell ref="G4:H4"/>
    <mergeCell ref="A1:C1"/>
    <mergeCell ref="E1:G1"/>
    <mergeCell ref="B2:D2"/>
    <mergeCell ref="G2:H2"/>
    <mergeCell ref="J2:J4"/>
  </mergeCells>
  <conditionalFormatting sqref="O5:O43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O45">
    <cfRule type="cellIs" dxfId="5" priority="1" operator="greaterThan">
      <formula>0</formula>
    </cfRule>
    <cfRule type="cellIs" dxfId="4" priority="2" operator="lessThan">
      <formula>0</formula>
    </cfRule>
  </conditionalFormatting>
  <printOptions horizontalCentered="1"/>
  <pageMargins left="0" right="0" top="0.39370078740157483" bottom="0.39370078740157483" header="0" footer="0"/>
  <pageSetup paperSize="9" scale="7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0">
    <pageSetUpPr fitToPage="1"/>
  </sheetPr>
  <dimension ref="A1:O62"/>
  <sheetViews>
    <sheetView workbookViewId="0">
      <pane ySplit="4" topLeftCell="A22" activePane="bottomLeft" state="frozen"/>
      <selection activeCell="L43" sqref="L43:M43"/>
      <selection pane="bottomLeft" activeCell="L43" sqref="L43:M43"/>
    </sheetView>
  </sheetViews>
  <sheetFormatPr defaultRowHeight="15.75" x14ac:dyDescent="0.25"/>
  <cols>
    <col min="1" max="1" width="12.625" style="52" customWidth="1"/>
    <col min="2" max="2" width="7.625" style="61" customWidth="1"/>
    <col min="3" max="3" width="10.5" style="55" customWidth="1"/>
    <col min="4" max="4" width="9" style="1"/>
    <col min="5" max="5" width="29.375" style="5" customWidth="1"/>
    <col min="6" max="6" width="11.375" style="5" bestFit="1" customWidth="1"/>
    <col min="7" max="7" width="9" style="1"/>
    <col min="8" max="8" width="45.375" style="1" customWidth="1"/>
    <col min="9" max="9" width="10.375" style="1" bestFit="1" customWidth="1"/>
    <col min="10" max="10" width="8.625" style="8" customWidth="1"/>
    <col min="11" max="11" width="8.625" style="1" customWidth="1"/>
    <col min="12" max="12" width="9" style="5"/>
    <col min="13" max="13" width="9" style="61"/>
    <col min="14" max="16384" width="9" style="1"/>
  </cols>
  <sheetData>
    <row r="1" spans="1:15" s="60" customFormat="1" x14ac:dyDescent="0.25">
      <c r="A1" s="2344" t="s">
        <v>47</v>
      </c>
      <c r="B1" s="2344"/>
      <c r="C1" s="2344"/>
      <c r="D1" s="63">
        <v>0.2344053406493771</v>
      </c>
      <c r="E1" s="2345" t="s">
        <v>53</v>
      </c>
      <c r="F1" s="2345"/>
      <c r="G1" s="2345"/>
      <c r="H1" s="82">
        <v>10.092558069229607</v>
      </c>
      <c r="I1" s="91" t="s">
        <v>66</v>
      </c>
      <c r="J1" s="82"/>
      <c r="K1" s="129">
        <v>37621</v>
      </c>
      <c r="L1" s="240"/>
      <c r="M1" s="236"/>
    </row>
    <row r="2" spans="1:15" s="50" customFormat="1" x14ac:dyDescent="0.25">
      <c r="A2" s="591" t="s">
        <v>31</v>
      </c>
      <c r="B2" s="2346" t="s">
        <v>32</v>
      </c>
      <c r="C2" s="2346"/>
      <c r="D2" s="2347"/>
      <c r="E2" s="87">
        <v>234423</v>
      </c>
      <c r="F2" s="88">
        <v>274117</v>
      </c>
      <c r="G2" s="2348" t="s">
        <v>306</v>
      </c>
      <c r="H2" s="2349"/>
      <c r="I2" s="534">
        <v>12.210215605749486</v>
      </c>
      <c r="J2" s="2350" t="s">
        <v>51</v>
      </c>
      <c r="K2" s="2350" t="s">
        <v>52</v>
      </c>
      <c r="L2" s="2355" t="s">
        <v>102</v>
      </c>
      <c r="M2" s="2358" t="s">
        <v>101</v>
      </c>
    </row>
    <row r="3" spans="1:15" s="85" customFormat="1" ht="16.5" thickBot="1" x14ac:dyDescent="0.3">
      <c r="A3" s="89" t="s">
        <v>60</v>
      </c>
      <c r="B3" s="2361">
        <v>20000</v>
      </c>
      <c r="C3" s="2362"/>
      <c r="D3" s="113" t="s">
        <v>65</v>
      </c>
      <c r="E3" s="114">
        <v>16.999315537303218</v>
      </c>
      <c r="F3" s="115" t="s">
        <v>61</v>
      </c>
      <c r="G3" s="116">
        <v>98.043163150265741</v>
      </c>
      <c r="H3" s="117" t="s">
        <v>62</v>
      </c>
      <c r="I3" s="118">
        <v>7.2961545617382356E-2</v>
      </c>
      <c r="J3" s="2351"/>
      <c r="K3" s="2351"/>
      <c r="L3" s="2356"/>
      <c r="M3" s="2359"/>
    </row>
    <row r="4" spans="1:15" ht="16.5" thickTop="1" x14ac:dyDescent="0.25">
      <c r="A4" s="90" t="s">
        <v>67</v>
      </c>
      <c r="B4" s="62">
        <v>10.092558069229607</v>
      </c>
      <c r="C4" s="58">
        <v>0.11903083589459362</v>
      </c>
      <c r="D4" s="2363" t="s">
        <v>48</v>
      </c>
      <c r="E4" s="2364"/>
      <c r="F4" s="58">
        <v>2.9722880032246685E-2</v>
      </c>
      <c r="G4" s="2363" t="s">
        <v>50</v>
      </c>
      <c r="H4" s="2364"/>
      <c r="I4" s="59">
        <v>1.2690079105154434E-2</v>
      </c>
      <c r="J4" s="2352"/>
      <c r="K4" s="2352"/>
      <c r="L4" s="2357"/>
      <c r="M4" s="2360"/>
      <c r="N4" s="54">
        <v>1.1793921330757284</v>
      </c>
    </row>
    <row r="5" spans="1:15" x14ac:dyDescent="0.25">
      <c r="A5" s="64">
        <v>42643</v>
      </c>
      <c r="B5" s="65">
        <v>131.91</v>
      </c>
      <c r="C5" s="66">
        <v>141.63999999999999</v>
      </c>
      <c r="D5" s="67">
        <v>42620</v>
      </c>
      <c r="E5" s="68" t="s">
        <v>139</v>
      </c>
      <c r="F5" s="66">
        <v>998.14</v>
      </c>
      <c r="G5" s="69">
        <v>42684</v>
      </c>
      <c r="H5" s="68" t="s">
        <v>95</v>
      </c>
      <c r="I5" s="70">
        <v>77.37</v>
      </c>
      <c r="J5" s="122">
        <v>0.11</v>
      </c>
      <c r="K5" s="123">
        <v>10.1</v>
      </c>
      <c r="L5" s="241"/>
      <c r="M5" s="237"/>
      <c r="N5" s="51">
        <v>1.0737624137669624</v>
      </c>
      <c r="O5" s="51">
        <v>-0.10562971930876608</v>
      </c>
    </row>
    <row r="6" spans="1:15" x14ac:dyDescent="0.25">
      <c r="A6" s="71">
        <v>42674</v>
      </c>
      <c r="B6" s="72">
        <v>143.72</v>
      </c>
      <c r="C6" s="73">
        <v>156.71</v>
      </c>
      <c r="D6" s="147"/>
      <c r="E6" s="75"/>
      <c r="F6" s="73"/>
      <c r="G6" s="234">
        <v>42716</v>
      </c>
      <c r="H6" s="75" t="s">
        <v>99</v>
      </c>
      <c r="I6" s="76">
        <v>21.82</v>
      </c>
      <c r="J6" s="124">
        <v>0.14000000000000001</v>
      </c>
      <c r="K6" s="125">
        <v>10.1</v>
      </c>
      <c r="L6" s="242"/>
      <c r="M6" s="238"/>
      <c r="N6" s="51">
        <v>1.0903840801558586</v>
      </c>
      <c r="O6" s="51">
        <v>-8.9008052919869796E-2</v>
      </c>
    </row>
    <row r="7" spans="1:15" x14ac:dyDescent="0.25">
      <c r="A7" s="71">
        <v>42704</v>
      </c>
      <c r="B7" s="72">
        <v>133.22</v>
      </c>
      <c r="C7" s="73">
        <v>144.46</v>
      </c>
      <c r="D7" s="147"/>
      <c r="E7" s="75"/>
      <c r="F7" s="73"/>
      <c r="G7" s="234">
        <v>42710</v>
      </c>
      <c r="H7" s="75" t="s">
        <v>95</v>
      </c>
      <c r="I7" s="76">
        <v>20.92</v>
      </c>
      <c r="J7" s="124">
        <v>0.13</v>
      </c>
      <c r="K7" s="125">
        <v>10.1</v>
      </c>
      <c r="L7" s="242"/>
      <c r="M7" s="238"/>
      <c r="N7" s="51">
        <v>1.0843717159585649</v>
      </c>
      <c r="O7" s="51">
        <v>-9.502041711716358E-2</v>
      </c>
    </row>
    <row r="8" spans="1:15" x14ac:dyDescent="0.25">
      <c r="A8" s="71">
        <v>42735</v>
      </c>
      <c r="B8" s="72">
        <v>128.97999999999999</v>
      </c>
      <c r="C8" s="73">
        <v>143.29</v>
      </c>
      <c r="D8" s="147"/>
      <c r="E8" s="75"/>
      <c r="F8" s="73"/>
      <c r="G8" s="234">
        <v>42710</v>
      </c>
      <c r="H8" s="75" t="s">
        <v>100</v>
      </c>
      <c r="I8" s="76">
        <v>-77.37</v>
      </c>
      <c r="J8" s="124">
        <v>0.13</v>
      </c>
      <c r="K8" s="125">
        <v>10.1</v>
      </c>
      <c r="L8" s="242"/>
      <c r="M8" s="238"/>
      <c r="N8" s="51">
        <v>1.1109474337106529</v>
      </c>
      <c r="O8" s="51">
        <v>-6.8444699365075579E-2</v>
      </c>
    </row>
    <row r="9" spans="1:15" x14ac:dyDescent="0.25">
      <c r="A9" s="71">
        <v>42766</v>
      </c>
      <c r="B9" s="72">
        <v>121.6</v>
      </c>
      <c r="C9" s="73">
        <v>141.47</v>
      </c>
      <c r="D9" s="147"/>
      <c r="E9" s="75"/>
      <c r="F9" s="73"/>
      <c r="G9" s="234"/>
      <c r="H9" s="75"/>
      <c r="I9" s="76"/>
      <c r="J9" s="124">
        <v>0.12</v>
      </c>
      <c r="K9" s="125">
        <v>10.1</v>
      </c>
      <c r="L9" s="242">
        <v>1204</v>
      </c>
      <c r="M9" s="238">
        <v>33.51</v>
      </c>
      <c r="N9" s="51">
        <v>1.1634046052631579</v>
      </c>
      <c r="O9" s="51">
        <v>-1.5987527812570512E-2</v>
      </c>
    </row>
    <row r="10" spans="1:15" x14ac:dyDescent="0.25">
      <c r="A10" s="71">
        <v>42794</v>
      </c>
      <c r="B10" s="72">
        <v>146.25</v>
      </c>
      <c r="C10" s="73">
        <v>170.42</v>
      </c>
      <c r="D10" s="147"/>
      <c r="E10" s="75"/>
      <c r="F10" s="73"/>
      <c r="G10" s="234">
        <v>42810</v>
      </c>
      <c r="H10" s="75" t="s">
        <v>130</v>
      </c>
      <c r="I10" s="76">
        <v>20.92</v>
      </c>
      <c r="J10" s="124">
        <v>0.12</v>
      </c>
      <c r="K10" s="125">
        <v>10.1</v>
      </c>
      <c r="L10" s="242">
        <v>1448</v>
      </c>
      <c r="M10" s="238">
        <v>17.260000000000002</v>
      </c>
      <c r="N10" s="51">
        <v>1.1652649572649572</v>
      </c>
      <c r="O10" s="51">
        <v>-1.4127175810771275E-2</v>
      </c>
    </row>
    <row r="11" spans="1:15" x14ac:dyDescent="0.25">
      <c r="A11" s="71">
        <v>42825</v>
      </c>
      <c r="B11" s="72">
        <v>150.69</v>
      </c>
      <c r="C11" s="73">
        <v>174.59</v>
      </c>
      <c r="D11" s="147"/>
      <c r="E11" s="75"/>
      <c r="F11" s="73"/>
      <c r="G11" s="234">
        <v>43008</v>
      </c>
      <c r="H11" s="75" t="s">
        <v>160</v>
      </c>
      <c r="I11" s="76">
        <v>20.92</v>
      </c>
      <c r="J11" s="124">
        <v>0.13</v>
      </c>
      <c r="K11" s="125">
        <v>10.1</v>
      </c>
      <c r="L11" s="242">
        <v>1492</v>
      </c>
      <c r="M11" s="238">
        <v>26.58</v>
      </c>
      <c r="N11" s="51">
        <v>1.1586037560554783</v>
      </c>
      <c r="O11" s="51">
        <v>-2.0788377020250159E-2</v>
      </c>
    </row>
    <row r="12" spans="1:15" x14ac:dyDescent="0.25">
      <c r="A12" s="71">
        <v>42855</v>
      </c>
      <c r="B12" s="72">
        <v>130.49</v>
      </c>
      <c r="C12" s="73">
        <v>151.38999999999999</v>
      </c>
      <c r="D12" s="147"/>
      <c r="E12" s="75"/>
      <c r="F12" s="73"/>
      <c r="G12" s="234">
        <v>42815</v>
      </c>
      <c r="H12" s="75" t="s">
        <v>132</v>
      </c>
      <c r="I12" s="76">
        <v>16.62</v>
      </c>
      <c r="J12" s="124">
        <v>0.12</v>
      </c>
      <c r="K12" s="125">
        <v>10.1</v>
      </c>
      <c r="L12" s="242">
        <v>1292</v>
      </c>
      <c r="M12" s="238">
        <v>16.09</v>
      </c>
      <c r="N12" s="51">
        <v>1.1601655299256646</v>
      </c>
      <c r="O12" s="51">
        <v>-1.9226603150063859E-2</v>
      </c>
    </row>
    <row r="13" spans="1:15" x14ac:dyDescent="0.25">
      <c r="A13" s="71">
        <v>42886</v>
      </c>
      <c r="B13" s="72">
        <v>135.74</v>
      </c>
      <c r="C13" s="73">
        <v>152.77000000000001</v>
      </c>
      <c r="D13" s="147"/>
      <c r="E13" s="75"/>
      <c r="F13" s="73"/>
      <c r="G13" s="234"/>
      <c r="H13" s="75"/>
      <c r="I13" s="76"/>
      <c r="J13" s="124">
        <v>0.2</v>
      </c>
      <c r="K13" s="125">
        <v>10.1</v>
      </c>
      <c r="L13" s="242">
        <v>1343</v>
      </c>
      <c r="M13" s="238">
        <v>30.39</v>
      </c>
      <c r="N13" s="51">
        <v>1.1254604390747016</v>
      </c>
      <c r="O13" s="51">
        <v>-5.393169400102682E-2</v>
      </c>
    </row>
    <row r="14" spans="1:15" x14ac:dyDescent="0.25">
      <c r="A14" s="71">
        <v>42916</v>
      </c>
      <c r="B14" s="72">
        <v>151.4</v>
      </c>
      <c r="C14" s="73">
        <v>164.85</v>
      </c>
      <c r="D14" s="147"/>
      <c r="E14" s="75"/>
      <c r="F14" s="73"/>
      <c r="G14" s="234">
        <v>43101</v>
      </c>
      <c r="H14" s="75" t="s">
        <v>199</v>
      </c>
      <c r="I14" s="76">
        <v>20.92</v>
      </c>
      <c r="J14" s="124">
        <v>0.19</v>
      </c>
      <c r="K14" s="125">
        <v>10.1</v>
      </c>
      <c r="L14" s="242">
        <v>1499</v>
      </c>
      <c r="M14" s="238">
        <v>19.97</v>
      </c>
      <c r="N14" s="51">
        <v>1.0888375165125495</v>
      </c>
      <c r="O14" s="51">
        <v>-9.055461656317898E-2</v>
      </c>
    </row>
    <row r="15" spans="1:15" x14ac:dyDescent="0.25">
      <c r="A15" s="71">
        <v>42947</v>
      </c>
      <c r="B15" s="72">
        <v>151.69999999999999</v>
      </c>
      <c r="C15" s="73">
        <v>162.88</v>
      </c>
      <c r="D15" s="147"/>
      <c r="E15" s="75"/>
      <c r="F15" s="73"/>
      <c r="G15" s="234">
        <v>43191</v>
      </c>
      <c r="H15" s="75" t="s">
        <v>301</v>
      </c>
      <c r="I15" s="76">
        <v>20.92</v>
      </c>
      <c r="J15" s="124">
        <v>0.19</v>
      </c>
      <c r="K15" s="125">
        <v>10.1</v>
      </c>
      <c r="L15" s="242">
        <v>1502</v>
      </c>
      <c r="M15" s="238">
        <v>18.27</v>
      </c>
      <c r="N15" s="51">
        <v>1.0736980883322347</v>
      </c>
      <c r="O15" s="51">
        <v>-0.10569404474349375</v>
      </c>
    </row>
    <row r="16" spans="1:15" x14ac:dyDescent="0.25">
      <c r="A16" s="71">
        <v>42978</v>
      </c>
      <c r="B16" s="72">
        <v>26.77</v>
      </c>
      <c r="C16" s="73">
        <v>28.87</v>
      </c>
      <c r="D16" s="147"/>
      <c r="E16" s="75"/>
      <c r="F16" s="73"/>
      <c r="G16" s="234">
        <v>43251</v>
      </c>
      <c r="H16" s="75" t="s">
        <v>366</v>
      </c>
      <c r="I16" s="76">
        <v>40</v>
      </c>
      <c r="J16" s="124">
        <v>0.18</v>
      </c>
      <c r="K16" s="125">
        <v>10.1</v>
      </c>
      <c r="L16" s="242">
        <v>265</v>
      </c>
      <c r="M16" s="238">
        <v>31.5</v>
      </c>
      <c r="N16" s="51">
        <v>1.0784460216660441</v>
      </c>
      <c r="O16" s="51">
        <v>-0.10094611140968435</v>
      </c>
    </row>
    <row r="17" spans="1:15" x14ac:dyDescent="0.25">
      <c r="A17" s="71">
        <v>43008</v>
      </c>
      <c r="B17" s="72">
        <v>132.11000000000001</v>
      </c>
      <c r="C17" s="73">
        <v>145.82</v>
      </c>
      <c r="D17" s="147"/>
      <c r="E17" s="75"/>
      <c r="F17" s="73"/>
      <c r="G17" s="234">
        <v>43282</v>
      </c>
      <c r="H17" s="75" t="s">
        <v>370</v>
      </c>
      <c r="I17" s="76">
        <v>20.92</v>
      </c>
      <c r="J17" s="124">
        <v>0.18</v>
      </c>
      <c r="K17" s="125">
        <v>10.1</v>
      </c>
      <c r="L17" s="242">
        <v>1308</v>
      </c>
      <c r="M17" s="238">
        <v>19.39</v>
      </c>
      <c r="N17" s="51">
        <v>1.1037771554008022</v>
      </c>
      <c r="O17" s="51">
        <v>-7.5614977674926198E-2</v>
      </c>
    </row>
    <row r="18" spans="1:15" ht="16.5" thickBot="1" x14ac:dyDescent="0.3">
      <c r="A18" s="71">
        <v>43039</v>
      </c>
      <c r="B18" s="72">
        <v>138.88</v>
      </c>
      <c r="C18" s="73">
        <v>157.27000000000001</v>
      </c>
      <c r="D18" s="147"/>
      <c r="E18" s="75"/>
      <c r="F18" s="73"/>
      <c r="G18" s="234">
        <v>43374</v>
      </c>
      <c r="H18" s="75" t="s">
        <v>426</v>
      </c>
      <c r="I18" s="76">
        <v>20.92</v>
      </c>
      <c r="J18" s="359">
        <v>0.17</v>
      </c>
      <c r="K18" s="125">
        <v>10.1</v>
      </c>
      <c r="L18" s="242">
        <v>1375</v>
      </c>
      <c r="M18" s="238">
        <v>0.56999999999999995</v>
      </c>
      <c r="N18" s="51">
        <v>1.1324164746543779</v>
      </c>
      <c r="O18" s="51">
        <v>-4.6975658421350541E-2</v>
      </c>
    </row>
    <row r="19" spans="1:15" ht="16.5" thickTop="1" x14ac:dyDescent="0.25">
      <c r="A19" s="71">
        <v>43069</v>
      </c>
      <c r="B19" s="72">
        <v>135.94999999999999</v>
      </c>
      <c r="C19" s="73">
        <v>159.68</v>
      </c>
      <c r="D19" s="147"/>
      <c r="E19" s="75"/>
      <c r="F19" s="73"/>
      <c r="G19" s="234">
        <v>43466</v>
      </c>
      <c r="H19" s="75" t="s">
        <v>475</v>
      </c>
      <c r="I19" s="76">
        <v>20.92</v>
      </c>
      <c r="J19" s="360">
        <v>0.25</v>
      </c>
      <c r="K19" s="125">
        <v>10.1</v>
      </c>
      <c r="L19" s="242">
        <v>1346</v>
      </c>
      <c r="M19" s="238">
        <v>4.62</v>
      </c>
      <c r="N19" s="51">
        <v>1.1745494667157044</v>
      </c>
      <c r="O19" s="51">
        <v>-4.8426663600240616E-3</v>
      </c>
    </row>
    <row r="20" spans="1:15" x14ac:dyDescent="0.25">
      <c r="A20" s="71">
        <v>43100</v>
      </c>
      <c r="B20" s="72">
        <v>108.98</v>
      </c>
      <c r="C20" s="73">
        <v>127.58</v>
      </c>
      <c r="D20" s="147"/>
      <c r="E20" s="75"/>
      <c r="F20" s="73"/>
      <c r="G20" s="234">
        <v>43480</v>
      </c>
      <c r="H20" s="75" t="s">
        <v>513</v>
      </c>
      <c r="I20" s="76">
        <v>8.4</v>
      </c>
      <c r="J20" s="361">
        <v>0.25</v>
      </c>
      <c r="K20" s="125">
        <v>10.1</v>
      </c>
      <c r="L20" s="242">
        <v>1079</v>
      </c>
      <c r="M20" s="238">
        <v>15.65</v>
      </c>
      <c r="N20" s="51">
        <v>1.1706735180767112</v>
      </c>
      <c r="O20" s="51">
        <v>-8.7186149990172712E-3</v>
      </c>
    </row>
    <row r="21" spans="1:15" x14ac:dyDescent="0.25">
      <c r="A21" s="71">
        <v>43131</v>
      </c>
      <c r="B21" s="72">
        <v>138.97999999999999</v>
      </c>
      <c r="C21" s="73">
        <v>165.54</v>
      </c>
      <c r="D21" s="528">
        <v>43440</v>
      </c>
      <c r="E21" s="516" t="s">
        <v>466</v>
      </c>
      <c r="F21" s="380">
        <v>137.41</v>
      </c>
      <c r="G21" s="431">
        <v>43480</v>
      </c>
      <c r="H21" s="346" t="s">
        <v>514</v>
      </c>
      <c r="I21" s="390">
        <v>166.8</v>
      </c>
      <c r="J21" s="361">
        <v>0.24</v>
      </c>
      <c r="K21" s="125">
        <v>10.1</v>
      </c>
      <c r="L21" s="242">
        <v>1376</v>
      </c>
      <c r="M21" s="238">
        <v>6.67</v>
      </c>
      <c r="N21" s="51">
        <v>1.1911066340480645</v>
      </c>
      <c r="O21" s="51">
        <v>1.1714500972336062E-2</v>
      </c>
    </row>
    <row r="22" spans="1:15" x14ac:dyDescent="0.25">
      <c r="A22" s="71">
        <v>43159</v>
      </c>
      <c r="B22" s="72">
        <v>121.5</v>
      </c>
      <c r="C22" s="73">
        <v>142.72</v>
      </c>
      <c r="D22" s="147"/>
      <c r="E22" s="75"/>
      <c r="F22" s="73"/>
      <c r="G22" s="234">
        <v>43528</v>
      </c>
      <c r="H22" s="75" t="s">
        <v>561</v>
      </c>
      <c r="I22" s="76">
        <v>8.4</v>
      </c>
      <c r="J22" s="361">
        <v>0.24</v>
      </c>
      <c r="K22" s="125">
        <v>10.1</v>
      </c>
      <c r="L22" s="242">
        <v>1203</v>
      </c>
      <c r="M22" s="238">
        <v>5.18</v>
      </c>
      <c r="N22" s="51">
        <v>1.1746502057613168</v>
      </c>
      <c r="O22" s="51">
        <v>-4.741927314411587E-3</v>
      </c>
    </row>
    <row r="23" spans="1:15" x14ac:dyDescent="0.25">
      <c r="A23" s="71">
        <v>43190</v>
      </c>
      <c r="B23" s="72">
        <v>129.18</v>
      </c>
      <c r="C23" s="73">
        <v>150.26</v>
      </c>
      <c r="D23" s="147"/>
      <c r="E23" s="75"/>
      <c r="F23" s="73"/>
      <c r="G23" s="234">
        <v>43556</v>
      </c>
      <c r="H23" s="75" t="s">
        <v>578</v>
      </c>
      <c r="I23" s="76">
        <v>20.92</v>
      </c>
      <c r="J23" s="361">
        <v>0.24</v>
      </c>
      <c r="K23" s="125">
        <v>10.1</v>
      </c>
      <c r="L23" s="242">
        <v>1279</v>
      </c>
      <c r="M23" s="238">
        <v>6.15</v>
      </c>
      <c r="N23" s="51">
        <v>1.1631831552871961</v>
      </c>
      <c r="O23" s="51">
        <v>-1.6208977788532364E-2</v>
      </c>
    </row>
    <row r="24" spans="1:15" x14ac:dyDescent="0.25">
      <c r="A24" s="71">
        <v>43220</v>
      </c>
      <c r="B24" s="72">
        <v>126.76</v>
      </c>
      <c r="C24" s="73">
        <v>152.66</v>
      </c>
      <c r="D24" s="147"/>
      <c r="E24" s="75"/>
      <c r="F24" s="73"/>
      <c r="G24" s="234">
        <v>43563</v>
      </c>
      <c r="H24" s="75" t="s">
        <v>607</v>
      </c>
      <c r="I24" s="76">
        <v>8.4</v>
      </c>
      <c r="J24" s="361">
        <v>0.24</v>
      </c>
      <c r="K24" s="125">
        <v>10.1</v>
      </c>
      <c r="L24" s="242">
        <v>1255</v>
      </c>
      <c r="M24" s="238">
        <v>19.39</v>
      </c>
      <c r="N24" s="51">
        <v>1.2043231303250237</v>
      </c>
      <c r="O24" s="51">
        <v>2.4930997249295261E-2</v>
      </c>
    </row>
    <row r="25" spans="1:15" x14ac:dyDescent="0.25">
      <c r="A25" s="71">
        <v>43251</v>
      </c>
      <c r="B25" s="72">
        <v>128.97999999999999</v>
      </c>
      <c r="C25" s="73">
        <v>162.77000000000001</v>
      </c>
      <c r="D25" s="147"/>
      <c r="E25" s="75"/>
      <c r="F25" s="73"/>
      <c r="G25" s="234">
        <v>43623</v>
      </c>
      <c r="H25" s="75" t="s">
        <v>631</v>
      </c>
      <c r="I25" s="76">
        <v>5</v>
      </c>
      <c r="J25" s="361">
        <v>0.24</v>
      </c>
      <c r="K25" s="125">
        <v>10.1</v>
      </c>
      <c r="L25" s="242">
        <v>1277</v>
      </c>
      <c r="M25" s="238">
        <v>0.41</v>
      </c>
      <c r="N25" s="51">
        <v>1.2619786013335403</v>
      </c>
      <c r="O25" s="51">
        <v>8.2586468257811907E-2</v>
      </c>
    </row>
    <row r="26" spans="1:15" x14ac:dyDescent="0.25">
      <c r="A26" s="71">
        <v>43281</v>
      </c>
      <c r="B26" s="72">
        <v>136.96</v>
      </c>
      <c r="C26" s="73">
        <v>176.05</v>
      </c>
      <c r="D26" s="147"/>
      <c r="E26" s="75"/>
      <c r="F26" s="73"/>
      <c r="G26" s="234">
        <v>43588</v>
      </c>
      <c r="H26" s="75" t="s">
        <v>662</v>
      </c>
      <c r="I26" s="76">
        <v>40</v>
      </c>
      <c r="J26" s="361">
        <v>0.23</v>
      </c>
      <c r="K26" s="125">
        <v>10.1</v>
      </c>
      <c r="L26" s="242">
        <v>1356</v>
      </c>
      <c r="M26" s="238">
        <v>3.47</v>
      </c>
      <c r="N26" s="51">
        <v>1.2854117990654206</v>
      </c>
      <c r="O26" s="51">
        <v>0.10601966598969215</v>
      </c>
    </row>
    <row r="27" spans="1:15" x14ac:dyDescent="0.25">
      <c r="A27" s="71">
        <v>43312</v>
      </c>
      <c r="B27" s="72">
        <v>68.58</v>
      </c>
      <c r="C27" s="73">
        <v>86.58</v>
      </c>
      <c r="D27" s="147"/>
      <c r="E27" s="75"/>
      <c r="F27" s="73"/>
      <c r="G27" s="234">
        <v>43647</v>
      </c>
      <c r="H27" s="75" t="s">
        <v>762</v>
      </c>
      <c r="I27" s="76">
        <v>20.74</v>
      </c>
      <c r="J27" s="361">
        <v>0.23</v>
      </c>
      <c r="K27" s="125">
        <v>10.1</v>
      </c>
      <c r="L27" s="242">
        <v>679</v>
      </c>
      <c r="M27" s="238">
        <v>24.89</v>
      </c>
      <c r="N27" s="51">
        <v>1.2624671916010499</v>
      </c>
      <c r="O27" s="51">
        <v>8.3075058525321488E-2</v>
      </c>
    </row>
    <row r="28" spans="1:15" x14ac:dyDescent="0.25">
      <c r="A28" s="71">
        <v>43343</v>
      </c>
      <c r="B28" s="72">
        <v>63.73</v>
      </c>
      <c r="C28" s="73">
        <v>80.38</v>
      </c>
      <c r="D28" s="147"/>
      <c r="E28" s="75"/>
      <c r="F28" s="73"/>
      <c r="G28" s="234">
        <v>43739</v>
      </c>
      <c r="H28" s="75" t="s">
        <v>771</v>
      </c>
      <c r="I28" s="76">
        <v>20.74</v>
      </c>
      <c r="J28" s="361">
        <v>0.23</v>
      </c>
      <c r="K28" s="125">
        <v>10.1</v>
      </c>
      <c r="L28" s="242">
        <v>631</v>
      </c>
      <c r="M28" s="238">
        <v>1.1599999999999999</v>
      </c>
      <c r="N28" s="51">
        <v>1.2612584340185156</v>
      </c>
      <c r="O28" s="51">
        <v>8.1866300942787129E-2</v>
      </c>
    </row>
    <row r="29" spans="1:15" x14ac:dyDescent="0.25">
      <c r="A29" s="71">
        <v>43373</v>
      </c>
      <c r="B29" s="72">
        <v>135.74</v>
      </c>
      <c r="C29" s="73">
        <v>174.68</v>
      </c>
      <c r="D29" s="147"/>
      <c r="E29" s="75"/>
      <c r="F29" s="73"/>
      <c r="G29" s="234">
        <v>43739</v>
      </c>
      <c r="H29" s="75" t="s">
        <v>772</v>
      </c>
      <c r="I29" s="76">
        <v>-20.74</v>
      </c>
      <c r="J29" s="361">
        <v>0.23</v>
      </c>
      <c r="K29" s="125">
        <v>10.1</v>
      </c>
      <c r="L29" s="242">
        <v>1344</v>
      </c>
      <c r="M29" s="238">
        <v>15.42</v>
      </c>
      <c r="N29" s="51">
        <v>1.2868719611021069</v>
      </c>
      <c r="O29" s="51">
        <v>0.10747982802637845</v>
      </c>
    </row>
    <row r="30" spans="1:15" x14ac:dyDescent="0.25">
      <c r="A30" s="71">
        <v>43404</v>
      </c>
      <c r="B30" s="72">
        <v>139.58000000000001</v>
      </c>
      <c r="C30" s="73">
        <v>185.06</v>
      </c>
      <c r="D30" s="147"/>
      <c r="E30" s="75"/>
      <c r="F30" s="73"/>
      <c r="G30" s="234">
        <v>43647</v>
      </c>
      <c r="H30" s="75" t="s">
        <v>773</v>
      </c>
      <c r="I30" s="76">
        <v>17.579999999999998</v>
      </c>
      <c r="J30" s="361">
        <v>0.23</v>
      </c>
      <c r="K30" s="125">
        <v>10.1</v>
      </c>
      <c r="L30" s="242">
        <v>1382</v>
      </c>
      <c r="M30" s="238">
        <v>5.84</v>
      </c>
      <c r="N30" s="51">
        <v>1.3258346467975353</v>
      </c>
      <c r="O30" s="51">
        <v>0.14644251372180683</v>
      </c>
    </row>
    <row r="31" spans="1:15" x14ac:dyDescent="0.25">
      <c r="A31" s="71">
        <v>43434</v>
      </c>
      <c r="B31" s="72">
        <v>132.31</v>
      </c>
      <c r="C31" s="73">
        <v>170.06</v>
      </c>
      <c r="D31" s="147"/>
      <c r="E31" s="75"/>
      <c r="F31" s="73"/>
      <c r="G31" s="234">
        <v>43647</v>
      </c>
      <c r="H31" s="75" t="s">
        <v>774</v>
      </c>
      <c r="I31" s="76">
        <v>-20.74</v>
      </c>
      <c r="J31" s="361">
        <v>0.23</v>
      </c>
      <c r="K31" s="125">
        <v>10.1</v>
      </c>
      <c r="L31" s="242">
        <v>1310</v>
      </c>
      <c r="M31" s="238">
        <v>3.54</v>
      </c>
      <c r="N31" s="51">
        <v>1.2853147910210869</v>
      </c>
      <c r="O31" s="51">
        <v>0.10592265794535849</v>
      </c>
    </row>
    <row r="32" spans="1:15" x14ac:dyDescent="0.25">
      <c r="A32" s="71">
        <v>43465</v>
      </c>
      <c r="B32" s="72">
        <v>84.34</v>
      </c>
      <c r="C32" s="73">
        <v>102.39</v>
      </c>
      <c r="D32" s="147"/>
      <c r="E32" s="75"/>
      <c r="F32" s="73"/>
      <c r="G32" s="234"/>
      <c r="H32" s="75"/>
      <c r="I32" s="76"/>
      <c r="J32" s="361">
        <v>0.23</v>
      </c>
      <c r="K32" s="125">
        <v>10.1</v>
      </c>
      <c r="L32" s="242">
        <v>835</v>
      </c>
      <c r="M32" s="238">
        <v>55.88</v>
      </c>
      <c r="N32" s="51">
        <v>1.2140147023950676</v>
      </c>
      <c r="O32" s="51">
        <v>3.4622569319339158E-2</v>
      </c>
    </row>
    <row r="33" spans="1:15" x14ac:dyDescent="0.25">
      <c r="A33" s="71">
        <v>43496</v>
      </c>
      <c r="B33" s="72">
        <v>80.709999999999994</v>
      </c>
      <c r="C33" s="73">
        <v>96.9</v>
      </c>
      <c r="D33" s="147"/>
      <c r="E33" s="75"/>
      <c r="F33" s="73"/>
      <c r="G33" s="234"/>
      <c r="H33" s="75"/>
      <c r="I33" s="76"/>
      <c r="J33" s="361">
        <v>0.23</v>
      </c>
      <c r="K33" s="125">
        <v>10.039999999999999</v>
      </c>
      <c r="L33" s="242">
        <v>1007</v>
      </c>
      <c r="M33" s="238">
        <v>80</v>
      </c>
      <c r="N33" s="51">
        <v>1.2005947218436379</v>
      </c>
      <c r="O33" s="51">
        <v>2.120258876790948E-2</v>
      </c>
    </row>
    <row r="34" spans="1:15" x14ac:dyDescent="0.25">
      <c r="A34" s="71">
        <v>43524</v>
      </c>
      <c r="B34" s="72">
        <v>109.29</v>
      </c>
      <c r="C34" s="73">
        <v>132.68</v>
      </c>
      <c r="D34" s="147"/>
      <c r="E34" s="75"/>
      <c r="F34" s="73"/>
      <c r="G34" s="234"/>
      <c r="H34" s="75"/>
      <c r="I34" s="76"/>
      <c r="J34" s="361">
        <v>0.23</v>
      </c>
      <c r="K34" s="125">
        <v>10.029999999999999</v>
      </c>
      <c r="L34" s="242">
        <v>1128</v>
      </c>
      <c r="M34" s="238">
        <v>80</v>
      </c>
      <c r="N34" s="51">
        <v>1.2140177509378718</v>
      </c>
      <c r="O34" s="51">
        <v>3.4625617862143354E-2</v>
      </c>
    </row>
    <row r="35" spans="1:15" x14ac:dyDescent="0.25">
      <c r="A35" s="71">
        <v>43555</v>
      </c>
      <c r="B35" s="72">
        <v>108.86</v>
      </c>
      <c r="C35" s="73">
        <v>133.54</v>
      </c>
      <c r="D35" s="147"/>
      <c r="E35" s="75"/>
      <c r="F35" s="73"/>
      <c r="G35" s="234"/>
      <c r="H35" s="75"/>
      <c r="I35" s="76"/>
      <c r="J35" s="361">
        <v>0.23</v>
      </c>
      <c r="K35" s="125">
        <v>10.02</v>
      </c>
      <c r="L35" s="242">
        <v>1111</v>
      </c>
      <c r="M35" s="238">
        <v>80</v>
      </c>
      <c r="N35" s="51">
        <v>1.2267132096270439</v>
      </c>
      <c r="O35" s="51">
        <v>4.7321076551315455E-2</v>
      </c>
    </row>
    <row r="36" spans="1:15" x14ac:dyDescent="0.25">
      <c r="A36" s="71">
        <v>43585</v>
      </c>
      <c r="B36" s="72">
        <v>107.7</v>
      </c>
      <c r="C36" s="73">
        <v>133.13999999999999</v>
      </c>
      <c r="D36" s="345">
        <v>43615</v>
      </c>
      <c r="E36" s="346" t="s">
        <v>634</v>
      </c>
      <c r="F36" s="347">
        <v>44.27</v>
      </c>
      <c r="G36" s="234"/>
      <c r="H36" s="75"/>
      <c r="I36" s="76"/>
      <c r="J36" s="361">
        <v>0.23</v>
      </c>
      <c r="K36" s="125">
        <v>10</v>
      </c>
      <c r="L36" s="242">
        <v>1148</v>
      </c>
      <c r="M36" s="238">
        <v>80</v>
      </c>
      <c r="N36" s="51">
        <v>1.2362116991643453</v>
      </c>
      <c r="O36" s="51">
        <v>5.6819566088616824E-2</v>
      </c>
    </row>
    <row r="37" spans="1:15" x14ac:dyDescent="0.25">
      <c r="A37" s="71">
        <v>43616</v>
      </c>
      <c r="B37" s="72">
        <v>124.55</v>
      </c>
      <c r="C37" s="73">
        <v>155.71</v>
      </c>
      <c r="D37" s="147"/>
      <c r="E37" s="75"/>
      <c r="F37" s="73"/>
      <c r="G37" s="234"/>
      <c r="H37" s="75"/>
      <c r="I37" s="76"/>
      <c r="J37" s="361">
        <v>0.23</v>
      </c>
      <c r="K37" s="125">
        <v>10.09</v>
      </c>
      <c r="L37" s="242">
        <v>895</v>
      </c>
      <c r="M37" s="238">
        <v>12</v>
      </c>
      <c r="N37" s="51">
        <v>1.2501806503412285</v>
      </c>
      <c r="O37" s="51">
        <v>7.0788517265500062E-2</v>
      </c>
    </row>
    <row r="38" spans="1:15" x14ac:dyDescent="0.25">
      <c r="A38" s="71">
        <v>43646</v>
      </c>
      <c r="B38" s="72">
        <v>0</v>
      </c>
      <c r="C38" s="73">
        <v>0</v>
      </c>
      <c r="D38" s="147"/>
      <c r="E38" s="75"/>
      <c r="F38" s="73"/>
      <c r="G38" s="234"/>
      <c r="H38" s="75"/>
      <c r="I38" s="76"/>
      <c r="J38" s="361">
        <v>0.23</v>
      </c>
      <c r="K38" s="125">
        <v>10.09</v>
      </c>
      <c r="L38" s="242">
        <v>0</v>
      </c>
      <c r="M38" s="238">
        <v>12</v>
      </c>
      <c r="N38" s="51" t="e">
        <v>#DIV/0!</v>
      </c>
      <c r="O38" s="51" t="e">
        <v>#DIV/0!</v>
      </c>
    </row>
    <row r="39" spans="1:15" x14ac:dyDescent="0.25">
      <c r="A39" s="71">
        <v>43677</v>
      </c>
      <c r="B39" s="72">
        <v>0</v>
      </c>
      <c r="C39" s="73">
        <v>0</v>
      </c>
      <c r="D39" s="147"/>
      <c r="E39" s="75"/>
      <c r="F39" s="73"/>
      <c r="G39" s="234"/>
      <c r="H39" s="75"/>
      <c r="I39" s="76"/>
      <c r="J39" s="361">
        <v>0.23</v>
      </c>
      <c r="K39" s="125">
        <v>10.09</v>
      </c>
      <c r="L39" s="242">
        <v>0</v>
      </c>
      <c r="M39" s="238">
        <v>12</v>
      </c>
      <c r="N39" s="51" t="e">
        <v>#DIV/0!</v>
      </c>
      <c r="O39" s="51" t="e">
        <v>#DIV/0!</v>
      </c>
    </row>
    <row r="40" spans="1:15" x14ac:dyDescent="0.25">
      <c r="A40" s="71">
        <v>43708</v>
      </c>
      <c r="B40" s="72">
        <v>0</v>
      </c>
      <c r="C40" s="73">
        <v>0</v>
      </c>
      <c r="D40" s="147"/>
      <c r="E40" s="75"/>
      <c r="F40" s="73"/>
      <c r="G40" s="234"/>
      <c r="H40" s="75"/>
      <c r="I40" s="76"/>
      <c r="J40" s="361">
        <v>0.23</v>
      </c>
      <c r="K40" s="125">
        <v>10.09</v>
      </c>
      <c r="L40" s="242">
        <v>0</v>
      </c>
      <c r="M40" s="238">
        <v>12</v>
      </c>
      <c r="N40" s="51" t="e">
        <v>#DIV/0!</v>
      </c>
      <c r="O40" s="51" t="e">
        <v>#DIV/0!</v>
      </c>
    </row>
    <row r="41" spans="1:15" x14ac:dyDescent="0.25">
      <c r="A41" s="71"/>
      <c r="B41" s="72"/>
      <c r="C41" s="73"/>
      <c r="D41" s="147"/>
      <c r="E41" s="75"/>
      <c r="F41" s="73"/>
      <c r="G41" s="234"/>
      <c r="H41" s="75"/>
      <c r="I41" s="76"/>
      <c r="J41" s="361">
        <v>0.2344053406493771</v>
      </c>
      <c r="K41" s="125">
        <v>10.092558069229607</v>
      </c>
      <c r="L41" s="242"/>
      <c r="M41" s="238"/>
      <c r="N41" s="51" t="e">
        <v>#DIV/0!</v>
      </c>
      <c r="O41" s="51" t="e">
        <v>#DIV/0!</v>
      </c>
    </row>
    <row r="42" spans="1:15" x14ac:dyDescent="0.25">
      <c r="A42" s="71"/>
      <c r="B42" s="72"/>
      <c r="C42" s="73"/>
      <c r="D42" s="147"/>
      <c r="E42" s="75"/>
      <c r="F42" s="73"/>
      <c r="G42" s="234"/>
      <c r="H42" s="75"/>
      <c r="I42" s="76"/>
      <c r="J42" s="361">
        <v>0.2344053406493771</v>
      </c>
      <c r="K42" s="125">
        <v>10.092558069229607</v>
      </c>
      <c r="L42" s="242"/>
      <c r="M42" s="238"/>
      <c r="N42" s="51" t="e">
        <v>#DIV/0!</v>
      </c>
      <c r="O42" s="51" t="e">
        <v>#DIV/0!</v>
      </c>
    </row>
    <row r="43" spans="1:15" x14ac:dyDescent="0.25">
      <c r="A43" s="71"/>
      <c r="B43" s="72"/>
      <c r="C43" s="73"/>
      <c r="D43" s="147"/>
      <c r="E43" s="75"/>
      <c r="F43" s="73"/>
      <c r="G43" s="234"/>
      <c r="H43" s="75"/>
      <c r="I43" s="76"/>
      <c r="J43" s="361">
        <v>0.2344053406493771</v>
      </c>
      <c r="K43" s="125">
        <v>10.092558069229607</v>
      </c>
      <c r="L43" s="242"/>
      <c r="M43" s="238"/>
      <c r="N43" s="51" t="e">
        <v>#DIV/0!</v>
      </c>
      <c r="O43" s="51" t="e">
        <v>#DIV/0!</v>
      </c>
    </row>
    <row r="44" spans="1:15" ht="16.5" thickBot="1" x14ac:dyDescent="0.3">
      <c r="A44" s="77" t="s">
        <v>15</v>
      </c>
      <c r="B44" s="78"/>
      <c r="C44" s="79"/>
      <c r="D44" s="148"/>
      <c r="E44" s="80"/>
      <c r="F44" s="79"/>
      <c r="G44" s="235"/>
      <c r="H44" s="80"/>
      <c r="I44" s="81"/>
      <c r="J44" s="126"/>
      <c r="K44" s="127"/>
      <c r="L44" s="243"/>
      <c r="M44" s="239"/>
      <c r="N44" s="51"/>
    </row>
    <row r="45" spans="1:15" s="60" customFormat="1" ht="16.5" thickTop="1" x14ac:dyDescent="0.25">
      <c r="A45" s="562" t="s">
        <v>85</v>
      </c>
      <c r="B45" s="563">
        <f ca="1">SUMIFS($B$6:$B$44,$A$6:$A$44,"&gt;="&amp;$B46,$A$6:$A$44,"&lt;="&amp;$D46)</f>
        <v>0</v>
      </c>
      <c r="C45" s="566">
        <f ca="1">SUMIFS($C$6:$C$44,$A$6:$A$44,"&gt;="&amp;$B46,$A$6:$A$44,"&lt;="&amp;$D46)</f>
        <v>0</v>
      </c>
      <c r="D45" s="568"/>
      <c r="E45" s="564"/>
      <c r="F45" s="569">
        <f ca="1">SUMIFS($F$6:$F$44,$D$6:$D$44,"&gt;="&amp;$B46,$D$6:$D$44,"&lt;="&amp;$D46)</f>
        <v>0</v>
      </c>
      <c r="G45" s="753" t="s">
        <v>354</v>
      </c>
      <c r="H45" s="798">
        <f ca="1">SUMIFS($I$6:$I$44,$H$6:$H$44,"="&amp;G45,$G$6:$G$44,"&gt;="&amp;$B$46,$G$6:$G$44,"&lt;="&amp;$D$46)</f>
        <v>0</v>
      </c>
      <c r="I45" s="566">
        <f ca="1">SUMIFS($I$6:$I$44,$G$6:$G$44,"&gt;="&amp;$B46,$G$6:$G$44,"&lt;="&amp;$D46)</f>
        <v>0</v>
      </c>
      <c r="J45" s="1108">
        <f>AVERAGE(J6:J44)</f>
        <v>0.20666357952495099</v>
      </c>
      <c r="K45" s="1109">
        <f>AVERAGE(K6:K44)</f>
        <v>10.09020195283391</v>
      </c>
      <c r="L45" s="570">
        <f ca="1">SUMIFS($L$6:$L$44,$A$6:$A$44,"&gt;="&amp;$B46,$A$6:$A$44,"&lt;="&amp;$D46)</f>
        <v>0</v>
      </c>
      <c r="M45" s="565"/>
    </row>
    <row r="46" spans="1:15" s="561" customFormat="1" x14ac:dyDescent="0.25">
      <c r="A46" s="572" t="s">
        <v>328</v>
      </c>
      <c r="B46" s="2353">
        <f>Prehľad!AV1</f>
        <v>43831</v>
      </c>
      <c r="C46" s="2354"/>
      <c r="D46" s="2353">
        <f ca="1">Prehľad!AX1</f>
        <v>44607</v>
      </c>
      <c r="E46" s="2354"/>
      <c r="F46" s="573"/>
      <c r="G46" s="574"/>
      <c r="H46" s="575"/>
      <c r="I46" s="573"/>
      <c r="J46" s="1120" t="s">
        <v>712</v>
      </c>
      <c r="K46" s="1121">
        <f>MAX(K6:K44)</f>
        <v>10.1</v>
      </c>
      <c r="L46" s="826">
        <f>AVERAGE(L6:L44)</f>
        <v>1074.03125</v>
      </c>
      <c r="M46" s="579"/>
      <c r="N46" s="560"/>
    </row>
    <row r="47" spans="1:15" x14ac:dyDescent="0.25">
      <c r="A47" s="53"/>
      <c r="D47" s="56"/>
      <c r="E47" s="6"/>
      <c r="F47" s="55"/>
    </row>
    <row r="48" spans="1:15" s="828" customFormat="1" x14ac:dyDescent="0.25">
      <c r="A48" s="827">
        <v>43440</v>
      </c>
      <c r="B48" s="537" t="s">
        <v>376</v>
      </c>
      <c r="C48" s="537"/>
      <c r="D48" s="537" t="s">
        <v>467</v>
      </c>
      <c r="E48" s="596">
        <v>268100</v>
      </c>
      <c r="F48" s="618">
        <v>137.41</v>
      </c>
      <c r="G48" s="537" t="s">
        <v>465</v>
      </c>
      <c r="J48" s="618"/>
      <c r="L48" s="829"/>
      <c r="M48" s="830"/>
      <c r="N48" s="830"/>
    </row>
    <row r="49" spans="1:14" s="800" customFormat="1" x14ac:dyDescent="0.25">
      <c r="A49" s="799">
        <v>43612</v>
      </c>
      <c r="B49" s="750" t="s">
        <v>376</v>
      </c>
      <c r="C49" s="750"/>
      <c r="D49" s="750" t="s">
        <v>633</v>
      </c>
      <c r="E49" s="776">
        <v>274111</v>
      </c>
      <c r="F49" s="764">
        <v>44.27</v>
      </c>
      <c r="G49" s="750" t="s">
        <v>630</v>
      </c>
      <c r="J49" s="764"/>
      <c r="L49" s="801"/>
      <c r="M49" s="802"/>
      <c r="N49" s="802"/>
    </row>
    <row r="50" spans="1:14" x14ac:dyDescent="0.25">
      <c r="A50" s="53"/>
      <c r="E50" s="57"/>
      <c r="F50" s="120"/>
      <c r="H50" s="119"/>
    </row>
    <row r="51" spans="1:14" x14ac:dyDescent="0.25">
      <c r="A51" s="53"/>
      <c r="E51" s="57"/>
      <c r="F51" s="120"/>
    </row>
    <row r="52" spans="1:14" x14ac:dyDescent="0.25">
      <c r="E52" s="57"/>
      <c r="F52" s="120"/>
    </row>
    <row r="53" spans="1:14" x14ac:dyDescent="0.25">
      <c r="E53" s="57"/>
      <c r="F53" s="120"/>
    </row>
    <row r="54" spans="1:14" x14ac:dyDescent="0.25">
      <c r="E54" s="57"/>
      <c r="F54" s="120"/>
    </row>
    <row r="55" spans="1:14" x14ac:dyDescent="0.25">
      <c r="E55" s="57"/>
      <c r="F55" s="121"/>
    </row>
    <row r="56" spans="1:14" x14ac:dyDescent="0.25">
      <c r="E56" s="57"/>
      <c r="F56" s="121"/>
    </row>
    <row r="57" spans="1:14" x14ac:dyDescent="0.25">
      <c r="E57" s="57"/>
      <c r="F57" s="121"/>
    </row>
    <row r="58" spans="1:14" x14ac:dyDescent="0.25">
      <c r="E58" s="57"/>
    </row>
    <row r="59" spans="1:14" x14ac:dyDescent="0.25">
      <c r="E59" s="57"/>
    </row>
    <row r="60" spans="1:14" x14ac:dyDescent="0.25">
      <c r="E60" s="57"/>
    </row>
    <row r="61" spans="1:14" x14ac:dyDescent="0.25">
      <c r="E61" s="57"/>
    </row>
    <row r="62" spans="1:14" x14ac:dyDescent="0.25">
      <c r="E62" s="57"/>
    </row>
  </sheetData>
  <mergeCells count="13">
    <mergeCell ref="B46:C46"/>
    <mergeCell ref="D46:E46"/>
    <mergeCell ref="L2:L4"/>
    <mergeCell ref="M2:M4"/>
    <mergeCell ref="K2:K4"/>
    <mergeCell ref="B3:C3"/>
    <mergeCell ref="D4:E4"/>
    <mergeCell ref="G4:H4"/>
    <mergeCell ref="A1:C1"/>
    <mergeCell ref="E1:G1"/>
    <mergeCell ref="B2:D2"/>
    <mergeCell ref="G2:H2"/>
    <mergeCell ref="J2:J4"/>
  </mergeCells>
  <conditionalFormatting sqref="O5:O44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O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39370078740157483" bottom="0.39370078740157483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4:AS41"/>
  <sheetViews>
    <sheetView workbookViewId="0">
      <selection sqref="A1:L14"/>
    </sheetView>
  </sheetViews>
  <sheetFormatPr defaultRowHeight="15.75" x14ac:dyDescent="0.25"/>
  <cols>
    <col min="1" max="1" width="3.625" style="220" customWidth="1"/>
    <col min="2" max="2" width="8.625" style="105" customWidth="1"/>
    <col min="3" max="3" width="24.125" style="105" customWidth="1"/>
    <col min="4" max="5" width="8.625" style="3" customWidth="1"/>
    <col min="6" max="6" width="20.125" style="6" customWidth="1"/>
    <col min="7" max="7" width="5.375" style="57" customWidth="1"/>
    <col min="8" max="8" width="9.375" style="61" customWidth="1"/>
    <col min="9" max="9" width="6.625" style="61" customWidth="1"/>
    <col min="10" max="10" width="6.5" style="61" customWidth="1"/>
    <col min="11" max="16384" width="9" style="1"/>
  </cols>
  <sheetData>
    <row r="4" spans="1:45" s="49" customFormat="1" x14ac:dyDescent="0.25">
      <c r="A4" s="2050" t="s">
        <v>1485</v>
      </c>
      <c r="B4" s="2050"/>
      <c r="C4" s="2050"/>
      <c r="D4" s="2050"/>
      <c r="E4" s="2050"/>
      <c r="F4" s="2050"/>
      <c r="G4" s="2049">
        <f ca="1">TODAY()</f>
        <v>44607</v>
      </c>
      <c r="H4" s="2049"/>
      <c r="I4" s="2049"/>
      <c r="J4" s="2049"/>
    </row>
    <row r="5" spans="1:45" s="2" customFormat="1" ht="60" customHeight="1" x14ac:dyDescent="0.25">
      <c r="A5" s="225" t="s">
        <v>42</v>
      </c>
      <c r="B5" s="94" t="s">
        <v>2</v>
      </c>
      <c r="C5" s="94" t="s">
        <v>3</v>
      </c>
      <c r="D5" s="83" t="s">
        <v>4</v>
      </c>
      <c r="E5" s="83" t="s">
        <v>925</v>
      </c>
      <c r="F5" s="16" t="s">
        <v>69</v>
      </c>
      <c r="G5" s="756" t="s">
        <v>73</v>
      </c>
      <c r="H5" s="757" t="s">
        <v>71</v>
      </c>
      <c r="I5" s="757" t="s">
        <v>72</v>
      </c>
      <c r="J5" s="758" t="s">
        <v>81</v>
      </c>
    </row>
    <row r="6" spans="1:45" s="1044" customFormat="1" x14ac:dyDescent="0.25">
      <c r="A6" s="1037">
        <v>1</v>
      </c>
      <c r="B6" s="1964" t="s">
        <v>594</v>
      </c>
      <c r="C6" s="1965" t="str">
        <f>VLOOKUP(B6,Prehľad!$B$1:$BN$27,2,FALSE)</f>
        <v>ŠKODA - OCTÁVIA combi</v>
      </c>
      <c r="D6" s="689">
        <f>VLOOKUP(B6,Prehľad!$B$1:$BN$27,5,FALSE)</f>
        <v>43558</v>
      </c>
      <c r="E6" s="689">
        <f>VLOOKUP(B6,Prehľad!$B$1:$BN$27,6,FALSE)</f>
        <v>43558</v>
      </c>
      <c r="F6" s="1039" t="s">
        <v>596</v>
      </c>
      <c r="G6" s="1040" t="s">
        <v>110</v>
      </c>
      <c r="H6" s="1042">
        <v>1498</v>
      </c>
      <c r="I6" s="1042">
        <v>110</v>
      </c>
      <c r="J6" s="1043">
        <v>50</v>
      </c>
    </row>
    <row r="7" spans="1:45" s="1044" customFormat="1" x14ac:dyDescent="0.25">
      <c r="A7" s="1037">
        <f t="shared" ref="A7:A23" si="0">A6+1</f>
        <v>2</v>
      </c>
      <c r="B7" s="1038" t="s">
        <v>185</v>
      </c>
      <c r="C7" s="1965" t="str">
        <f>VLOOKUP(B7,Prehľad!$B$1:$BN$27,2,FALSE)</f>
        <v>ŠKODA - OCTÁVIA combi</v>
      </c>
      <c r="D7" s="689">
        <f>VLOOKUP(B7,Prehľad!$B$1:$BN$27,5,FALSE)</f>
        <v>43089</v>
      </c>
      <c r="E7" s="689">
        <f>VLOOKUP(B7,Prehľad!$B$1:$BN$27,6,FALSE)</f>
        <v>43089</v>
      </c>
      <c r="F7" s="1039" t="s">
        <v>187</v>
      </c>
      <c r="G7" s="1040" t="s">
        <v>110</v>
      </c>
      <c r="H7" s="1042">
        <v>1395</v>
      </c>
      <c r="I7" s="1042">
        <v>110</v>
      </c>
      <c r="J7" s="1043">
        <v>50</v>
      </c>
    </row>
    <row r="8" spans="1:45" x14ac:dyDescent="0.25">
      <c r="A8" s="1037">
        <f t="shared" si="0"/>
        <v>3</v>
      </c>
      <c r="B8" s="112" t="s">
        <v>36</v>
      </c>
      <c r="C8" s="1963" t="str">
        <f>VLOOKUP(B8,Prehľad!$B$1:$BN$27,2,FALSE)</f>
        <v>VW - CARAVELLE</v>
      </c>
      <c r="D8" s="192">
        <f>VLOOKUP(B8,Prehľad!$B$1:$BN$27,5,FALSE)</f>
        <v>37256</v>
      </c>
      <c r="E8" s="192">
        <f>VLOOKUP(B8,Prehľad!$B$1:$BN$27,6,FALSE)</f>
        <v>37256</v>
      </c>
      <c r="F8" s="10"/>
      <c r="G8" s="154"/>
      <c r="H8" s="754"/>
      <c r="I8" s="754"/>
      <c r="J8" s="184"/>
    </row>
    <row r="9" spans="1:45" x14ac:dyDescent="0.25">
      <c r="A9" s="131">
        <f t="shared" si="0"/>
        <v>4</v>
      </c>
      <c r="B9" s="112" t="s">
        <v>40</v>
      </c>
      <c r="C9" s="1963" t="str">
        <f>VLOOKUP(B9,Prehľad!$B$1:$BN$27,2,FALSE)</f>
        <v>VW - GOLF combi</v>
      </c>
      <c r="D9" s="192">
        <f>VLOOKUP(B9,Prehľad!$B$1:$BN$27,5,FALSE)</f>
        <v>41992</v>
      </c>
      <c r="E9" s="192">
        <f>VLOOKUP(B9,Prehľad!$B$1:$BN$27,6,FALSE)</f>
        <v>41992</v>
      </c>
      <c r="F9" s="10" t="s">
        <v>82</v>
      </c>
      <c r="G9" s="154" t="s">
        <v>74</v>
      </c>
      <c r="H9" s="754">
        <v>1968</v>
      </c>
      <c r="I9" s="754">
        <v>110</v>
      </c>
      <c r="J9" s="184">
        <v>50</v>
      </c>
    </row>
    <row r="10" spans="1:45" x14ac:dyDescent="0.25">
      <c r="A10" s="131">
        <f t="shared" si="0"/>
        <v>5</v>
      </c>
      <c r="B10" s="9" t="str">
        <f>Prehľad!B22</f>
        <v>KE270MZ</v>
      </c>
      <c r="C10" s="1963" t="str">
        <f>VLOOKUP(B10,Prehľad!$B$1:$BN$27,2,FALSE)</f>
        <v>PEUGEOT - BOXER mikrobus</v>
      </c>
      <c r="D10" s="192">
        <f>VLOOKUP(B10,Prehľad!$B$1:$BN$27,5,FALSE)</f>
        <v>44004</v>
      </c>
      <c r="E10" s="192">
        <f>VLOOKUP(B10,Prehľad!$B$1:$BN$27,6,FALSE)</f>
        <v>44004</v>
      </c>
      <c r="F10" s="13" t="s">
        <v>1138</v>
      </c>
      <c r="G10" s="157" t="s">
        <v>74</v>
      </c>
      <c r="H10" s="755">
        <v>2179</v>
      </c>
      <c r="I10" s="755">
        <v>121</v>
      </c>
      <c r="J10" s="185">
        <v>90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x14ac:dyDescent="0.25">
      <c r="A11" s="131">
        <f t="shared" si="0"/>
        <v>6</v>
      </c>
      <c r="B11" s="112" t="s">
        <v>33</v>
      </c>
      <c r="C11" s="1963" t="str">
        <f>VLOOKUP(B11,Prehľad!$B$1:$BN$27,2,FALSE)</f>
        <v>STARÝ prívesný vozík</v>
      </c>
      <c r="D11" s="192">
        <f>VLOOKUP(B11,Prehľad!$B$1:$BN$27,5,FALSE)</f>
        <v>37057</v>
      </c>
      <c r="E11" s="192">
        <f>VLOOKUP(B11,Prehľad!$B$1:$BN$27,6,FALSE)</f>
        <v>37057</v>
      </c>
      <c r="F11" s="10"/>
      <c r="G11" s="154" t="s">
        <v>758</v>
      </c>
      <c r="H11" s="754" t="s">
        <v>758</v>
      </c>
      <c r="I11" s="754" t="s">
        <v>758</v>
      </c>
      <c r="J11" s="184" t="s">
        <v>758</v>
      </c>
    </row>
    <row r="12" spans="1:45" x14ac:dyDescent="0.25">
      <c r="A12" s="131">
        <f t="shared" si="0"/>
        <v>7</v>
      </c>
      <c r="B12" s="112" t="s">
        <v>393</v>
      </c>
      <c r="C12" s="1963" t="str">
        <f>VLOOKUP(B12,Prehľad!$B$1:$BN$27,2,FALSE)</f>
        <v>NOVÝ prívesný vozík</v>
      </c>
      <c r="D12" s="192">
        <f>VLOOKUP(B12,Prehľad!$B$1:$BN$27,5,FALSE)</f>
        <v>43348</v>
      </c>
      <c r="E12" s="192">
        <f>VLOOKUP(B12,Prehľad!$B$1:$BN$27,6,FALSE)</f>
        <v>43348</v>
      </c>
      <c r="F12" s="10" t="s">
        <v>394</v>
      </c>
      <c r="G12" s="154" t="s">
        <v>758</v>
      </c>
      <c r="H12" s="754" t="s">
        <v>758</v>
      </c>
      <c r="I12" s="754" t="s">
        <v>758</v>
      </c>
      <c r="J12" s="184" t="s">
        <v>758</v>
      </c>
    </row>
    <row r="13" spans="1:45" x14ac:dyDescent="0.25">
      <c r="A13" s="131">
        <f t="shared" si="0"/>
        <v>8</v>
      </c>
      <c r="B13" s="9" t="s">
        <v>28</v>
      </c>
      <c r="C13" s="1963" t="str">
        <f>VLOOKUP(B13,Prehľad!$B$1:$BN$27,2,FALSE)</f>
        <v>CITROEN - BERLINGO</v>
      </c>
      <c r="D13" s="192">
        <f>VLOOKUP(B13,Prehľad!$B$1:$BN$27,5,FALSE)</f>
        <v>39309</v>
      </c>
      <c r="E13" s="192">
        <f>VLOOKUP(B13,Prehľad!$B$1:$BN$27,6,FALSE)</f>
        <v>39309</v>
      </c>
      <c r="F13" s="1527"/>
      <c r="G13" s="157"/>
      <c r="H13" s="755"/>
      <c r="I13" s="755"/>
      <c r="J13" s="1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x14ac:dyDescent="0.25">
      <c r="A14" s="131">
        <f t="shared" si="0"/>
        <v>9</v>
      </c>
      <c r="B14" s="112" t="s">
        <v>38</v>
      </c>
      <c r="C14" s="1963" t="str">
        <f>VLOOKUP(B14,Prehľad!$B$1:$BN$27,2,FALSE)</f>
        <v>VW - PASSAT combi</v>
      </c>
      <c r="D14" s="192">
        <f>VLOOKUP(B14,Prehľad!$B$1:$BN$27,5,FALSE)</f>
        <v>42366</v>
      </c>
      <c r="E14" s="192">
        <f>VLOOKUP(B14,Prehľad!$B$1:$BN$27,6,FALSE)</f>
        <v>42366</v>
      </c>
      <c r="F14" s="10" t="s">
        <v>83</v>
      </c>
      <c r="G14" s="154" t="s">
        <v>74</v>
      </c>
      <c r="H14" s="754">
        <v>1968</v>
      </c>
      <c r="I14" s="754">
        <v>110</v>
      </c>
      <c r="J14" s="184">
        <v>66</v>
      </c>
    </row>
    <row r="15" spans="1:45" s="7" customFormat="1" x14ac:dyDescent="0.25">
      <c r="A15" s="131">
        <f t="shared" si="0"/>
        <v>10</v>
      </c>
      <c r="B15" s="9" t="s">
        <v>20</v>
      </c>
      <c r="C15" s="1963" t="str">
        <f>VLOOKUP(B15,Prehľad!$B$1:$BN$27,2,FALSE)</f>
        <v>ŠKODA - OCTAVIA</v>
      </c>
      <c r="D15" s="192">
        <f>VLOOKUP(B15,Prehľad!$B$1:$BN$27,5,FALSE)</f>
        <v>40959</v>
      </c>
      <c r="E15" s="192">
        <f>VLOOKUP(B15,Prehľad!$B$1:$BN$27,6,FALSE)</f>
        <v>40959</v>
      </c>
      <c r="F15" s="10"/>
      <c r="G15" s="154"/>
      <c r="H15" s="754"/>
      <c r="I15" s="754"/>
      <c r="J15" s="18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7" customFormat="1" x14ac:dyDescent="0.25">
      <c r="A16" s="131">
        <f t="shared" si="0"/>
        <v>11</v>
      </c>
      <c r="B16" s="435" t="s">
        <v>215</v>
      </c>
      <c r="C16" s="1963" t="str">
        <f>VLOOKUP(B16,Prehľad!$B$1:$BN$27,2,FALSE)</f>
        <v>MIDIBUS - ISUZU Novo</v>
      </c>
      <c r="D16" s="192">
        <f>VLOOKUP(B16,Prehľad!$B$1:$BN$27,5,FALSE)</f>
        <v>43160</v>
      </c>
      <c r="E16" s="192">
        <f>VLOOKUP(B16,Prehľad!$B$1:$BN$27,6,FALSE)</f>
        <v>43160</v>
      </c>
      <c r="F16" s="13" t="s">
        <v>288</v>
      </c>
      <c r="G16" s="157" t="s">
        <v>74</v>
      </c>
      <c r="H16" s="755">
        <v>5193</v>
      </c>
      <c r="I16" s="755">
        <v>140</v>
      </c>
      <c r="J16" s="185">
        <v>160</v>
      </c>
    </row>
    <row r="17" spans="1:45" x14ac:dyDescent="0.25">
      <c r="A17" s="131">
        <f t="shared" si="0"/>
        <v>12</v>
      </c>
      <c r="B17" s="9" t="s">
        <v>11</v>
      </c>
      <c r="C17" s="1963" t="str">
        <f>VLOOKUP(B17,Prehľad!$B$1:$BN$27,2,FALSE)</f>
        <v>FORD - TRANSIT</v>
      </c>
      <c r="D17" s="192">
        <f>VLOOKUP(B17,Prehľad!$B$1:$BN$27,5,FALSE)</f>
        <v>39484</v>
      </c>
      <c r="E17" s="192">
        <f>VLOOKUP(B17,Prehľad!$B$1:$BN$27,6,FALSE)</f>
        <v>39484</v>
      </c>
      <c r="F17" s="10"/>
      <c r="G17" s="154"/>
      <c r="H17" s="754"/>
      <c r="I17" s="754"/>
      <c r="J17" s="184"/>
    </row>
    <row r="18" spans="1:45" s="7" customFormat="1" x14ac:dyDescent="0.25">
      <c r="A18" s="131">
        <f t="shared" si="0"/>
        <v>13</v>
      </c>
      <c r="B18" s="9" t="s">
        <v>18</v>
      </c>
      <c r="C18" s="1963" t="str">
        <f>VLOOKUP(B18,Prehľad!$B$1:$BN$27,2,FALSE)</f>
        <v>ŠKODA - SUPERB</v>
      </c>
      <c r="D18" s="192">
        <f>VLOOKUP(B18,Prehľad!$B$1:$BN$27,5,FALSE)</f>
        <v>42356</v>
      </c>
      <c r="E18" s="192">
        <f>VLOOKUP(B18,Prehľad!$B$1:$BN$27,6,FALSE)</f>
        <v>42356</v>
      </c>
      <c r="F18" s="13"/>
      <c r="G18" s="157"/>
      <c r="H18" s="755"/>
      <c r="I18" s="755"/>
      <c r="J18" s="185"/>
    </row>
    <row r="19" spans="1:45" s="7" customFormat="1" x14ac:dyDescent="0.25">
      <c r="A19" s="131">
        <f t="shared" si="0"/>
        <v>14</v>
      </c>
      <c r="B19" s="9" t="s">
        <v>30</v>
      </c>
      <c r="C19" s="1963" t="str">
        <f>VLOOKUP(B19,Prehľad!$B$1:$BN$27,2,FALSE)</f>
        <v>ŠKODA - OCTAVIA combi 4x4</v>
      </c>
      <c r="D19" s="192">
        <f>VLOOKUP(B19,Prehľad!$B$1:$BN$27,5,FALSE)</f>
        <v>41533</v>
      </c>
      <c r="E19" s="192">
        <f>VLOOKUP(B19,Prehľad!$B$1:$BN$27,6,FALSE)</f>
        <v>41533</v>
      </c>
      <c r="F19" s="10"/>
      <c r="G19" s="154"/>
      <c r="H19" s="754"/>
      <c r="I19" s="754"/>
      <c r="J19" s="18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7" customFormat="1" x14ac:dyDescent="0.25">
      <c r="A20" s="131">
        <f t="shared" si="0"/>
        <v>15</v>
      </c>
      <c r="B20" s="1105" t="s">
        <v>164</v>
      </c>
      <c r="C20" s="1963" t="str">
        <f>VLOOKUP(B20,Prehľad!$B$1:$BN$27,2,FALSE)</f>
        <v>ŠKODA - SUPERB 4x4</v>
      </c>
      <c r="D20" s="192">
        <f>VLOOKUP(B20,Prehľad!$B$1:$BN$27,5,FALSE)</f>
        <v>42913</v>
      </c>
      <c r="E20" s="192">
        <f>VLOOKUP(B20,Prehľad!$B$1:$BN$27,6,FALSE)</f>
        <v>42913</v>
      </c>
      <c r="F20" s="1106" t="s">
        <v>165</v>
      </c>
      <c r="G20" s="1050" t="s">
        <v>74</v>
      </c>
      <c r="H20" s="1107">
        <v>1968</v>
      </c>
      <c r="I20" s="1107">
        <v>110</v>
      </c>
      <c r="J20" s="1053">
        <v>66</v>
      </c>
    </row>
    <row r="21" spans="1:45" s="7" customFormat="1" x14ac:dyDescent="0.25">
      <c r="A21" s="131">
        <f t="shared" si="0"/>
        <v>16</v>
      </c>
      <c r="B21" s="1105" t="s">
        <v>25</v>
      </c>
      <c r="C21" s="1963" t="str">
        <f>VLOOKUP(B21,Prehľad!$B$1:$BN$27,2,FALSE)</f>
        <v>FIAT - DOBLO</v>
      </c>
      <c r="D21" s="192">
        <f>VLOOKUP(B21,Prehľad!$B$1:$BN$27,5,FALSE)</f>
        <v>40844</v>
      </c>
      <c r="E21" s="192">
        <f>VLOOKUP(B21,Prehľad!$B$1:$BN$27,6,FALSE)</f>
        <v>40844</v>
      </c>
      <c r="F21" s="26" t="s">
        <v>70</v>
      </c>
      <c r="G21" s="157" t="s">
        <v>74</v>
      </c>
      <c r="H21" s="755">
        <v>1598</v>
      </c>
      <c r="I21" s="179">
        <v>77</v>
      </c>
      <c r="J21" s="185"/>
    </row>
    <row r="22" spans="1:45" s="7" customFormat="1" x14ac:dyDescent="0.25">
      <c r="A22" s="131">
        <f t="shared" si="0"/>
        <v>17</v>
      </c>
      <c r="B22" s="1105" t="s">
        <v>1480</v>
      </c>
      <c r="C22" s="1963" t="str">
        <f>VLOOKUP(B22,Prehľad!$B$1:$BN$27,2,FALSE)</f>
        <v>VW - TRANSPORTER</v>
      </c>
      <c r="D22" s="192">
        <f>VLOOKUP(B22,Prehľad!$B$1:$BN$27,5,FALSE)</f>
        <v>33970</v>
      </c>
      <c r="E22" s="192">
        <f>VLOOKUP(B22,Prehľad!$B$1:$BN$27,6,FALSE)</f>
        <v>44538</v>
      </c>
      <c r="F22" s="1963" t="str">
        <f>VLOOKUP(B22,Prehľad!$B$1:$BN$27,58,FALSE)</f>
        <v>WV2ZZZ70ZPH084958</v>
      </c>
      <c r="G22" s="192" t="str">
        <f>VLOOKUP(B22,Prehľad!$B$1:$BN$27,59,FALSE)</f>
        <v>NM</v>
      </c>
      <c r="H22" s="755">
        <f>VLOOKUP(B22,Prehľad!$B$1:$BN$27,60,FALSE)</f>
        <v>2370</v>
      </c>
      <c r="I22" s="755">
        <f>VLOOKUP(B22,Prehľad!$B$1:$BN$27,61,FALSE)</f>
        <v>57</v>
      </c>
      <c r="J22" s="185">
        <f>VLOOKUP(B22,Prehľad!$B$1:$BN$27,62,FALSE)</f>
        <v>80</v>
      </c>
    </row>
    <row r="23" spans="1:45" s="7" customFormat="1" x14ac:dyDescent="0.25">
      <c r="A23" s="131">
        <f t="shared" si="0"/>
        <v>18</v>
      </c>
      <c r="B23" s="1105" t="s">
        <v>1482</v>
      </c>
      <c r="C23" s="1963" t="str">
        <f>VLOOKUP(B23,Prehľad!$B$1:$BN$27,2,FALSE)</f>
        <v>ŠKODA - FABIA combi</v>
      </c>
      <c r="D23" s="192">
        <f>VLOOKUP(B23,Prehľad!$B$1:$BN$27,5,FALSE)</f>
        <v>37987</v>
      </c>
      <c r="E23" s="192">
        <f>VLOOKUP(B23,Prehľad!$B$1:$BN$27,6,FALSE)</f>
        <v>44538</v>
      </c>
      <c r="F23" s="1963" t="str">
        <f>VLOOKUP(B23,Prehľad!$B$1:$BN$27,58,FALSE)</f>
        <v>TMBJC46Y754242509</v>
      </c>
      <c r="G23" s="192" t="str">
        <f>VLOOKUP(B23,Prehľad!$B$1:$BN$27,59,FALSE)</f>
        <v>BA</v>
      </c>
      <c r="H23" s="755">
        <f>VLOOKUP(B23,Prehľad!$B$1:$BN$27,60,FALSE)</f>
        <v>1390</v>
      </c>
      <c r="I23" s="755">
        <f>VLOOKUP(B23,Prehľad!$B$1:$BN$27,61,FALSE)</f>
        <v>55</v>
      </c>
      <c r="J23" s="185">
        <f>VLOOKUP(B23,Prehľad!$B$1:$BN$27,62,FALSE)</f>
        <v>45</v>
      </c>
    </row>
    <row r="24" spans="1:45" s="7" customFormat="1" x14ac:dyDescent="0.25">
      <c r="A24" s="219"/>
      <c r="B24" s="1105"/>
      <c r="C24" s="202"/>
      <c r="D24" s="203"/>
      <c r="E24" s="1961"/>
      <c r="F24" s="1527"/>
      <c r="G24" s="1050"/>
      <c r="H24" s="1107"/>
      <c r="I24" s="1052"/>
      <c r="J24" s="1053"/>
    </row>
    <row r="25" spans="1:45" s="7" customFormat="1" x14ac:dyDescent="0.25">
      <c r="A25" s="219">
        <v>19</v>
      </c>
      <c r="B25" s="1105" t="s">
        <v>1165</v>
      </c>
      <c r="C25" s="202" t="s">
        <v>1166</v>
      </c>
      <c r="D25" s="1574" t="s">
        <v>1167</v>
      </c>
      <c r="E25" s="1962"/>
      <c r="F25" s="1527" t="s">
        <v>758</v>
      </c>
      <c r="G25" s="1050" t="s">
        <v>758</v>
      </c>
      <c r="H25" s="1107" t="s">
        <v>758</v>
      </c>
      <c r="I25" s="1052" t="s">
        <v>758</v>
      </c>
      <c r="J25" s="1053" t="s">
        <v>758</v>
      </c>
    </row>
    <row r="26" spans="1:45" s="7" customFormat="1" x14ac:dyDescent="0.25">
      <c r="A26" s="219"/>
      <c r="B26" s="1105"/>
      <c r="C26" s="202"/>
      <c r="D26" s="203"/>
      <c r="E26" s="203"/>
      <c r="F26" s="1106"/>
      <c r="G26" s="1050"/>
      <c r="H26" s="1107"/>
      <c r="I26" s="1107"/>
      <c r="J26" s="1053"/>
    </row>
    <row r="27" spans="1:45" s="7" customFormat="1" x14ac:dyDescent="0.25">
      <c r="A27" s="219">
        <f>A25+1</f>
        <v>20</v>
      </c>
      <c r="B27" s="1105" t="s">
        <v>700</v>
      </c>
      <c r="C27" s="202" t="s">
        <v>701</v>
      </c>
      <c r="D27" s="203"/>
      <c r="E27" s="203"/>
      <c r="F27" s="1106"/>
      <c r="G27" s="1050"/>
      <c r="H27" s="1107"/>
      <c r="I27" s="1107"/>
      <c r="J27" s="1053"/>
    </row>
    <row r="28" spans="1:45" s="7" customFormat="1" x14ac:dyDescent="0.25">
      <c r="A28" s="219">
        <f>A27+1</f>
        <v>21</v>
      </c>
      <c r="B28" s="1105" t="s">
        <v>706</v>
      </c>
      <c r="C28" s="202" t="s">
        <v>705</v>
      </c>
      <c r="D28" s="203"/>
      <c r="E28" s="203"/>
      <c r="F28" s="1106"/>
      <c r="G28" s="1050"/>
      <c r="H28" s="1107"/>
      <c r="I28" s="1107"/>
      <c r="J28" s="1053"/>
    </row>
    <row r="29" spans="1:45" s="7" customFormat="1" x14ac:dyDescent="0.25">
      <c r="A29" s="219">
        <f>A28+1</f>
        <v>22</v>
      </c>
      <c r="B29" s="1105" t="s">
        <v>707</v>
      </c>
      <c r="C29" s="202" t="s">
        <v>708</v>
      </c>
      <c r="D29" s="203"/>
      <c r="E29" s="203"/>
      <c r="F29" s="1106"/>
      <c r="G29" s="1050"/>
      <c r="H29" s="1107"/>
      <c r="I29" s="1107"/>
      <c r="J29" s="1053"/>
    </row>
    <row r="30" spans="1:45" s="7" customFormat="1" x14ac:dyDescent="0.25">
      <c r="A30" s="219">
        <f>A29+1</f>
        <v>23</v>
      </c>
      <c r="B30" s="1105" t="s">
        <v>700</v>
      </c>
      <c r="C30" s="202" t="s">
        <v>702</v>
      </c>
      <c r="D30" s="203"/>
      <c r="E30" s="203"/>
      <c r="F30" s="1106"/>
      <c r="G30" s="1050"/>
      <c r="H30" s="1107"/>
      <c r="I30" s="1107"/>
      <c r="J30" s="1053"/>
    </row>
    <row r="31" spans="1:45" s="7" customFormat="1" x14ac:dyDescent="0.25">
      <c r="A31" s="219">
        <f>A30+1</f>
        <v>24</v>
      </c>
      <c r="B31" s="1105" t="s">
        <v>700</v>
      </c>
      <c r="C31" s="202" t="s">
        <v>703</v>
      </c>
      <c r="D31" s="203"/>
      <c r="E31" s="203"/>
      <c r="F31" s="1106"/>
      <c r="G31" s="1050"/>
      <c r="H31" s="1107"/>
      <c r="I31" s="1107"/>
      <c r="J31" s="1053"/>
    </row>
    <row r="32" spans="1:45" s="7" customFormat="1" x14ac:dyDescent="0.25">
      <c r="A32" s="219">
        <f>A31+1</f>
        <v>25</v>
      </c>
      <c r="B32" s="1105" t="s">
        <v>700</v>
      </c>
      <c r="C32" s="202" t="s">
        <v>704</v>
      </c>
      <c r="D32" s="203"/>
      <c r="E32" s="203"/>
      <c r="F32" s="1106"/>
      <c r="G32" s="1050"/>
      <c r="H32" s="1107"/>
      <c r="I32" s="1107"/>
      <c r="J32" s="1053"/>
    </row>
    <row r="33" spans="1:10" s="7" customFormat="1" x14ac:dyDescent="0.25">
      <c r="A33" s="219"/>
      <c r="B33" s="1105"/>
      <c r="C33" s="202"/>
      <c r="D33" s="203"/>
      <c r="E33" s="203"/>
      <c r="F33" s="1106"/>
      <c r="G33" s="1050"/>
      <c r="H33" s="1107"/>
      <c r="I33" s="1107"/>
      <c r="J33" s="1053"/>
    </row>
    <row r="34" spans="1:10" s="7" customFormat="1" x14ac:dyDescent="0.25">
      <c r="A34" s="219">
        <f>A32+1</f>
        <v>26</v>
      </c>
      <c r="B34" s="1105" t="s">
        <v>700</v>
      </c>
      <c r="C34" s="202" t="s">
        <v>709</v>
      </c>
      <c r="D34" s="203"/>
      <c r="E34" s="203"/>
      <c r="F34" s="1106"/>
      <c r="G34" s="1050"/>
      <c r="H34" s="1107"/>
      <c r="I34" s="1107"/>
      <c r="J34" s="1053"/>
    </row>
    <row r="35" spans="1:10" s="7" customFormat="1" x14ac:dyDescent="0.25">
      <c r="A35" s="226"/>
      <c r="B35" s="759"/>
      <c r="C35" s="103"/>
      <c r="D35" s="245"/>
      <c r="E35" s="245"/>
      <c r="F35" s="760"/>
      <c r="G35" s="761"/>
      <c r="H35" s="762"/>
      <c r="I35" s="762"/>
      <c r="J35" s="524"/>
    </row>
    <row r="36" spans="1:10" x14ac:dyDescent="0.25">
      <c r="A36" s="580"/>
    </row>
    <row r="37" spans="1:10" x14ac:dyDescent="0.25">
      <c r="A37" s="580"/>
    </row>
    <row r="39" spans="1:10" x14ac:dyDescent="0.25">
      <c r="E39" s="796"/>
      <c r="F39" s="796" t="s">
        <v>327</v>
      </c>
      <c r="G39" s="1985" t="s">
        <v>326</v>
      </c>
      <c r="H39" s="1985"/>
      <c r="I39" s="1985"/>
      <c r="J39" s="1985"/>
    </row>
    <row r="40" spans="1:10" ht="35.25" customHeight="1" x14ac:dyDescent="0.25">
      <c r="F40" s="796"/>
      <c r="G40" s="2051" t="s">
        <v>1376</v>
      </c>
      <c r="H40" s="2051"/>
      <c r="I40" s="2051"/>
      <c r="J40" s="2051"/>
    </row>
    <row r="41" spans="1:10" x14ac:dyDescent="0.25">
      <c r="F41" s="1960"/>
      <c r="G41" s="1986">
        <f ca="1">TODAY()</f>
        <v>44607</v>
      </c>
      <c r="H41" s="1986"/>
      <c r="I41" s="1986"/>
      <c r="J41" s="1986"/>
    </row>
  </sheetData>
  <sortState ref="A4:AR21">
    <sortCondition ref="B4:B21"/>
  </sortState>
  <mergeCells count="5">
    <mergeCell ref="G4:J4"/>
    <mergeCell ref="A4:F4"/>
    <mergeCell ref="G39:J39"/>
    <mergeCell ref="G41:J41"/>
    <mergeCell ref="G40:J40"/>
  </mergeCells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AK49"/>
  <sheetViews>
    <sheetView workbookViewId="0">
      <selection sqref="A1:L14"/>
    </sheetView>
  </sheetViews>
  <sheetFormatPr defaultRowHeight="15.75" x14ac:dyDescent="0.25"/>
  <cols>
    <col min="1" max="1" width="8.625" style="656" customWidth="1"/>
    <col min="2" max="2" width="26.375" style="656" customWidth="1"/>
    <col min="3" max="4" width="11.625" style="658" customWidth="1"/>
    <col min="5" max="5" width="11.625" style="663" customWidth="1"/>
    <col min="6" max="6" width="11.625" style="681" customWidth="1"/>
    <col min="7" max="7" width="11.625" style="677" customWidth="1"/>
    <col min="8" max="9" width="11.625" style="681" customWidth="1"/>
    <col min="10" max="10" width="26" style="681" customWidth="1"/>
    <col min="11" max="18" width="8.625" style="658" customWidth="1"/>
    <col min="19" max="19" width="16.375" style="651" customWidth="1"/>
    <col min="20" max="20" width="22" style="651" customWidth="1"/>
    <col min="21" max="24" width="2.625" style="678" customWidth="1"/>
    <col min="25" max="25" width="15" style="651" customWidth="1"/>
    <col min="26" max="26" width="20.125" style="651" customWidth="1"/>
    <col min="27" max="27" width="5.375" style="652" customWidth="1"/>
    <col min="28" max="28" width="7.5" style="653" customWidth="1"/>
    <col min="29" max="29" width="6.625" style="654" customWidth="1"/>
    <col min="30" max="30" width="6.5" style="654" customWidth="1"/>
    <col min="31" max="16384" width="9" style="655"/>
  </cols>
  <sheetData>
    <row r="1" spans="1:37" ht="18.75" x14ac:dyDescent="0.25">
      <c r="A1" s="2063" t="s">
        <v>347</v>
      </c>
      <c r="B1" s="2063"/>
      <c r="C1" s="2063"/>
      <c r="D1" s="2063"/>
      <c r="E1" s="2063"/>
      <c r="F1" s="2063"/>
      <c r="G1" s="2063"/>
      <c r="H1" s="2063"/>
      <c r="I1" s="2063"/>
      <c r="J1" s="2063"/>
    </row>
    <row r="2" spans="1:37" s="434" customFormat="1" x14ac:dyDescent="0.25">
      <c r="A2" s="2062"/>
      <c r="B2" s="2062"/>
      <c r="C2" s="2062"/>
      <c r="D2" s="2062"/>
      <c r="E2" s="2062"/>
      <c r="F2" s="2062"/>
      <c r="G2" s="2062"/>
      <c r="H2" s="2062"/>
      <c r="I2" s="2062"/>
      <c r="J2" s="2062"/>
    </row>
    <row r="3" spans="1:37" s="434" customFormat="1" ht="48" x14ac:dyDescent="0.25">
      <c r="A3" s="2064" t="s">
        <v>344</v>
      </c>
      <c r="B3" s="2066" t="s">
        <v>3</v>
      </c>
      <c r="C3" s="2066" t="s">
        <v>66</v>
      </c>
      <c r="D3" s="698" t="s">
        <v>335</v>
      </c>
      <c r="E3" s="709" t="s">
        <v>342</v>
      </c>
      <c r="F3" s="2054" t="s">
        <v>334</v>
      </c>
      <c r="G3" s="2056" t="s">
        <v>343</v>
      </c>
      <c r="H3" s="2058" t="s">
        <v>1146</v>
      </c>
      <c r="I3" s="2058" t="s">
        <v>341</v>
      </c>
      <c r="J3" s="2060" t="s">
        <v>346</v>
      </c>
    </row>
    <row r="4" spans="1:37" s="676" customFormat="1" x14ac:dyDescent="0.25">
      <c r="A4" s="2065"/>
      <c r="B4" s="2067"/>
      <c r="C4" s="2067"/>
      <c r="D4" s="699">
        <f ca="1">TODAY()</f>
        <v>44607</v>
      </c>
      <c r="E4" s="710">
        <v>365.25</v>
      </c>
      <c r="F4" s="2055"/>
      <c r="G4" s="2057"/>
      <c r="H4" s="2059"/>
      <c r="I4" s="2059"/>
      <c r="J4" s="2061"/>
      <c r="K4" s="659"/>
      <c r="L4" s="659"/>
      <c r="M4" s="665"/>
      <c r="N4" s="665"/>
      <c r="O4" s="665"/>
      <c r="P4" s="665"/>
      <c r="Q4" s="665"/>
      <c r="R4" s="665"/>
      <c r="S4" s="670"/>
      <c r="T4" s="673"/>
      <c r="U4" s="661"/>
      <c r="V4" s="661"/>
      <c r="W4" s="661"/>
      <c r="X4" s="661"/>
      <c r="Y4" s="662"/>
      <c r="Z4" s="670"/>
      <c r="AA4" s="675"/>
      <c r="AB4" s="668"/>
      <c r="AC4" s="669"/>
      <c r="AD4" s="664"/>
    </row>
    <row r="5" spans="1:37" x14ac:dyDescent="0.25">
      <c r="A5" s="694" t="s">
        <v>336</v>
      </c>
      <c r="B5" s="196"/>
      <c r="C5" s="695"/>
      <c r="D5" s="696"/>
      <c r="E5" s="344"/>
      <c r="F5" s="720"/>
      <c r="G5" s="721"/>
      <c r="H5" s="715"/>
      <c r="I5" s="1528">
        <v>120000</v>
      </c>
      <c r="J5" s="697"/>
      <c r="K5" s="659"/>
      <c r="L5" s="659"/>
      <c r="M5" s="665"/>
      <c r="N5" s="665"/>
      <c r="O5" s="665"/>
      <c r="P5" s="665"/>
      <c r="Q5" s="665"/>
      <c r="R5" s="665"/>
      <c r="T5" s="673"/>
      <c r="U5" s="661"/>
      <c r="V5" s="661"/>
      <c r="W5" s="661"/>
      <c r="X5" s="661"/>
      <c r="Y5" s="674"/>
      <c r="AD5" s="663"/>
    </row>
    <row r="6" spans="1:37" s="676" customFormat="1" x14ac:dyDescent="0.25">
      <c r="A6" s="870" t="s">
        <v>33</v>
      </c>
      <c r="B6" s="871" t="s">
        <v>34</v>
      </c>
      <c r="C6" s="872">
        <f>VLOOKUP(A6,Prehľad!$B$1:$BN$27,5,FALSE)</f>
        <v>37057</v>
      </c>
      <c r="D6" s="873">
        <f t="shared" ref="D6:D21" ca="1" si="0">($D$4-C6)/365.25</f>
        <v>20.670773442847366</v>
      </c>
      <c r="E6" s="874">
        <f ca="1">D6</f>
        <v>20.670773442847366</v>
      </c>
      <c r="F6" s="875">
        <f t="shared" ref="F6:F21" ca="1" si="1">C6+(E6*$E$4)</f>
        <v>44607</v>
      </c>
      <c r="G6" s="876">
        <v>500</v>
      </c>
      <c r="H6" s="877"/>
      <c r="I6" s="877"/>
      <c r="J6" s="889" t="s">
        <v>498</v>
      </c>
      <c r="K6" s="878"/>
      <c r="L6" s="878"/>
      <c r="M6" s="879"/>
      <c r="N6" s="879"/>
      <c r="O6" s="879"/>
      <c r="P6" s="879"/>
      <c r="Q6" s="879"/>
      <c r="R6" s="879"/>
      <c r="S6" s="880"/>
      <c r="T6" s="881"/>
      <c r="U6" s="882"/>
      <c r="V6" s="882"/>
      <c r="W6" s="882"/>
      <c r="X6" s="882"/>
      <c r="Y6" s="883"/>
      <c r="Z6" s="880"/>
      <c r="AA6" s="884"/>
      <c r="AB6" s="885"/>
      <c r="AC6" s="886"/>
      <c r="AD6" s="887"/>
      <c r="AE6" s="888"/>
      <c r="AF6" s="888"/>
      <c r="AG6" s="888"/>
      <c r="AH6" s="888"/>
      <c r="AI6" s="888"/>
      <c r="AJ6" s="888"/>
      <c r="AK6" s="888"/>
    </row>
    <row r="7" spans="1:37" s="888" customFormat="1" x14ac:dyDescent="0.25">
      <c r="A7" s="1656" t="s">
        <v>23</v>
      </c>
      <c r="B7" s="1657" t="s">
        <v>21</v>
      </c>
      <c r="C7" s="1658">
        <f>VLOOKUP(A7,Prehľad!$B$1:$BN$27,5,FALSE)</f>
        <v>39451</v>
      </c>
      <c r="D7" s="1659">
        <f t="shared" ca="1" si="0"/>
        <v>14.116358658453114</v>
      </c>
      <c r="E7" s="1660">
        <v>12.8</v>
      </c>
      <c r="F7" s="1661">
        <f t="shared" si="1"/>
        <v>44126.2</v>
      </c>
      <c r="G7" s="1662">
        <v>20000</v>
      </c>
      <c r="H7" s="1663">
        <f>VLOOKUP(A7,Prehľad!$B$1:$BN$27,9,FALSE)</f>
        <v>320493</v>
      </c>
      <c r="I7" s="1663">
        <f ca="1">VLOOKUP(A7,Prehľad!$B$5:$L$27,9,FALSE)/D7*E7</f>
        <v>290606.84127230413</v>
      </c>
      <c r="J7" s="1664" t="s">
        <v>1232</v>
      </c>
      <c r="K7" s="659"/>
      <c r="L7" s="659"/>
      <c r="M7" s="665"/>
      <c r="N7" s="665"/>
      <c r="O7" s="665"/>
      <c r="P7" s="665"/>
      <c r="Q7" s="665"/>
      <c r="R7" s="665"/>
      <c r="S7" s="651"/>
      <c r="T7" s="651"/>
      <c r="U7" s="661"/>
      <c r="V7" s="661"/>
      <c r="W7" s="661"/>
      <c r="X7" s="661"/>
      <c r="Y7" s="660"/>
      <c r="Z7" s="670"/>
      <c r="AA7" s="675"/>
      <c r="AB7" s="668"/>
      <c r="AC7" s="669"/>
      <c r="AD7" s="664"/>
      <c r="AE7" s="676"/>
      <c r="AF7" s="676"/>
      <c r="AG7" s="676"/>
      <c r="AH7" s="676"/>
      <c r="AI7" s="676"/>
      <c r="AJ7" s="676"/>
      <c r="AK7" s="676"/>
    </row>
    <row r="8" spans="1:37" x14ac:dyDescent="0.25">
      <c r="A8" s="687" t="s">
        <v>185</v>
      </c>
      <c r="B8" s="688" t="s">
        <v>186</v>
      </c>
      <c r="C8" s="689">
        <f>VLOOKUP(A8,Prehľad!$B$1:$BN$27,5,FALSE)</f>
        <v>43089</v>
      </c>
      <c r="D8" s="690">
        <f t="shared" ca="1" si="0"/>
        <v>4.1560574948665296</v>
      </c>
      <c r="E8" s="712">
        <v>4</v>
      </c>
      <c r="F8" s="724">
        <f t="shared" si="1"/>
        <v>44550</v>
      </c>
      <c r="G8" s="725">
        <v>20000</v>
      </c>
      <c r="H8" s="716">
        <f>VLOOKUP(A8,Prehľad!$B$1:$BN$27,9,FALSE)</f>
        <v>115805</v>
      </c>
      <c r="I8" s="716">
        <f ca="1">VLOOKUP(A8,Prehľad!$B$5:$L$27,9,FALSE)/D8*E8</f>
        <v>111456.59090909091</v>
      </c>
      <c r="J8" s="691" t="s">
        <v>330</v>
      </c>
      <c r="K8" s="659"/>
      <c r="L8" s="659"/>
      <c r="M8" s="665"/>
      <c r="N8" s="665"/>
      <c r="O8" s="665"/>
      <c r="P8" s="665"/>
      <c r="Q8" s="665"/>
      <c r="R8" s="665"/>
      <c r="T8" s="670"/>
      <c r="U8" s="671"/>
      <c r="V8" s="671"/>
      <c r="W8" s="671"/>
      <c r="X8" s="671"/>
      <c r="Y8" s="672"/>
      <c r="AD8" s="663"/>
    </row>
    <row r="9" spans="1:37" s="676" customFormat="1" x14ac:dyDescent="0.25">
      <c r="A9" s="1396" t="s">
        <v>713</v>
      </c>
      <c r="B9" s="101" t="s">
        <v>39</v>
      </c>
      <c r="C9" s="192">
        <f>VLOOKUP(A9,Prehľad!$B$1:$BN$27,5,FALSE)</f>
        <v>39944</v>
      </c>
      <c r="D9" s="682">
        <f t="shared" ca="1" si="0"/>
        <v>12.766598220396988</v>
      </c>
      <c r="E9" s="256">
        <v>13</v>
      </c>
      <c r="F9" s="722">
        <f t="shared" si="1"/>
        <v>44692.25</v>
      </c>
      <c r="G9" s="723">
        <v>20000</v>
      </c>
      <c r="H9" s="42">
        <f>VLOOKUP(A9,Prehľad!$B$1:$BN$27,9,FALSE)</f>
        <v>621460</v>
      </c>
      <c r="I9" s="42">
        <f ca="1">IF(VLOOKUP(A9,Prehľad!$B$5:$L$27,9,FALSE)/D9*E9&lt;'Vyradené vozidlá'!$H$3,'Vyradené vozidlá'!$H$3,VLOOKUP(A9,Prehľad!$B$5:$L$27,9,FALSE)/D9*E9)</f>
        <v>632821.66952605615</v>
      </c>
      <c r="J9" s="685"/>
      <c r="K9" s="659"/>
      <c r="L9" s="659"/>
      <c r="M9" s="665"/>
      <c r="N9" s="665"/>
      <c r="O9" s="665"/>
      <c r="P9" s="665"/>
      <c r="Q9" s="665"/>
      <c r="R9" s="665"/>
      <c r="S9" s="670"/>
      <c r="T9" s="673"/>
      <c r="U9" s="661"/>
      <c r="V9" s="661"/>
      <c r="W9" s="661"/>
      <c r="X9" s="661"/>
      <c r="Y9" s="662"/>
      <c r="Z9" s="670"/>
      <c r="AA9" s="675"/>
      <c r="AB9" s="668"/>
      <c r="AC9" s="669"/>
      <c r="AD9" s="664"/>
    </row>
    <row r="10" spans="1:37" x14ac:dyDescent="0.25">
      <c r="A10" s="1030" t="s">
        <v>594</v>
      </c>
      <c r="B10" s="1031" t="s">
        <v>597</v>
      </c>
      <c r="C10" s="1032">
        <f>VLOOKUP(A10,Prehľad!$B$1:$BN$27,5,FALSE)</f>
        <v>43558</v>
      </c>
      <c r="D10" s="1033">
        <f t="shared" ca="1" si="0"/>
        <v>2.8720054757015743</v>
      </c>
      <c r="E10" s="1034">
        <v>4</v>
      </c>
      <c r="F10" s="1035">
        <f t="shared" si="1"/>
        <v>45019</v>
      </c>
      <c r="G10" s="1036">
        <v>20000</v>
      </c>
      <c r="H10" s="716">
        <f>VLOOKUP(A10,Prehľad!$B$1:$BN$27,9,FALSE)</f>
        <v>54185</v>
      </c>
      <c r="I10" s="716">
        <f ca="1">VLOOKUP(A10,Prehľad!$B$5:$L$27,9,FALSE)/D10*E10</f>
        <v>75466.429933269785</v>
      </c>
      <c r="J10" s="691" t="s">
        <v>330</v>
      </c>
      <c r="K10" s="1019"/>
      <c r="L10" s="1019"/>
      <c r="M10" s="1020"/>
      <c r="N10" s="1020"/>
      <c r="O10" s="1020"/>
      <c r="P10" s="1020"/>
      <c r="Q10" s="1020"/>
      <c r="R10" s="1020"/>
      <c r="S10" s="1021"/>
      <c r="T10" s="1022"/>
      <c r="U10" s="1023"/>
      <c r="V10" s="1023"/>
      <c r="W10" s="1023"/>
      <c r="X10" s="1023"/>
      <c r="Y10" s="1024"/>
      <c r="Z10" s="1021"/>
      <c r="AA10" s="1025"/>
      <c r="AB10" s="1026"/>
      <c r="AC10" s="1027"/>
      <c r="AD10" s="1028"/>
      <c r="AE10" s="1029"/>
      <c r="AF10" s="1029"/>
      <c r="AG10" s="1029"/>
      <c r="AH10" s="1029"/>
      <c r="AI10" s="1029"/>
      <c r="AJ10" s="1029"/>
      <c r="AK10" s="1029"/>
    </row>
    <row r="11" spans="1:37" s="676" customFormat="1" x14ac:dyDescent="0.25">
      <c r="A11" s="686" t="s">
        <v>36</v>
      </c>
      <c r="B11" s="99" t="s">
        <v>1233</v>
      </c>
      <c r="C11" s="192">
        <f>VLOOKUP(A11,Prehľad!$B$1:$BN$27,5,FALSE)</f>
        <v>37256</v>
      </c>
      <c r="D11" s="682">
        <f t="shared" ca="1" si="0"/>
        <v>20.125941136208077</v>
      </c>
      <c r="E11" s="711">
        <v>23</v>
      </c>
      <c r="F11" s="722">
        <f t="shared" si="1"/>
        <v>45656.75</v>
      </c>
      <c r="G11" s="723">
        <v>30000</v>
      </c>
      <c r="H11" s="42">
        <f>VLOOKUP(A11,Prehľad!$B$1:$BN$27,9,FALSE)</f>
        <v>300392</v>
      </c>
      <c r="I11" s="42">
        <f ca="1">IF(VLOOKUP(A11,Prehľad!$B$5:$L$27,9,FALSE)/D11*E11&lt;'Vyradené vozidlá'!$H$3,'Vyradené vozidlá'!$H$3,VLOOKUP(A11,Prehľad!$B$5:$L$27,9,FALSE)/D11*E11)</f>
        <v>419993.42857142858</v>
      </c>
      <c r="J11" s="683"/>
      <c r="K11" s="659"/>
      <c r="L11" s="659"/>
      <c r="M11" s="665"/>
      <c r="N11" s="665"/>
      <c r="O11" s="665"/>
      <c r="P11" s="665"/>
      <c r="Q11" s="665"/>
      <c r="R11" s="665"/>
      <c r="S11" s="651"/>
      <c r="T11" s="651"/>
      <c r="U11" s="661"/>
      <c r="V11" s="661"/>
      <c r="W11" s="661"/>
      <c r="X11" s="661"/>
      <c r="Y11" s="660"/>
      <c r="Z11" s="651"/>
      <c r="AA11" s="652"/>
      <c r="AB11" s="653"/>
      <c r="AC11" s="654"/>
      <c r="AD11" s="663"/>
      <c r="AE11" s="655"/>
      <c r="AF11" s="655"/>
      <c r="AG11" s="655"/>
      <c r="AH11" s="655"/>
      <c r="AI11" s="655"/>
      <c r="AJ11" s="655"/>
      <c r="AK11" s="655"/>
    </row>
    <row r="12" spans="1:37" s="676" customFormat="1" x14ac:dyDescent="0.25">
      <c r="A12" s="684" t="s">
        <v>28</v>
      </c>
      <c r="B12" s="101" t="s">
        <v>27</v>
      </c>
      <c r="C12" s="191">
        <f>VLOOKUP(A12,Prehľad!$B$1:$BN$27,5,FALSE)</f>
        <v>39309</v>
      </c>
      <c r="D12" s="682">
        <f t="shared" ca="1" si="0"/>
        <v>14.505133470225873</v>
      </c>
      <c r="E12" s="256">
        <v>18</v>
      </c>
      <c r="F12" s="722">
        <f t="shared" si="1"/>
        <v>45883.5</v>
      </c>
      <c r="G12" s="723">
        <v>20000</v>
      </c>
      <c r="H12" s="42">
        <f>VLOOKUP(A12,Prehľad!$B$1:$BN$27,9,FALSE)</f>
        <v>162805</v>
      </c>
      <c r="I12" s="42">
        <f ca="1">IF(VLOOKUP(A12,Prehľad!$B$5:$L$27,9,FALSE)/D12*E12&lt;'Vyradené vozidlá'!$H$3,'Vyradené vozidlá'!$H$3,VLOOKUP(A12,Prehľad!$B$5:$L$27,9,FALSE)/D12*E12)</f>
        <v>419993.42857142858</v>
      </c>
      <c r="J12" s="683"/>
      <c r="K12" s="659"/>
      <c r="L12" s="659"/>
      <c r="M12" s="665"/>
      <c r="N12" s="665"/>
      <c r="O12" s="665"/>
      <c r="P12" s="665"/>
      <c r="Q12" s="665"/>
      <c r="R12" s="665"/>
      <c r="S12" s="651"/>
      <c r="T12" s="673"/>
      <c r="U12" s="661"/>
      <c r="V12" s="661"/>
      <c r="W12" s="661"/>
      <c r="X12" s="661"/>
      <c r="Y12" s="662"/>
      <c r="Z12" s="651"/>
      <c r="AA12" s="652"/>
      <c r="AB12" s="653"/>
      <c r="AC12" s="654"/>
      <c r="AD12" s="663"/>
      <c r="AE12" s="655"/>
      <c r="AF12" s="655"/>
      <c r="AG12" s="655"/>
      <c r="AH12" s="655"/>
      <c r="AI12" s="655"/>
      <c r="AJ12" s="655"/>
      <c r="AK12" s="655"/>
    </row>
    <row r="13" spans="1:37" x14ac:dyDescent="0.25">
      <c r="A13" s="684" t="s">
        <v>25</v>
      </c>
      <c r="B13" s="101" t="s">
        <v>340</v>
      </c>
      <c r="C13" s="191">
        <f>VLOOKUP(A13,Prehľad!$B$1:$BN$27,5,FALSE)</f>
        <v>40844</v>
      </c>
      <c r="D13" s="682">
        <f t="shared" ca="1" si="0"/>
        <v>10.302532511978097</v>
      </c>
      <c r="E13" s="256">
        <v>15</v>
      </c>
      <c r="F13" s="722">
        <f t="shared" si="1"/>
        <v>46322.75</v>
      </c>
      <c r="G13" s="723">
        <v>20000</v>
      </c>
      <c r="H13" s="42">
        <f>VLOOKUP(A13,Prehľad!$B$1:$BN$27,9,FALSE)</f>
        <v>140902</v>
      </c>
      <c r="I13" s="42">
        <f ca="1">IF(VLOOKUP(A13,Prehľad!$B$5:$L$27,9,FALSE)/D13*E13&lt;'Vyradené vozidlá'!$H$3,'Vyradené vozidlá'!$H$3,VLOOKUP(A13,Prehľad!$B$5:$L$27,9,FALSE)/D13*E13)</f>
        <v>419993.42857142858</v>
      </c>
      <c r="J13" s="683"/>
      <c r="K13" s="679"/>
      <c r="L13" s="679"/>
      <c r="M13" s="677"/>
      <c r="N13" s="677"/>
      <c r="O13" s="677"/>
      <c r="P13" s="677"/>
      <c r="Q13" s="677"/>
    </row>
    <row r="14" spans="1:37" s="676" customFormat="1" x14ac:dyDescent="0.25">
      <c r="A14" s="684" t="s">
        <v>20</v>
      </c>
      <c r="B14" s="101" t="s">
        <v>21</v>
      </c>
      <c r="C14" s="191">
        <f>VLOOKUP(A14,Prehľad!$B$1:$BN$27,5,FALSE)</f>
        <v>40959</v>
      </c>
      <c r="D14" s="682">
        <f t="shared" ca="1" si="0"/>
        <v>9.9876796714579061</v>
      </c>
      <c r="E14" s="256">
        <v>15</v>
      </c>
      <c r="F14" s="722">
        <f t="shared" si="1"/>
        <v>46437.75</v>
      </c>
      <c r="G14" s="723">
        <v>20000</v>
      </c>
      <c r="H14" s="42">
        <f>VLOOKUP(A14,Prehľad!$B$1:$BN$27,9,FALSE)</f>
        <v>266739</v>
      </c>
      <c r="I14" s="42">
        <f ca="1">IF(VLOOKUP(A14,Prehľad!$B$5:$L$27,9,FALSE)/D14*E14&lt;'Vyradené vozidlá'!$H$3,'Vyradené vozidlá'!$H$3,VLOOKUP(A14,Prehľad!$B$5:$L$27,9,FALSE)/D14*E14)</f>
        <v>419993.42857142858</v>
      </c>
      <c r="J14" s="683"/>
      <c r="K14" s="659"/>
      <c r="L14" s="659"/>
      <c r="M14" s="665"/>
      <c r="N14" s="665"/>
      <c r="O14" s="665"/>
      <c r="P14" s="665"/>
      <c r="Q14" s="665"/>
      <c r="R14" s="665"/>
      <c r="S14" s="651"/>
      <c r="T14" s="666"/>
      <c r="U14" s="661"/>
      <c r="V14" s="661"/>
      <c r="W14" s="661"/>
      <c r="X14" s="661"/>
      <c r="Y14" s="667"/>
      <c r="Z14" s="651"/>
      <c r="AA14" s="652"/>
      <c r="AB14" s="653"/>
      <c r="AC14" s="654"/>
      <c r="AD14" s="663"/>
      <c r="AE14" s="655"/>
      <c r="AF14" s="655"/>
      <c r="AG14" s="655"/>
      <c r="AH14" s="655"/>
      <c r="AI14" s="655"/>
      <c r="AJ14" s="655"/>
      <c r="AK14" s="655"/>
    </row>
    <row r="15" spans="1:37" s="676" customFormat="1" x14ac:dyDescent="0.25">
      <c r="A15" s="684" t="s">
        <v>30</v>
      </c>
      <c r="B15" s="101" t="s">
        <v>21</v>
      </c>
      <c r="C15" s="192">
        <f>VLOOKUP(A15,Prehľad!$B$1:$BN$27,5,FALSE)</f>
        <v>41533</v>
      </c>
      <c r="D15" s="682">
        <f t="shared" ca="1" si="0"/>
        <v>8.4161533196440796</v>
      </c>
      <c r="E15" s="256">
        <v>15</v>
      </c>
      <c r="F15" s="722">
        <f t="shared" si="1"/>
        <v>47011.75</v>
      </c>
      <c r="G15" s="723">
        <v>20000</v>
      </c>
      <c r="H15" s="42">
        <f>VLOOKUP(A15,Prehľad!$B$1:$BN$27,9,FALSE)</f>
        <v>198913</v>
      </c>
      <c r="I15" s="42">
        <f ca="1">IF(VLOOKUP(A15,Prehľad!$B$5:$L$27,9,FALSE)/D15*E15&lt;'Vyradené vozidlá'!$H$3,'Vyradené vozidlá'!$H$3,VLOOKUP(A15,Prehľad!$B$5:$L$27,9,FALSE)/D15*E15)</f>
        <v>419993.42857142858</v>
      </c>
      <c r="J15" s="683"/>
      <c r="K15" s="659"/>
      <c r="L15" s="659"/>
      <c r="M15" s="665"/>
      <c r="N15" s="665"/>
      <c r="O15" s="665"/>
      <c r="P15" s="665"/>
      <c r="Q15" s="665"/>
      <c r="R15" s="665"/>
      <c r="S15" s="670"/>
      <c r="T15" s="673"/>
      <c r="U15" s="661"/>
      <c r="V15" s="661"/>
      <c r="W15" s="661"/>
      <c r="X15" s="661"/>
      <c r="Y15" s="662"/>
      <c r="Z15" s="670"/>
      <c r="AA15" s="675"/>
      <c r="AB15" s="668"/>
      <c r="AC15" s="669"/>
      <c r="AD15" s="664"/>
    </row>
    <row r="16" spans="1:37" s="676" customFormat="1" x14ac:dyDescent="0.25">
      <c r="A16" s="1397" t="s">
        <v>11</v>
      </c>
      <c r="B16" s="202" t="s">
        <v>345</v>
      </c>
      <c r="C16" s="203">
        <f>VLOOKUP(A16,Prehľad!$B$1:$BN$27,5,FALSE)</f>
        <v>39484</v>
      </c>
      <c r="D16" s="682">
        <f t="shared" ca="1" si="0"/>
        <v>14.026009582477755</v>
      </c>
      <c r="E16" s="713">
        <v>21</v>
      </c>
      <c r="F16" s="726">
        <f t="shared" si="1"/>
        <v>47154.25</v>
      </c>
      <c r="G16" s="727">
        <v>30000</v>
      </c>
      <c r="H16" s="717">
        <f>VLOOKUP(A16,Prehľad!$B$1:$BN$27,9,FALSE)</f>
        <v>108982</v>
      </c>
      <c r="I16" s="717">
        <f ca="1">IF(VLOOKUP(A16,Prehľad!$B$5:$L$27,9,FALSE)/D16*E16&lt;'Vyradené vozidlá'!$H$3,'Vyradené vozidlá'!$H$3,VLOOKUP(A16,Prehľad!$B$5:$L$27,9,FALSE)/D16*E16)</f>
        <v>419993.42857142858</v>
      </c>
      <c r="J16" s="703"/>
      <c r="K16" s="659"/>
      <c r="L16" s="659"/>
      <c r="M16" s="665"/>
      <c r="N16" s="665"/>
      <c r="O16" s="665"/>
      <c r="P16" s="665"/>
      <c r="Q16" s="665"/>
      <c r="R16" s="665"/>
      <c r="S16" s="670"/>
      <c r="T16" s="670"/>
      <c r="U16" s="671"/>
      <c r="V16" s="671"/>
      <c r="W16" s="671"/>
      <c r="X16" s="671"/>
      <c r="Y16" s="672"/>
      <c r="Z16" s="651"/>
      <c r="AA16" s="652"/>
      <c r="AB16" s="653"/>
      <c r="AC16" s="654"/>
      <c r="AD16" s="663"/>
      <c r="AE16" s="655"/>
      <c r="AF16" s="655"/>
      <c r="AG16" s="655"/>
      <c r="AH16" s="655"/>
      <c r="AI16" s="655"/>
      <c r="AJ16" s="655"/>
      <c r="AK16" s="655"/>
    </row>
    <row r="17" spans="1:37" s="1029" customFormat="1" x14ac:dyDescent="0.25">
      <c r="A17" s="1397" t="s">
        <v>18</v>
      </c>
      <c r="B17" s="202" t="s">
        <v>17</v>
      </c>
      <c r="C17" s="701">
        <f>VLOOKUP(A17,Prehľad!$B$1:$BN$27,5,FALSE)</f>
        <v>42356</v>
      </c>
      <c r="D17" s="702">
        <f t="shared" ca="1" si="0"/>
        <v>6.1629021218343603</v>
      </c>
      <c r="E17" s="713">
        <v>15</v>
      </c>
      <c r="F17" s="726">
        <f t="shared" si="1"/>
        <v>47834.75</v>
      </c>
      <c r="G17" s="727">
        <v>35000</v>
      </c>
      <c r="H17" s="42">
        <f>VLOOKUP(A17,Prehľad!$B$1:$BN$27,9,FALSE)</f>
        <v>164700</v>
      </c>
      <c r="I17" s="42">
        <f ca="1">IF(VLOOKUP(A17,Prehľad!$B$5:$L$27,9,FALSE)/D17*E17&lt;'Vyradené vozidlá'!$H$3,'Vyradené vozidlá'!$H$3,VLOOKUP(A17,Prehľad!$B$5:$L$27,9,FALSE)/D17*E17)</f>
        <v>419993.42857142858</v>
      </c>
      <c r="J17" s="683"/>
      <c r="K17" s="659"/>
      <c r="L17" s="659"/>
      <c r="M17" s="665"/>
      <c r="N17" s="665"/>
      <c r="O17" s="665"/>
      <c r="P17" s="665"/>
      <c r="Q17" s="665"/>
      <c r="R17" s="665"/>
      <c r="S17" s="670"/>
      <c r="T17" s="673"/>
      <c r="U17" s="661"/>
      <c r="V17" s="661"/>
      <c r="W17" s="661"/>
      <c r="X17" s="661"/>
      <c r="Y17" s="662"/>
      <c r="Z17" s="670"/>
      <c r="AA17" s="675"/>
      <c r="AB17" s="668"/>
      <c r="AC17" s="669"/>
      <c r="AD17" s="664"/>
      <c r="AE17" s="676"/>
      <c r="AF17" s="676"/>
      <c r="AG17" s="676"/>
      <c r="AH17" s="676"/>
      <c r="AI17" s="676"/>
      <c r="AJ17" s="676"/>
      <c r="AK17" s="676"/>
    </row>
    <row r="18" spans="1:37" s="1029" customFormat="1" x14ac:dyDescent="0.25">
      <c r="A18" s="1397" t="s">
        <v>164</v>
      </c>
      <c r="B18" s="202" t="s">
        <v>17</v>
      </c>
      <c r="C18" s="701">
        <f>VLOOKUP(A18,Prehľad!$B$1:$BN$27,5,FALSE)</f>
        <v>42913</v>
      </c>
      <c r="D18" s="702">
        <f t="shared" ca="1" si="0"/>
        <v>4.6379192334017798</v>
      </c>
      <c r="E18" s="713">
        <v>14</v>
      </c>
      <c r="F18" s="726">
        <f t="shared" si="1"/>
        <v>48026.5</v>
      </c>
      <c r="G18" s="727">
        <v>35000</v>
      </c>
      <c r="H18" s="42">
        <f>VLOOKUP(A18,Prehľad!$B$1:$BN$27,9,FALSE)</f>
        <v>120387</v>
      </c>
      <c r="I18" s="42">
        <f ca="1">IF(VLOOKUP(A18,Prehľad!$B$5:$L$27,9,FALSE)/D18*E18&lt;'Vyradené vozidlá'!$H$3,'Vyradené vozidlá'!$H$3,VLOOKUP(A18,Prehľad!$B$5:$L$27,9,FALSE)/D18*E18)</f>
        <v>419993.42857142858</v>
      </c>
      <c r="J18" s="703"/>
      <c r="K18" s="659"/>
      <c r="L18" s="659"/>
      <c r="M18" s="665"/>
      <c r="N18" s="665"/>
      <c r="O18" s="665"/>
      <c r="P18" s="665"/>
      <c r="Q18" s="665"/>
      <c r="R18" s="665"/>
      <c r="S18" s="670"/>
      <c r="T18" s="673"/>
      <c r="U18" s="661"/>
      <c r="V18" s="661"/>
      <c r="W18" s="661"/>
      <c r="X18" s="661"/>
      <c r="Y18" s="662"/>
      <c r="Z18" s="670"/>
      <c r="AA18" s="675"/>
      <c r="AB18" s="668"/>
      <c r="AC18" s="669"/>
      <c r="AD18" s="664"/>
      <c r="AE18" s="676"/>
      <c r="AF18" s="676"/>
      <c r="AG18" s="676"/>
      <c r="AH18" s="676"/>
      <c r="AI18" s="676"/>
      <c r="AJ18" s="676"/>
      <c r="AK18" s="676"/>
    </row>
    <row r="19" spans="1:37" s="1029" customFormat="1" x14ac:dyDescent="0.25">
      <c r="A19" s="700" t="s">
        <v>215</v>
      </c>
      <c r="B19" s="202" t="s">
        <v>218</v>
      </c>
      <c r="C19" s="701">
        <f>VLOOKUP(A19,Prehľad!$B$1:$BN$27,5,FALSE)</f>
        <v>43160</v>
      </c>
      <c r="D19" s="702">
        <f t="shared" ca="1" si="0"/>
        <v>3.9616700889801506</v>
      </c>
      <c r="E19" s="713">
        <v>14</v>
      </c>
      <c r="F19" s="726">
        <f t="shared" si="1"/>
        <v>48273.5</v>
      </c>
      <c r="G19" s="727">
        <v>80000</v>
      </c>
      <c r="H19" s="42">
        <f>VLOOKUP(A19,Prehľad!$B$1:$BN$27,9,FALSE)</f>
        <v>46759</v>
      </c>
      <c r="I19" s="42">
        <f ca="1">IF(VLOOKUP(A19,Prehľad!$B$5:$L$27,9,FALSE)/D19*E19&lt;'Vyradené vozidlá'!$H$3,'Vyradené vozidlá'!$H$3,VLOOKUP(A19,Prehľad!$B$5:$L$27,9,FALSE)/D19*E19)</f>
        <v>419993.42857142858</v>
      </c>
      <c r="J19" s="869"/>
      <c r="K19" s="659"/>
      <c r="L19" s="659"/>
      <c r="M19" s="665"/>
      <c r="N19" s="665"/>
      <c r="O19" s="665"/>
      <c r="P19" s="665"/>
      <c r="Q19" s="665"/>
      <c r="R19" s="665"/>
      <c r="S19" s="670"/>
      <c r="T19" s="673"/>
      <c r="U19" s="661"/>
      <c r="V19" s="661"/>
      <c r="W19" s="661"/>
      <c r="X19" s="661"/>
      <c r="Y19" s="662"/>
      <c r="Z19" s="670"/>
      <c r="AA19" s="675"/>
      <c r="AB19" s="668"/>
      <c r="AC19" s="669"/>
      <c r="AD19" s="664"/>
      <c r="AE19" s="676"/>
      <c r="AF19" s="676"/>
      <c r="AG19" s="676"/>
      <c r="AH19" s="676"/>
      <c r="AI19" s="676"/>
      <c r="AJ19" s="676"/>
      <c r="AK19" s="676"/>
    </row>
    <row r="20" spans="1:37" s="676" customFormat="1" x14ac:dyDescent="0.25">
      <c r="A20" s="1396" t="str">
        <f>Prehľad!B22</f>
        <v>KE270MZ</v>
      </c>
      <c r="B20" s="101" t="str">
        <f>Prehľad!C22</f>
        <v>PEUGEOT - BOXER mikrobus</v>
      </c>
      <c r="C20" s="192">
        <f>VLOOKUP(A20,Prehľad!$B$1:$BN$27,5,FALSE)</f>
        <v>44004</v>
      </c>
      <c r="D20" s="682">
        <f t="shared" ca="1" si="0"/>
        <v>1.6509240246406571</v>
      </c>
      <c r="E20" s="256">
        <v>13</v>
      </c>
      <c r="F20" s="722">
        <f t="shared" si="1"/>
        <v>48752.25</v>
      </c>
      <c r="G20" s="723">
        <v>35000</v>
      </c>
      <c r="H20" s="42">
        <f>VLOOKUP(A20,Prehľad!$B$1:$BN$27,9,FALSE)</f>
        <v>9875</v>
      </c>
      <c r="I20" s="42">
        <f ca="1">IF(VLOOKUP(A20,Prehľad!$B$5:$L$27,9,FALSE)/D20*E20&lt;'Vyradené vozidlá'!$H$3,'Vyradené vozidlá'!$H$3,VLOOKUP(A20,Prehľad!$B$5:$L$27,9,FALSE)/D20*E20)</f>
        <v>419993.42857142858</v>
      </c>
      <c r="J20" s="685"/>
      <c r="K20" s="659"/>
      <c r="L20" s="659"/>
      <c r="M20" s="665"/>
      <c r="N20" s="665"/>
      <c r="O20" s="665"/>
      <c r="P20" s="665"/>
      <c r="Q20" s="665"/>
      <c r="R20" s="665"/>
      <c r="S20" s="670"/>
      <c r="T20" s="673"/>
      <c r="U20" s="661"/>
      <c r="V20" s="661"/>
      <c r="W20" s="661"/>
      <c r="X20" s="661"/>
      <c r="Y20" s="662"/>
      <c r="Z20" s="670"/>
      <c r="AA20" s="675"/>
      <c r="AB20" s="668"/>
      <c r="AC20" s="669"/>
      <c r="AD20" s="664"/>
    </row>
    <row r="21" spans="1:37" x14ac:dyDescent="0.25">
      <c r="A21" s="1396" t="s">
        <v>393</v>
      </c>
      <c r="B21" s="101" t="s">
        <v>34</v>
      </c>
      <c r="C21" s="192">
        <f>VLOOKUP(A21,Prehľad!$B$1:$BN$27,5,FALSE)</f>
        <v>43348</v>
      </c>
      <c r="D21" s="682">
        <f t="shared" ca="1" si="0"/>
        <v>3.4469541409993156</v>
      </c>
      <c r="E21" s="256">
        <v>16</v>
      </c>
      <c r="F21" s="722">
        <f t="shared" si="1"/>
        <v>49192</v>
      </c>
      <c r="G21" s="723">
        <v>1500</v>
      </c>
      <c r="H21" s="42"/>
      <c r="I21" s="42"/>
      <c r="J21" s="685"/>
      <c r="K21" s="659"/>
      <c r="L21" s="659"/>
      <c r="M21" s="665"/>
      <c r="N21" s="665"/>
      <c r="O21" s="665"/>
      <c r="P21" s="665"/>
      <c r="Q21" s="665"/>
      <c r="R21" s="665"/>
      <c r="S21" s="670"/>
      <c r="T21" s="673"/>
      <c r="U21" s="661"/>
      <c r="V21" s="661"/>
      <c r="W21" s="661"/>
      <c r="X21" s="661"/>
      <c r="Y21" s="662"/>
      <c r="Z21" s="670"/>
      <c r="AA21" s="675"/>
      <c r="AB21" s="668"/>
      <c r="AC21" s="669"/>
      <c r="AD21" s="664"/>
      <c r="AE21" s="676"/>
      <c r="AF21" s="676"/>
      <c r="AG21" s="676"/>
      <c r="AH21" s="676"/>
      <c r="AI21" s="676"/>
      <c r="AJ21" s="676"/>
      <c r="AK21" s="676"/>
    </row>
    <row r="22" spans="1:37" x14ac:dyDescent="0.25">
      <c r="A22" s="700"/>
      <c r="B22" s="202"/>
      <c r="C22" s="701"/>
      <c r="D22" s="702"/>
      <c r="E22" s="713"/>
      <c r="F22" s="726"/>
      <c r="G22" s="727"/>
      <c r="H22" s="717"/>
      <c r="I22" s="717"/>
      <c r="J22" s="703"/>
      <c r="K22" s="657"/>
      <c r="L22" s="657"/>
      <c r="N22" s="677"/>
      <c r="Y22" s="660"/>
    </row>
    <row r="23" spans="1:37" x14ac:dyDescent="0.25">
      <c r="A23" s="704" t="s">
        <v>337</v>
      </c>
      <c r="B23" s="705"/>
      <c r="C23" s="706"/>
      <c r="D23" s="707"/>
      <c r="E23" s="714"/>
      <c r="F23" s="728"/>
      <c r="G23" s="729"/>
      <c r="H23" s="718"/>
      <c r="I23" s="718"/>
      <c r="J23" s="708"/>
      <c r="K23" s="641"/>
      <c r="L23" s="641"/>
      <c r="M23" s="640"/>
      <c r="N23" s="640"/>
      <c r="O23" s="637"/>
      <c r="P23" s="637"/>
      <c r="Q23" s="637"/>
      <c r="R23" s="677"/>
    </row>
    <row r="24" spans="1:37" x14ac:dyDescent="0.25">
      <c r="A24" s="686" t="s">
        <v>40</v>
      </c>
      <c r="B24" s="99" t="s">
        <v>338</v>
      </c>
      <c r="C24" s="192">
        <f>VLOOKUP(A24,Prehľad!$B$1:$BN$27,5,FALSE)</f>
        <v>41992</v>
      </c>
      <c r="D24" s="682">
        <f ca="1">($D$4-C24)/365.25</f>
        <v>7.1594798083504445</v>
      </c>
      <c r="E24" s="711">
        <v>10</v>
      </c>
      <c r="F24" s="722">
        <f>C24+(E24*$E$4)</f>
        <v>45644.5</v>
      </c>
      <c r="G24" s="723">
        <v>20000</v>
      </c>
      <c r="H24" s="42">
        <f>VLOOKUP(A24,Prehľad!$B$1:$BN$27,9,FALSE)</f>
        <v>136464</v>
      </c>
      <c r="I24" s="42">
        <f ca="1">IF(VLOOKUP(A24,Prehľad!$B$5:$L$27,9,FALSE)/D24*E24&lt;'Vyradené vozidlá'!$H$3,'Vyradené vozidlá'!$H$3,VLOOKUP(A24,Prehľad!$B$5:$L$27,9,FALSE)/D24*E24)</f>
        <v>419993.42857142858</v>
      </c>
      <c r="J24" s="683"/>
      <c r="K24" s="659"/>
      <c r="L24" s="659"/>
      <c r="M24" s="665"/>
      <c r="N24" s="665"/>
      <c r="O24" s="665"/>
      <c r="P24" s="665"/>
      <c r="Q24" s="665"/>
      <c r="R24" s="665"/>
      <c r="S24" s="670"/>
      <c r="T24" s="670"/>
      <c r="U24" s="671"/>
      <c r="V24" s="671"/>
      <c r="W24" s="671"/>
      <c r="X24" s="671"/>
      <c r="Y24" s="672"/>
      <c r="AD24" s="663"/>
    </row>
    <row r="25" spans="1:37" x14ac:dyDescent="0.25">
      <c r="A25" s="686" t="s">
        <v>38</v>
      </c>
      <c r="B25" s="99" t="s">
        <v>339</v>
      </c>
      <c r="C25" s="192">
        <f>VLOOKUP(A25,Prehľad!$B$1:$BN$27,5,FALSE)</f>
        <v>42366</v>
      </c>
      <c r="D25" s="682">
        <f ca="1">($D$4-C25)/365.25</f>
        <v>6.1355236139630387</v>
      </c>
      <c r="E25" s="711">
        <v>10</v>
      </c>
      <c r="F25" s="722">
        <f>C25+(E25*$E$4)</f>
        <v>46018.5</v>
      </c>
      <c r="G25" s="723">
        <v>35000</v>
      </c>
      <c r="H25" s="42">
        <f>VLOOKUP(A25,Prehľad!$B$1:$BN$27,9,FALSE)</f>
        <v>190728</v>
      </c>
      <c r="I25" s="42">
        <f ca="1">IF(VLOOKUP(A25,Prehľad!$B$5:$L$27,9,FALSE)/D25*E25&lt;'Vyradené vozidlá'!$H$3,'Vyradené vozidlá'!$H$3,VLOOKUP(A25,Prehľad!$B$5:$L$27,9,FALSE)/D25*E25)</f>
        <v>419993.42857142858</v>
      </c>
      <c r="J25" s="683"/>
      <c r="K25" s="659"/>
      <c r="L25" s="659"/>
      <c r="M25" s="665"/>
      <c r="N25" s="665"/>
      <c r="O25" s="665"/>
      <c r="P25" s="665"/>
      <c r="Q25" s="665"/>
      <c r="R25" s="665"/>
      <c r="U25" s="661"/>
      <c r="V25" s="661"/>
      <c r="W25" s="661"/>
      <c r="X25" s="661"/>
      <c r="Y25" s="660"/>
      <c r="Z25" s="670"/>
      <c r="AA25" s="675"/>
      <c r="AB25" s="668"/>
      <c r="AC25" s="669"/>
      <c r="AD25" s="664"/>
      <c r="AE25" s="676"/>
      <c r="AF25" s="676"/>
      <c r="AG25" s="676"/>
      <c r="AH25" s="676"/>
      <c r="AI25" s="676"/>
      <c r="AJ25" s="676"/>
      <c r="AK25" s="676"/>
    </row>
    <row r="26" spans="1:37" x14ac:dyDescent="0.25">
      <c r="A26" s="1665"/>
      <c r="B26" s="103"/>
      <c r="C26" s="1666"/>
      <c r="D26" s="692"/>
      <c r="E26" s="257"/>
      <c r="F26" s="730"/>
      <c r="G26" s="731"/>
      <c r="H26" s="719"/>
      <c r="I26" s="719"/>
      <c r="J26" s="693"/>
      <c r="K26" s="657"/>
      <c r="L26" s="657"/>
      <c r="N26" s="677"/>
      <c r="Y26" s="660"/>
    </row>
    <row r="27" spans="1:37" x14ac:dyDescent="0.25">
      <c r="K27" s="679"/>
      <c r="L27" s="679"/>
      <c r="M27" s="677"/>
      <c r="N27" s="677"/>
      <c r="O27" s="677"/>
      <c r="P27" s="677"/>
      <c r="Q27" s="677"/>
    </row>
    <row r="28" spans="1:37" s="561" customFormat="1" x14ac:dyDescent="0.25">
      <c r="A28" s="642"/>
      <c r="B28" s="628"/>
      <c r="C28" s="556"/>
      <c r="D28" s="556"/>
      <c r="E28" s="647"/>
      <c r="F28" s="732"/>
      <c r="G28" s="556"/>
      <c r="H28" s="732"/>
      <c r="I28" s="732"/>
      <c r="J28" s="732"/>
      <c r="K28" s="559"/>
      <c r="L28" s="557"/>
      <c r="M28" s="557"/>
      <c r="N28" s="557"/>
      <c r="O28" s="557"/>
      <c r="P28" s="557"/>
      <c r="Q28" s="557"/>
      <c r="R28" s="557"/>
      <c r="S28" s="557"/>
      <c r="T28" s="558"/>
      <c r="U28" s="558"/>
      <c r="V28" s="639"/>
      <c r="W28" s="639"/>
      <c r="X28" s="639"/>
      <c r="Y28" s="639"/>
      <c r="Z28" s="558"/>
      <c r="AA28" s="558"/>
      <c r="AB28" s="619"/>
      <c r="AC28" s="643"/>
      <c r="AD28" s="559"/>
      <c r="AE28" s="559"/>
    </row>
    <row r="29" spans="1:37" s="274" customFormat="1" x14ac:dyDescent="0.25">
      <c r="A29" s="648"/>
      <c r="B29" s="648"/>
      <c r="C29" s="560"/>
      <c r="D29" s="560"/>
      <c r="E29" s="638"/>
      <c r="F29" s="733"/>
      <c r="G29" s="560"/>
      <c r="H29" s="733"/>
      <c r="I29" s="733"/>
      <c r="J29" s="733"/>
      <c r="K29" s="273"/>
      <c r="L29" s="553"/>
      <c r="M29" s="553"/>
      <c r="N29" s="553"/>
      <c r="O29" s="553"/>
      <c r="P29" s="553"/>
      <c r="Q29" s="553"/>
      <c r="R29" s="553"/>
      <c r="S29" s="553"/>
      <c r="T29" s="270"/>
      <c r="U29" s="270"/>
      <c r="V29" s="646"/>
      <c r="W29" s="646"/>
      <c r="X29" s="646"/>
      <c r="Y29" s="646"/>
      <c r="Z29" s="270"/>
      <c r="AA29" s="270"/>
      <c r="AB29" s="271"/>
      <c r="AC29" s="272"/>
      <c r="AD29" s="273"/>
      <c r="AE29" s="273"/>
    </row>
    <row r="30" spans="1:37" s="734" customFormat="1" x14ac:dyDescent="0.25">
      <c r="C30" s="735"/>
      <c r="D30" s="735"/>
      <c r="E30" s="736"/>
      <c r="F30" s="737"/>
      <c r="G30" s="738" t="s">
        <v>327</v>
      </c>
      <c r="H30" s="738"/>
      <c r="I30" s="2052" t="s">
        <v>326</v>
      </c>
      <c r="J30" s="2052"/>
      <c r="K30" s="739"/>
      <c r="L30" s="650"/>
      <c r="M30" s="650"/>
      <c r="N30" s="650"/>
      <c r="O30" s="650"/>
      <c r="P30" s="650"/>
      <c r="Q30" s="650"/>
      <c r="R30" s="650"/>
      <c r="S30" s="650"/>
      <c r="T30" s="645"/>
      <c r="U30" s="645"/>
      <c r="V30" s="644"/>
      <c r="W30" s="644"/>
      <c r="X30" s="644"/>
      <c r="Y30" s="644"/>
      <c r="Z30" s="645"/>
      <c r="AA30" s="645"/>
      <c r="AB30" s="649"/>
      <c r="AC30" s="740"/>
      <c r="AD30" s="739"/>
      <c r="AE30" s="739"/>
    </row>
    <row r="31" spans="1:37" s="734" customFormat="1" x14ac:dyDescent="0.25">
      <c r="E31" s="736"/>
      <c r="F31" s="737"/>
      <c r="G31" s="735"/>
      <c r="H31" s="735"/>
      <c r="I31" s="2052" t="s">
        <v>1161</v>
      </c>
      <c r="J31" s="2052"/>
      <c r="K31" s="650"/>
      <c r="L31" s="650"/>
      <c r="M31" s="650"/>
      <c r="N31" s="650"/>
      <c r="O31" s="650"/>
      <c r="P31" s="650"/>
      <c r="Q31" s="650"/>
      <c r="R31" s="650"/>
      <c r="S31" s="645"/>
      <c r="T31" s="645"/>
      <c r="U31" s="644"/>
      <c r="V31" s="644"/>
      <c r="W31" s="644"/>
      <c r="X31" s="644"/>
      <c r="Y31" s="645"/>
      <c r="Z31" s="645"/>
      <c r="AA31" s="649"/>
      <c r="AB31" s="740"/>
      <c r="AC31" s="739"/>
      <c r="AD31" s="739"/>
    </row>
    <row r="32" spans="1:37" s="734" customFormat="1" x14ac:dyDescent="0.25">
      <c r="A32" s="741"/>
      <c r="B32" s="741"/>
      <c r="C32" s="735"/>
      <c r="D32" s="735"/>
      <c r="E32" s="736"/>
      <c r="F32" s="737"/>
      <c r="G32" s="735"/>
      <c r="H32" s="735"/>
      <c r="I32" s="2053">
        <f ca="1">TODAY()</f>
        <v>44607</v>
      </c>
      <c r="J32" s="2053"/>
      <c r="K32" s="739"/>
      <c r="L32" s="650"/>
      <c r="M32" s="650"/>
      <c r="N32" s="650"/>
      <c r="O32" s="650"/>
      <c r="P32" s="650"/>
      <c r="Q32" s="650"/>
      <c r="R32" s="650"/>
      <c r="S32" s="650"/>
      <c r="T32" s="645"/>
      <c r="U32" s="645"/>
      <c r="V32" s="644"/>
      <c r="W32" s="644"/>
      <c r="X32" s="644"/>
      <c r="Y32" s="644"/>
      <c r="Z32" s="645"/>
      <c r="AA32" s="645"/>
      <c r="AB32" s="649"/>
      <c r="AC32" s="740"/>
      <c r="AD32" s="739"/>
      <c r="AE32" s="739"/>
    </row>
    <row r="33" spans="1:31" s="734" customFormat="1" x14ac:dyDescent="0.25">
      <c r="C33" s="735"/>
      <c r="D33" s="735"/>
      <c r="E33" s="736"/>
      <c r="F33" s="737"/>
      <c r="G33" s="735"/>
      <c r="H33" s="737"/>
      <c r="I33" s="737"/>
      <c r="J33" s="737"/>
      <c r="K33" s="739"/>
      <c r="L33" s="650"/>
      <c r="M33" s="650"/>
      <c r="N33" s="650"/>
      <c r="O33" s="650"/>
      <c r="P33" s="650"/>
      <c r="Q33" s="650"/>
      <c r="R33" s="650"/>
      <c r="S33" s="650"/>
      <c r="T33" s="645"/>
      <c r="U33" s="645"/>
      <c r="V33" s="644"/>
      <c r="W33" s="644"/>
      <c r="X33" s="644"/>
      <c r="Y33" s="644"/>
      <c r="Z33" s="645"/>
      <c r="AA33" s="645"/>
      <c r="AB33" s="649"/>
      <c r="AC33" s="740"/>
      <c r="AD33" s="739"/>
      <c r="AE33" s="739"/>
    </row>
    <row r="34" spans="1:31" s="734" customFormat="1" x14ac:dyDescent="0.25">
      <c r="E34" s="736"/>
      <c r="F34" s="737"/>
      <c r="G34" s="735"/>
      <c r="H34" s="737"/>
      <c r="I34" s="737"/>
      <c r="J34" s="737"/>
      <c r="K34" s="650"/>
      <c r="L34" s="650"/>
      <c r="M34" s="650"/>
      <c r="N34" s="650"/>
      <c r="O34" s="650"/>
      <c r="P34" s="650"/>
      <c r="Q34" s="650"/>
      <c r="R34" s="650"/>
      <c r="S34" s="645"/>
      <c r="T34" s="645"/>
      <c r="U34" s="644"/>
      <c r="V34" s="644"/>
      <c r="W34" s="644"/>
      <c r="X34" s="644"/>
      <c r="Y34" s="645"/>
      <c r="Z34" s="645"/>
      <c r="AA34" s="649"/>
      <c r="AB34" s="740"/>
      <c r="AC34" s="739"/>
      <c r="AD34" s="739"/>
    </row>
    <row r="35" spans="1:31" s="274" customFormat="1" x14ac:dyDescent="0.25">
      <c r="A35" s="642"/>
      <c r="B35" s="642"/>
      <c r="C35" s="553"/>
      <c r="D35" s="553"/>
      <c r="E35" s="555"/>
      <c r="F35" s="680"/>
      <c r="G35" s="554"/>
      <c r="H35" s="680"/>
      <c r="I35" s="680"/>
      <c r="J35" s="680"/>
      <c r="K35" s="553"/>
      <c r="L35" s="553"/>
      <c r="M35" s="553"/>
      <c r="N35" s="553"/>
      <c r="O35" s="553"/>
      <c r="P35" s="553"/>
      <c r="Q35" s="553"/>
      <c r="R35" s="553"/>
      <c r="S35" s="270"/>
      <c r="T35" s="270"/>
      <c r="U35" s="646"/>
      <c r="V35" s="646"/>
      <c r="W35" s="646"/>
      <c r="X35" s="646"/>
      <c r="Y35" s="270"/>
      <c r="Z35" s="270"/>
      <c r="AA35" s="271"/>
      <c r="AB35" s="272"/>
      <c r="AC35" s="273"/>
      <c r="AD35" s="273"/>
    </row>
    <row r="36" spans="1:31" s="274" customFormat="1" x14ac:dyDescent="0.25">
      <c r="A36" s="642"/>
      <c r="B36" s="642"/>
      <c r="C36" s="553"/>
      <c r="D36" s="553"/>
      <c r="E36" s="555"/>
      <c r="F36" s="680"/>
      <c r="G36" s="554"/>
      <c r="H36" s="680"/>
      <c r="I36" s="680"/>
      <c r="J36" s="680"/>
      <c r="K36" s="553"/>
      <c r="L36" s="553"/>
      <c r="M36" s="553"/>
      <c r="N36" s="553"/>
      <c r="O36" s="553"/>
      <c r="P36" s="553"/>
      <c r="Q36" s="553"/>
      <c r="R36" s="553"/>
      <c r="S36" s="270"/>
      <c r="T36" s="270"/>
      <c r="U36" s="646"/>
      <c r="V36" s="646"/>
      <c r="W36" s="646"/>
      <c r="X36" s="646"/>
      <c r="Y36" s="270"/>
      <c r="Z36" s="270"/>
      <c r="AA36" s="271"/>
      <c r="AB36" s="272"/>
      <c r="AC36" s="273"/>
      <c r="AD36" s="273"/>
    </row>
    <row r="37" spans="1:31" s="274" customFormat="1" x14ac:dyDescent="0.25">
      <c r="A37" s="642"/>
      <c r="B37" s="642"/>
      <c r="C37" s="553"/>
      <c r="D37" s="553"/>
      <c r="E37" s="555"/>
      <c r="F37" s="680"/>
      <c r="G37" s="554"/>
      <c r="H37" s="680"/>
      <c r="I37" s="680"/>
      <c r="J37" s="680"/>
      <c r="K37" s="553"/>
      <c r="L37" s="553"/>
      <c r="M37" s="553"/>
      <c r="N37" s="553"/>
      <c r="O37" s="553"/>
      <c r="P37" s="553"/>
      <c r="Q37" s="553"/>
      <c r="R37" s="553"/>
      <c r="S37" s="270"/>
      <c r="T37" s="270"/>
      <c r="U37" s="646"/>
      <c r="V37" s="646"/>
      <c r="W37" s="646"/>
      <c r="X37" s="646"/>
      <c r="Y37" s="270"/>
      <c r="Z37" s="270"/>
      <c r="AA37" s="271"/>
      <c r="AB37" s="272"/>
      <c r="AC37" s="273"/>
      <c r="AD37" s="273"/>
    </row>
    <row r="38" spans="1:31" s="274" customFormat="1" x14ac:dyDescent="0.25">
      <c r="A38" s="642"/>
      <c r="B38" s="642"/>
      <c r="C38" s="553"/>
      <c r="D38" s="553"/>
      <c r="E38" s="555"/>
      <c r="F38" s="680"/>
      <c r="G38" s="554"/>
      <c r="H38" s="680"/>
      <c r="I38" s="680"/>
      <c r="J38" s="680"/>
      <c r="K38" s="553"/>
      <c r="L38" s="553"/>
      <c r="M38" s="553"/>
      <c r="N38" s="553"/>
      <c r="O38" s="553"/>
      <c r="P38" s="553"/>
      <c r="Q38" s="553"/>
      <c r="R38" s="553"/>
      <c r="S38" s="270"/>
      <c r="T38" s="270"/>
      <c r="U38" s="646"/>
      <c r="V38" s="646"/>
      <c r="W38" s="646"/>
      <c r="X38" s="646"/>
      <c r="Y38" s="270"/>
      <c r="Z38" s="270"/>
      <c r="AA38" s="271"/>
      <c r="AB38" s="272"/>
      <c r="AC38" s="273"/>
      <c r="AD38" s="273"/>
    </row>
    <row r="39" spans="1:31" s="274" customFormat="1" x14ac:dyDescent="0.25">
      <c r="A39" s="642"/>
      <c r="B39" s="642"/>
      <c r="C39" s="553"/>
      <c r="D39" s="553"/>
      <c r="E39" s="555"/>
      <c r="F39" s="680"/>
      <c r="G39" s="554"/>
      <c r="H39" s="680"/>
      <c r="I39" s="680"/>
      <c r="J39" s="680"/>
      <c r="K39" s="553"/>
      <c r="L39" s="553"/>
      <c r="M39" s="553"/>
      <c r="N39" s="553"/>
      <c r="O39" s="553"/>
      <c r="P39" s="553"/>
      <c r="Q39" s="553"/>
      <c r="R39" s="553"/>
      <c r="S39" s="270"/>
      <c r="T39" s="270"/>
      <c r="U39" s="646"/>
      <c r="V39" s="646"/>
      <c r="W39" s="646"/>
      <c r="X39" s="646"/>
      <c r="Y39" s="270"/>
      <c r="Z39" s="270"/>
      <c r="AA39" s="271"/>
      <c r="AB39" s="272"/>
      <c r="AC39" s="273"/>
      <c r="AD39" s="273"/>
    </row>
    <row r="40" spans="1:31" s="274" customFormat="1" x14ac:dyDescent="0.25">
      <c r="A40" s="642"/>
      <c r="B40" s="642"/>
      <c r="C40" s="553"/>
      <c r="D40" s="553"/>
      <c r="E40" s="555"/>
      <c r="F40" s="680"/>
      <c r="G40" s="554"/>
      <c r="H40" s="680"/>
      <c r="I40" s="680"/>
      <c r="J40" s="680"/>
      <c r="K40" s="553"/>
      <c r="L40" s="553"/>
      <c r="M40" s="553"/>
      <c r="N40" s="553"/>
      <c r="O40" s="553"/>
      <c r="P40" s="553"/>
      <c r="Q40" s="553"/>
      <c r="R40" s="553"/>
      <c r="S40" s="270"/>
      <c r="T40" s="270"/>
      <c r="U40" s="646"/>
      <c r="V40" s="646"/>
      <c r="W40" s="646"/>
      <c r="X40" s="646"/>
      <c r="Y40" s="270"/>
      <c r="Z40" s="270"/>
      <c r="AA40" s="271"/>
      <c r="AB40" s="272"/>
      <c r="AC40" s="273"/>
      <c r="AD40" s="273"/>
    </row>
    <row r="41" spans="1:31" s="274" customFormat="1" x14ac:dyDescent="0.25">
      <c r="A41" s="642"/>
      <c r="B41" s="642"/>
      <c r="C41" s="553"/>
      <c r="D41" s="553"/>
      <c r="E41" s="555"/>
      <c r="F41" s="680"/>
      <c r="G41" s="554"/>
      <c r="H41" s="680"/>
      <c r="I41" s="680"/>
      <c r="J41" s="680"/>
      <c r="K41" s="553"/>
      <c r="L41" s="553"/>
      <c r="M41" s="553"/>
      <c r="N41" s="553"/>
      <c r="O41" s="553"/>
      <c r="P41" s="553"/>
      <c r="Q41" s="553"/>
      <c r="R41" s="553"/>
      <c r="S41" s="270"/>
      <c r="T41" s="270"/>
      <c r="U41" s="646"/>
      <c r="V41" s="646"/>
      <c r="W41" s="646"/>
      <c r="X41" s="646"/>
      <c r="Y41" s="270"/>
      <c r="Z41" s="270"/>
      <c r="AA41" s="271"/>
      <c r="AB41" s="272"/>
      <c r="AC41" s="273"/>
      <c r="AD41" s="273"/>
    </row>
    <row r="42" spans="1:31" s="274" customFormat="1" x14ac:dyDescent="0.25">
      <c r="A42" s="642"/>
      <c r="B42" s="642"/>
      <c r="C42" s="553"/>
      <c r="D42" s="553"/>
      <c r="E42" s="555"/>
      <c r="F42" s="680"/>
      <c r="G42" s="554"/>
      <c r="H42" s="680"/>
      <c r="I42" s="680"/>
      <c r="J42" s="680"/>
      <c r="K42" s="553"/>
      <c r="L42" s="553"/>
      <c r="M42" s="553"/>
      <c r="N42" s="553"/>
      <c r="O42" s="553"/>
      <c r="P42" s="553"/>
      <c r="Q42" s="553"/>
      <c r="R42" s="553"/>
      <c r="S42" s="270"/>
      <c r="T42" s="270"/>
      <c r="U42" s="646"/>
      <c r="V42" s="646"/>
      <c r="W42" s="646"/>
      <c r="X42" s="646"/>
      <c r="Y42" s="270"/>
      <c r="Z42" s="270"/>
      <c r="AA42" s="271"/>
      <c r="AB42" s="272"/>
      <c r="AC42" s="273"/>
      <c r="AD42" s="273"/>
    </row>
    <row r="43" spans="1:31" s="274" customFormat="1" x14ac:dyDescent="0.25">
      <c r="A43" s="642"/>
      <c r="B43" s="642"/>
      <c r="C43" s="553"/>
      <c r="D43" s="553"/>
      <c r="E43" s="555"/>
      <c r="F43" s="680"/>
      <c r="G43" s="554"/>
      <c r="H43" s="680"/>
      <c r="I43" s="680"/>
      <c r="J43" s="680"/>
      <c r="K43" s="553"/>
      <c r="L43" s="553"/>
      <c r="M43" s="553"/>
      <c r="N43" s="553"/>
      <c r="O43" s="553"/>
      <c r="P43" s="553"/>
      <c r="Q43" s="553"/>
      <c r="R43" s="553"/>
      <c r="S43" s="270"/>
      <c r="T43" s="270"/>
      <c r="U43" s="646"/>
      <c r="V43" s="646"/>
      <c r="W43" s="646"/>
      <c r="X43" s="646"/>
      <c r="Y43" s="270"/>
      <c r="Z43" s="270"/>
      <c r="AA43" s="271"/>
      <c r="AB43" s="272"/>
      <c r="AC43" s="273"/>
      <c r="AD43" s="273"/>
    </row>
    <row r="44" spans="1:31" s="274" customFormat="1" x14ac:dyDescent="0.25">
      <c r="A44" s="642"/>
      <c r="B44" s="642"/>
      <c r="C44" s="553"/>
      <c r="D44" s="553"/>
      <c r="E44" s="555"/>
      <c r="F44" s="680"/>
      <c r="G44" s="554"/>
      <c r="H44" s="680"/>
      <c r="I44" s="680"/>
      <c r="J44" s="680"/>
      <c r="K44" s="553"/>
      <c r="L44" s="553"/>
      <c r="M44" s="553"/>
      <c r="N44" s="553"/>
      <c r="O44" s="553"/>
      <c r="P44" s="553"/>
      <c r="Q44" s="553"/>
      <c r="R44" s="553"/>
      <c r="S44" s="270"/>
      <c r="T44" s="270"/>
      <c r="U44" s="646"/>
      <c r="V44" s="646"/>
      <c r="W44" s="646"/>
      <c r="X44" s="646"/>
      <c r="Y44" s="270"/>
      <c r="Z44" s="270"/>
      <c r="AA44" s="271"/>
      <c r="AB44" s="272"/>
      <c r="AC44" s="273"/>
      <c r="AD44" s="273"/>
    </row>
    <row r="45" spans="1:31" s="274" customFormat="1" x14ac:dyDescent="0.25">
      <c r="A45" s="642"/>
      <c r="B45" s="642"/>
      <c r="C45" s="553"/>
      <c r="D45" s="553"/>
      <c r="E45" s="555"/>
      <c r="F45" s="680"/>
      <c r="G45" s="554"/>
      <c r="H45" s="680"/>
      <c r="I45" s="680"/>
      <c r="J45" s="680"/>
      <c r="K45" s="553"/>
      <c r="L45" s="553"/>
      <c r="M45" s="553"/>
      <c r="N45" s="553"/>
      <c r="O45" s="553"/>
      <c r="P45" s="553"/>
      <c r="Q45" s="553"/>
      <c r="R45" s="553"/>
      <c r="S45" s="270"/>
      <c r="T45" s="270"/>
      <c r="U45" s="646"/>
      <c r="V45" s="646"/>
      <c r="W45" s="646"/>
      <c r="X45" s="646"/>
      <c r="Y45" s="270"/>
      <c r="Z45" s="270"/>
      <c r="AA45" s="271"/>
      <c r="AB45" s="272"/>
      <c r="AC45" s="273"/>
      <c r="AD45" s="273"/>
    </row>
    <row r="46" spans="1:31" s="274" customFormat="1" x14ac:dyDescent="0.25">
      <c r="A46" s="642"/>
      <c r="B46" s="642"/>
      <c r="C46" s="553"/>
      <c r="D46" s="553"/>
      <c r="E46" s="555"/>
      <c r="F46" s="680"/>
      <c r="G46" s="554"/>
      <c r="H46" s="680"/>
      <c r="I46" s="680"/>
      <c r="J46" s="680"/>
      <c r="K46" s="553"/>
      <c r="L46" s="553"/>
      <c r="M46" s="553"/>
      <c r="N46" s="553"/>
      <c r="O46" s="553"/>
      <c r="P46" s="553"/>
      <c r="Q46" s="553"/>
      <c r="R46" s="553"/>
      <c r="S46" s="270"/>
      <c r="T46" s="270"/>
      <c r="U46" s="646"/>
      <c r="V46" s="646"/>
      <c r="W46" s="646"/>
      <c r="X46" s="646"/>
      <c r="Y46" s="270"/>
      <c r="Z46" s="270"/>
      <c r="AA46" s="271"/>
      <c r="AB46" s="272"/>
      <c r="AC46" s="273"/>
      <c r="AD46" s="273"/>
    </row>
    <row r="47" spans="1:31" s="274" customFormat="1" x14ac:dyDescent="0.25">
      <c r="A47" s="642"/>
      <c r="B47" s="642"/>
      <c r="C47" s="553"/>
      <c r="D47" s="553"/>
      <c r="E47" s="555"/>
      <c r="F47" s="680"/>
      <c r="G47" s="554"/>
      <c r="H47" s="680"/>
      <c r="I47" s="680"/>
      <c r="J47" s="680"/>
      <c r="K47" s="553"/>
      <c r="L47" s="553"/>
      <c r="M47" s="553"/>
      <c r="N47" s="553"/>
      <c r="O47" s="553"/>
      <c r="P47" s="553"/>
      <c r="Q47" s="553"/>
      <c r="R47" s="553"/>
      <c r="S47" s="270"/>
      <c r="T47" s="270"/>
      <c r="U47" s="646"/>
      <c r="V47" s="646"/>
      <c r="W47" s="646"/>
      <c r="X47" s="646"/>
      <c r="Y47" s="270"/>
      <c r="Z47" s="270"/>
      <c r="AA47" s="271"/>
      <c r="AB47" s="272"/>
      <c r="AC47" s="273"/>
      <c r="AD47" s="273"/>
    </row>
    <row r="48" spans="1:31" s="274" customFormat="1" x14ac:dyDescent="0.25">
      <c r="A48" s="642"/>
      <c r="B48" s="642"/>
      <c r="C48" s="553"/>
      <c r="D48" s="553"/>
      <c r="E48" s="555"/>
      <c r="F48" s="680"/>
      <c r="G48" s="554"/>
      <c r="H48" s="680"/>
      <c r="I48" s="680"/>
      <c r="J48" s="680"/>
      <c r="K48" s="553"/>
      <c r="L48" s="553"/>
      <c r="M48" s="553"/>
      <c r="N48" s="553"/>
      <c r="O48" s="553"/>
      <c r="P48" s="553"/>
      <c r="Q48" s="553"/>
      <c r="R48" s="553"/>
      <c r="S48" s="270"/>
      <c r="T48" s="270"/>
      <c r="U48" s="646"/>
      <c r="V48" s="646"/>
      <c r="W48" s="646"/>
      <c r="X48" s="646"/>
      <c r="Y48" s="270"/>
      <c r="Z48" s="270"/>
      <c r="AA48" s="271"/>
      <c r="AB48" s="272"/>
      <c r="AC48" s="273"/>
      <c r="AD48" s="273"/>
    </row>
    <row r="49" spans="1:30" s="274" customFormat="1" x14ac:dyDescent="0.25">
      <c r="A49" s="642"/>
      <c r="B49" s="642"/>
      <c r="C49" s="553"/>
      <c r="D49" s="553"/>
      <c r="E49" s="555"/>
      <c r="F49" s="680"/>
      <c r="G49" s="554"/>
      <c r="H49" s="680"/>
      <c r="I49" s="680"/>
      <c r="J49" s="680"/>
      <c r="K49" s="553"/>
      <c r="L49" s="553"/>
      <c r="M49" s="553"/>
      <c r="N49" s="553"/>
      <c r="O49" s="553"/>
      <c r="P49" s="553"/>
      <c r="Q49" s="553"/>
      <c r="R49" s="553"/>
      <c r="S49" s="270"/>
      <c r="T49" s="270"/>
      <c r="U49" s="646"/>
      <c r="V49" s="646"/>
      <c r="W49" s="646"/>
      <c r="X49" s="646"/>
      <c r="Y49" s="270"/>
      <c r="Z49" s="270"/>
      <c r="AA49" s="271"/>
      <c r="AB49" s="272"/>
      <c r="AC49" s="273"/>
      <c r="AD49" s="273"/>
    </row>
  </sheetData>
  <sortState ref="A6:AK21">
    <sortCondition ref="F6:F21"/>
  </sortState>
  <mergeCells count="13">
    <mergeCell ref="A2:J2"/>
    <mergeCell ref="A1:J1"/>
    <mergeCell ref="A3:A4"/>
    <mergeCell ref="B3:B4"/>
    <mergeCell ref="C3:C4"/>
    <mergeCell ref="I30:J30"/>
    <mergeCell ref="I31:J31"/>
    <mergeCell ref="I32:J32"/>
    <mergeCell ref="F3:F4"/>
    <mergeCell ref="G3:G4"/>
    <mergeCell ref="I3:I4"/>
    <mergeCell ref="J3:J4"/>
    <mergeCell ref="H3:H4"/>
  </mergeCells>
  <conditionalFormatting sqref="I8 I10">
    <cfRule type="cellIs" dxfId="430" priority="1" operator="greaterThan">
      <formula>$I$5</formula>
    </cfRule>
  </conditionalFormatting>
  <pageMargins left="0.39370078740157483" right="0.39370078740157483" top="0.39370078740157483" bottom="0.39370078740157483" header="0" footer="0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2:BD50"/>
  <sheetViews>
    <sheetView workbookViewId="0">
      <pane xSplit="3" ySplit="2" topLeftCell="D3" activePane="bottomRight" state="frozen"/>
      <selection sqref="A1:L14"/>
      <selection pane="topRight" sqref="A1:L14"/>
      <selection pane="bottomLeft" sqref="A1:L14"/>
      <selection pane="bottomRight" sqref="A1:L14"/>
    </sheetView>
  </sheetViews>
  <sheetFormatPr defaultRowHeight="15.75" x14ac:dyDescent="0.25"/>
  <cols>
    <col min="1" max="1" width="9" style="52"/>
    <col min="2" max="2" width="25.125" style="52" customWidth="1"/>
    <col min="3" max="56" width="9" style="941"/>
    <col min="57" max="16384" width="9" style="938"/>
  </cols>
  <sheetData>
    <row r="2" spans="1:56" ht="25.5" x14ac:dyDescent="0.25">
      <c r="A2" s="2068" t="s">
        <v>592</v>
      </c>
      <c r="B2" s="2069"/>
      <c r="C2" s="991" t="s">
        <v>14</v>
      </c>
      <c r="D2" s="992">
        <v>43497</v>
      </c>
      <c r="E2" s="993">
        <v>43525</v>
      </c>
      <c r="F2" s="993">
        <v>43556</v>
      </c>
      <c r="G2" s="993">
        <v>43586</v>
      </c>
      <c r="H2" s="993">
        <v>43617</v>
      </c>
      <c r="I2" s="993">
        <v>43647</v>
      </c>
      <c r="J2" s="993">
        <v>43678</v>
      </c>
      <c r="K2" s="993">
        <v>43709</v>
      </c>
      <c r="L2" s="993">
        <v>43739</v>
      </c>
      <c r="M2" s="993">
        <v>43770</v>
      </c>
      <c r="N2" s="994">
        <v>43800</v>
      </c>
      <c r="O2" s="994">
        <v>43861</v>
      </c>
      <c r="P2" s="994">
        <v>43890</v>
      </c>
      <c r="Q2" s="994">
        <v>43921</v>
      </c>
      <c r="R2" s="994">
        <v>43951</v>
      </c>
      <c r="S2" s="994">
        <v>43982</v>
      </c>
      <c r="T2" s="994">
        <v>44012</v>
      </c>
      <c r="U2" s="994">
        <v>44043</v>
      </c>
      <c r="V2" s="994">
        <v>44074</v>
      </c>
      <c r="W2" s="994">
        <v>44104</v>
      </c>
      <c r="X2" s="994">
        <v>44135</v>
      </c>
      <c r="Y2" s="994">
        <v>44165</v>
      </c>
      <c r="Z2" s="994">
        <v>44196</v>
      </c>
      <c r="AA2" s="994">
        <v>44227</v>
      </c>
      <c r="AB2" s="994">
        <v>44255</v>
      </c>
      <c r="AC2" s="994">
        <v>44286</v>
      </c>
      <c r="AD2" s="995" t="s">
        <v>568</v>
      </c>
    </row>
    <row r="3" spans="1:56" x14ac:dyDescent="0.25">
      <c r="A3" s="1012" t="s">
        <v>36</v>
      </c>
      <c r="B3" s="981" t="s">
        <v>37</v>
      </c>
      <c r="C3" s="987">
        <f>AVERAGE(D3:AD3)</f>
        <v>0.22192307692307686</v>
      </c>
      <c r="D3" s="984">
        <v>0</v>
      </c>
      <c r="E3" s="975">
        <v>0</v>
      </c>
      <c r="F3" s="975">
        <v>0.01</v>
      </c>
      <c r="G3" s="975">
        <v>0.87</v>
      </c>
      <c r="H3" s="975">
        <v>-0.01</v>
      </c>
      <c r="I3" s="975">
        <v>0.02</v>
      </c>
      <c r="J3" s="975">
        <v>0.01</v>
      </c>
      <c r="K3" s="975">
        <v>0.33</v>
      </c>
      <c r="L3" s="975">
        <v>0.01</v>
      </c>
      <c r="M3" s="975">
        <v>-0.39</v>
      </c>
      <c r="N3" s="975">
        <v>0.63</v>
      </c>
      <c r="O3" s="1139">
        <v>3.9</v>
      </c>
      <c r="P3" s="1139">
        <v>0</v>
      </c>
      <c r="Q3" s="1139">
        <v>0.38</v>
      </c>
      <c r="R3" s="1139">
        <v>-0.09</v>
      </c>
      <c r="S3" s="1139">
        <v>0</v>
      </c>
      <c r="T3" s="1139">
        <v>-0.01</v>
      </c>
      <c r="U3" s="1139">
        <v>0</v>
      </c>
      <c r="V3" s="1139">
        <v>0.06</v>
      </c>
      <c r="W3" s="1139">
        <v>-0.12</v>
      </c>
      <c r="X3" s="1139">
        <v>-0.11</v>
      </c>
      <c r="Y3" s="1139">
        <v>0.55000000000000004</v>
      </c>
      <c r="Z3" s="1139">
        <v>-0.31</v>
      </c>
      <c r="AA3" s="1139">
        <v>0.06</v>
      </c>
      <c r="AB3" s="1139">
        <v>0.01</v>
      </c>
      <c r="AC3" s="1139">
        <v>-0.03</v>
      </c>
      <c r="AD3" s="1083"/>
    </row>
    <row r="4" spans="1:56" x14ac:dyDescent="0.25">
      <c r="A4" s="1013" t="s">
        <v>23</v>
      </c>
      <c r="B4" s="942" t="s">
        <v>21</v>
      </c>
      <c r="C4" s="988">
        <f t="shared" ref="C4:C15" si="0">AVERAGE(D4:AD4)</f>
        <v>1.5811688311688314</v>
      </c>
      <c r="D4" s="985">
        <v>0.29571428571428626</v>
      </c>
      <c r="E4" s="754">
        <v>-0.38</v>
      </c>
      <c r="F4" s="754">
        <v>0.14000000000000001</v>
      </c>
      <c r="G4" s="754">
        <v>0.09</v>
      </c>
      <c r="H4" s="754">
        <v>0.22</v>
      </c>
      <c r="I4" s="754">
        <v>-0.03</v>
      </c>
      <c r="J4" s="754">
        <v>-0.67</v>
      </c>
      <c r="K4" s="754">
        <v>0.66</v>
      </c>
      <c r="L4" s="754">
        <v>0.15</v>
      </c>
      <c r="M4" s="754">
        <v>-0.03</v>
      </c>
      <c r="N4" s="754">
        <v>-0.01</v>
      </c>
      <c r="O4" s="178">
        <v>0.49</v>
      </c>
      <c r="P4" s="178">
        <v>-0.01</v>
      </c>
      <c r="Q4" s="178">
        <v>-0.71</v>
      </c>
      <c r="R4" s="178">
        <v>0</v>
      </c>
      <c r="S4" s="178">
        <v>6.32</v>
      </c>
      <c r="T4" s="178">
        <v>4.3899999999999997</v>
      </c>
      <c r="U4" s="178">
        <v>5.14</v>
      </c>
      <c r="V4" s="178">
        <v>5.55</v>
      </c>
      <c r="W4" s="178">
        <v>5.37</v>
      </c>
      <c r="X4" s="178">
        <v>7.81</v>
      </c>
      <c r="Y4" s="178">
        <v>0</v>
      </c>
      <c r="Z4" s="178"/>
      <c r="AA4" s="178"/>
      <c r="AB4" s="178"/>
      <c r="AC4" s="178"/>
      <c r="AD4" s="1084"/>
    </row>
    <row r="5" spans="1:56" x14ac:dyDescent="0.25">
      <c r="A5" s="1013" t="s">
        <v>28</v>
      </c>
      <c r="B5" s="942" t="s">
        <v>27</v>
      </c>
      <c r="C5" s="988">
        <f t="shared" si="0"/>
        <v>-7.6153846153846169E-2</v>
      </c>
      <c r="D5" s="985">
        <v>0</v>
      </c>
      <c r="E5" s="754">
        <v>0</v>
      </c>
      <c r="F5" s="754">
        <v>0.36</v>
      </c>
      <c r="G5" s="754">
        <v>-0.41</v>
      </c>
      <c r="H5" s="754">
        <v>0.05</v>
      </c>
      <c r="I5" s="754">
        <v>-0.39</v>
      </c>
      <c r="J5" s="754">
        <v>-2.93</v>
      </c>
      <c r="K5" s="754">
        <v>2.2200000000000002</v>
      </c>
      <c r="L5" s="754">
        <v>-3.11</v>
      </c>
      <c r="M5" s="754">
        <v>-0.01</v>
      </c>
      <c r="N5" s="754">
        <v>0.05</v>
      </c>
      <c r="O5" s="178">
        <v>0.01</v>
      </c>
      <c r="P5" s="178">
        <v>-3.16</v>
      </c>
      <c r="Q5" s="178">
        <v>-5.91</v>
      </c>
      <c r="R5" s="178">
        <v>5.22</v>
      </c>
      <c r="S5" s="178">
        <v>0.05</v>
      </c>
      <c r="T5" s="178">
        <v>0.05</v>
      </c>
      <c r="U5" s="178">
        <v>0.25</v>
      </c>
      <c r="V5" s="178">
        <v>-3.52</v>
      </c>
      <c r="W5" s="178">
        <v>1.39</v>
      </c>
      <c r="X5" s="178">
        <v>-1.36</v>
      </c>
      <c r="Y5" s="178">
        <v>0.17</v>
      </c>
      <c r="Z5" s="178">
        <v>4.5999999999999996</v>
      </c>
      <c r="AA5" s="178">
        <v>0</v>
      </c>
      <c r="AB5" s="178">
        <v>4.03</v>
      </c>
      <c r="AC5" s="178">
        <v>0.37</v>
      </c>
      <c r="AD5" s="1084"/>
    </row>
    <row r="6" spans="1:56" x14ac:dyDescent="0.25">
      <c r="A6" s="1013" t="s">
        <v>20</v>
      </c>
      <c r="B6" s="942" t="s">
        <v>21</v>
      </c>
      <c r="C6" s="988">
        <f t="shared" si="0"/>
        <v>2.8672816247215511</v>
      </c>
      <c r="D6" s="985">
        <v>0.54932224276032038</v>
      </c>
      <c r="E6" s="754">
        <v>0.48</v>
      </c>
      <c r="F6" s="754">
        <v>0.53</v>
      </c>
      <c r="G6" s="754">
        <v>-1.52</v>
      </c>
      <c r="H6" s="754">
        <v>0.25</v>
      </c>
      <c r="I6" s="754">
        <v>0.51</v>
      </c>
      <c r="J6" s="754">
        <v>1.06</v>
      </c>
      <c r="K6" s="754">
        <v>0.45</v>
      </c>
      <c r="L6" s="754">
        <v>0.79</v>
      </c>
      <c r="M6" s="754">
        <v>0.56999999999999995</v>
      </c>
      <c r="N6" s="754">
        <v>0.47</v>
      </c>
      <c r="O6" s="178">
        <v>0.65</v>
      </c>
      <c r="P6" s="178">
        <v>0.62</v>
      </c>
      <c r="Q6" s="178">
        <v>-4</v>
      </c>
      <c r="R6" s="178">
        <v>2.02</v>
      </c>
      <c r="S6" s="178">
        <v>-0.72</v>
      </c>
      <c r="T6" s="178">
        <v>-0.45</v>
      </c>
      <c r="U6" s="178">
        <v>1.26</v>
      </c>
      <c r="V6" s="178">
        <v>-1.37</v>
      </c>
      <c r="W6" s="178">
        <v>1.28</v>
      </c>
      <c r="X6" s="178">
        <v>-2.75</v>
      </c>
      <c r="Y6" s="178">
        <v>-2</v>
      </c>
      <c r="Z6" s="178">
        <v>2.14</v>
      </c>
      <c r="AA6" s="178">
        <v>67.73</v>
      </c>
      <c r="AB6" s="178">
        <v>5.68</v>
      </c>
      <c r="AC6" s="178">
        <v>0.32</v>
      </c>
      <c r="AD6" s="1084"/>
    </row>
    <row r="7" spans="1:56" s="1641" customFormat="1" x14ac:dyDescent="0.25">
      <c r="A7" s="1013" t="s">
        <v>11</v>
      </c>
      <c r="B7" s="942" t="s">
        <v>1</v>
      </c>
      <c r="C7" s="988">
        <f>AVERAGE(D7:AD7)</f>
        <v>1.7003846153846154</v>
      </c>
      <c r="D7" s="985">
        <v>-1.63</v>
      </c>
      <c r="E7" s="754">
        <v>0.25</v>
      </c>
      <c r="F7" s="754">
        <v>-10.67</v>
      </c>
      <c r="G7" s="754">
        <v>3.46</v>
      </c>
      <c r="H7" s="754">
        <v>0.04</v>
      </c>
      <c r="I7" s="754">
        <v>-0.03</v>
      </c>
      <c r="J7" s="754">
        <v>1.04</v>
      </c>
      <c r="K7" s="754">
        <v>-0.12</v>
      </c>
      <c r="L7" s="754">
        <v>-0.86</v>
      </c>
      <c r="M7" s="754">
        <v>0.48</v>
      </c>
      <c r="N7" s="754">
        <v>0.54</v>
      </c>
      <c r="O7" s="178">
        <v>9.4700000000000006</v>
      </c>
      <c r="P7" s="178">
        <v>-2.73</v>
      </c>
      <c r="Q7" s="178">
        <v>1.74</v>
      </c>
      <c r="R7" s="178">
        <v>0.42</v>
      </c>
      <c r="S7" s="178">
        <v>1.22</v>
      </c>
      <c r="T7" s="178">
        <v>2.89</v>
      </c>
      <c r="U7" s="178">
        <v>1.69</v>
      </c>
      <c r="V7" s="178">
        <v>2.48</v>
      </c>
      <c r="W7" s="178">
        <v>3.52</v>
      </c>
      <c r="X7" s="178">
        <v>1.1200000000000001</v>
      </c>
      <c r="Y7" s="178">
        <v>8.5399999999999991</v>
      </c>
      <c r="Z7" s="178">
        <v>3.5</v>
      </c>
      <c r="AA7" s="178">
        <v>0</v>
      </c>
      <c r="AB7" s="178">
        <v>17.920000000000002</v>
      </c>
      <c r="AC7" s="178">
        <v>-7.0000000000000007E-2</v>
      </c>
      <c r="AD7" s="1084"/>
      <c r="AE7" s="941"/>
      <c r="AF7" s="941"/>
      <c r="AG7" s="941"/>
      <c r="AH7" s="941"/>
      <c r="AI7" s="941"/>
      <c r="AJ7" s="941"/>
      <c r="AK7" s="941"/>
      <c r="AL7" s="941"/>
      <c r="AM7" s="941"/>
      <c r="AN7" s="941"/>
      <c r="AO7" s="941"/>
      <c r="AP7" s="941"/>
      <c r="AQ7" s="941"/>
      <c r="AR7" s="941"/>
      <c r="AS7" s="941"/>
      <c r="AT7" s="941"/>
      <c r="AU7" s="941"/>
      <c r="AV7" s="941"/>
      <c r="AW7" s="941"/>
      <c r="AX7" s="941"/>
      <c r="AY7" s="941"/>
      <c r="AZ7" s="941"/>
      <c r="BA7" s="941"/>
      <c r="BB7" s="941"/>
      <c r="BC7" s="941"/>
      <c r="BD7" s="941"/>
    </row>
    <row r="8" spans="1:56" x14ac:dyDescent="0.25">
      <c r="A8" s="1013" t="s">
        <v>18</v>
      </c>
      <c r="B8" s="942" t="s">
        <v>17</v>
      </c>
      <c r="C8" s="988">
        <f t="shared" si="0"/>
        <v>7.4357713253390578</v>
      </c>
      <c r="D8" s="985">
        <v>0.36005445881552056</v>
      </c>
      <c r="E8" s="754">
        <v>0.46</v>
      </c>
      <c r="F8" s="754">
        <v>0.46</v>
      </c>
      <c r="G8" s="754">
        <v>0.71</v>
      </c>
      <c r="H8" s="754">
        <v>0.23</v>
      </c>
      <c r="I8" s="754">
        <v>2.2799999999999998</v>
      </c>
      <c r="J8" s="754">
        <v>0.52</v>
      </c>
      <c r="K8" s="754">
        <v>0.53</v>
      </c>
      <c r="L8" s="754">
        <v>0.5</v>
      </c>
      <c r="M8" s="754">
        <v>0.42</v>
      </c>
      <c r="N8" s="754">
        <v>0.59</v>
      </c>
      <c r="O8" s="178">
        <v>0.14000000000000001</v>
      </c>
      <c r="P8" s="178">
        <v>0.44</v>
      </c>
      <c r="Q8" s="178">
        <v>1.0900000000000001</v>
      </c>
      <c r="R8" s="178">
        <v>3.19</v>
      </c>
      <c r="S8" s="178">
        <v>0</v>
      </c>
      <c r="T8" s="178">
        <v>0</v>
      </c>
      <c r="U8" s="178">
        <v>1.63</v>
      </c>
      <c r="V8" s="178">
        <v>0</v>
      </c>
      <c r="W8" s="178">
        <v>1.28</v>
      </c>
      <c r="X8" s="178">
        <v>1.89</v>
      </c>
      <c r="Y8" s="178">
        <v>1.54</v>
      </c>
      <c r="Z8" s="178">
        <v>4.6500000000000004</v>
      </c>
      <c r="AA8" s="178">
        <v>96.67</v>
      </c>
      <c r="AB8" s="178">
        <v>0</v>
      </c>
      <c r="AC8" s="178">
        <v>73.75</v>
      </c>
      <c r="AD8" s="1084"/>
    </row>
    <row r="9" spans="1:56" x14ac:dyDescent="0.25">
      <c r="A9" s="1013" t="s">
        <v>30</v>
      </c>
      <c r="B9" s="942" t="s">
        <v>21</v>
      </c>
      <c r="C9" s="988">
        <f t="shared" si="0"/>
        <v>4.1369288174512056</v>
      </c>
      <c r="D9" s="985">
        <v>-0.23985074626865721</v>
      </c>
      <c r="E9" s="754">
        <v>0.03</v>
      </c>
      <c r="F9" s="754">
        <v>0.11</v>
      </c>
      <c r="G9" s="754">
        <v>0.03</v>
      </c>
      <c r="H9" s="754">
        <v>0.05</v>
      </c>
      <c r="I9" s="754">
        <v>0.15</v>
      </c>
      <c r="J9" s="754">
        <v>0.28999999999999998</v>
      </c>
      <c r="K9" s="754">
        <v>0.16</v>
      </c>
      <c r="L9" s="754">
        <v>0.04</v>
      </c>
      <c r="M9" s="754">
        <v>0.15</v>
      </c>
      <c r="N9" s="754">
        <v>0.27</v>
      </c>
      <c r="O9" s="178">
        <v>-0.27</v>
      </c>
      <c r="P9" s="178">
        <v>0.22</v>
      </c>
      <c r="Q9" s="178">
        <v>1.96</v>
      </c>
      <c r="R9" s="178">
        <v>-0.99</v>
      </c>
      <c r="S9" s="178">
        <v>5.98</v>
      </c>
      <c r="T9" s="178">
        <v>2.88</v>
      </c>
      <c r="U9" s="178">
        <v>0</v>
      </c>
      <c r="V9" s="178">
        <v>0</v>
      </c>
      <c r="W9" s="178">
        <v>7.11</v>
      </c>
      <c r="X9" s="178">
        <v>2.73</v>
      </c>
      <c r="Y9" s="178">
        <v>7.89</v>
      </c>
      <c r="Z9" s="178">
        <v>9.57</v>
      </c>
      <c r="AA9" s="178">
        <v>60</v>
      </c>
      <c r="AB9" s="178">
        <v>3.5</v>
      </c>
      <c r="AC9" s="178">
        <v>5.94</v>
      </c>
      <c r="AD9" s="1084"/>
    </row>
    <row r="10" spans="1:56" x14ac:dyDescent="0.25">
      <c r="A10" s="1013" t="s">
        <v>164</v>
      </c>
      <c r="B10" s="942" t="s">
        <v>17</v>
      </c>
      <c r="C10" s="988">
        <f t="shared" si="0"/>
        <v>0.86214583116477561</v>
      </c>
      <c r="D10" s="985">
        <v>0.28579161028416777</v>
      </c>
      <c r="E10" s="754">
        <v>0.28000000000000003</v>
      </c>
      <c r="F10" s="754">
        <v>0.62</v>
      </c>
      <c r="G10" s="754">
        <v>0.33</v>
      </c>
      <c r="H10" s="754">
        <v>0.61</v>
      </c>
      <c r="I10" s="754">
        <v>-7.0000000000000007E-2</v>
      </c>
      <c r="J10" s="754">
        <v>0.72</v>
      </c>
      <c r="K10" s="754">
        <v>0.34</v>
      </c>
      <c r="L10" s="754">
        <v>0.7</v>
      </c>
      <c r="M10" s="754">
        <v>0.37</v>
      </c>
      <c r="N10" s="754">
        <v>0.47</v>
      </c>
      <c r="O10" s="178">
        <v>0.59</v>
      </c>
      <c r="P10" s="178">
        <v>0.14000000000000001</v>
      </c>
      <c r="Q10" s="178">
        <v>0.84</v>
      </c>
      <c r="R10" s="178">
        <v>1.08</v>
      </c>
      <c r="S10" s="178">
        <v>0.56000000000000005</v>
      </c>
      <c r="T10" s="178">
        <v>0.96</v>
      </c>
      <c r="U10" s="178">
        <v>1.47</v>
      </c>
      <c r="V10" s="178">
        <v>-0.25</v>
      </c>
      <c r="W10" s="178">
        <v>0.9</v>
      </c>
      <c r="X10" s="178">
        <v>1.04</v>
      </c>
      <c r="Y10" s="178">
        <v>7.14</v>
      </c>
      <c r="Z10" s="178">
        <v>0.89</v>
      </c>
      <c r="AA10" s="178">
        <v>0</v>
      </c>
      <c r="AB10" s="178">
        <v>1.25</v>
      </c>
      <c r="AC10" s="178">
        <v>1.1499999999999999</v>
      </c>
      <c r="AD10" s="1084"/>
    </row>
    <row r="11" spans="1:56" x14ac:dyDescent="0.25">
      <c r="A11" s="1013" t="s">
        <v>185</v>
      </c>
      <c r="B11" s="942" t="s">
        <v>186</v>
      </c>
      <c r="C11" s="988">
        <f t="shared" si="0"/>
        <v>1.2842790213430506</v>
      </c>
      <c r="D11" s="985">
        <v>0.2312545549193139</v>
      </c>
      <c r="E11" s="754">
        <v>0.76</v>
      </c>
      <c r="F11" s="754">
        <v>0.25</v>
      </c>
      <c r="G11" s="754">
        <v>0.13</v>
      </c>
      <c r="H11" s="754">
        <v>0.2</v>
      </c>
      <c r="I11" s="754">
        <v>1.03</v>
      </c>
      <c r="J11" s="754">
        <v>11.95</v>
      </c>
      <c r="K11" s="754">
        <v>0.12</v>
      </c>
      <c r="L11" s="754">
        <v>0.31</v>
      </c>
      <c r="M11" s="754">
        <v>0.46</v>
      </c>
      <c r="N11" s="754">
        <v>0.1</v>
      </c>
      <c r="O11" s="178">
        <v>-0.02</v>
      </c>
      <c r="P11" s="178">
        <v>0.76</v>
      </c>
      <c r="Q11" s="178">
        <v>0.52</v>
      </c>
      <c r="R11" s="178">
        <v>0.06</v>
      </c>
      <c r="S11" s="178">
        <v>1.27</v>
      </c>
      <c r="T11" s="178">
        <v>0.46</v>
      </c>
      <c r="U11" s="178">
        <v>0.75</v>
      </c>
      <c r="V11" s="178">
        <v>0.8</v>
      </c>
      <c r="W11" s="178">
        <v>0.73</v>
      </c>
      <c r="X11" s="178">
        <v>0.91</v>
      </c>
      <c r="Y11" s="178">
        <v>0.98</v>
      </c>
      <c r="Z11" s="178">
        <v>1.1399999999999999</v>
      </c>
      <c r="AA11" s="178">
        <v>4.76</v>
      </c>
      <c r="AB11" s="178">
        <v>1.39</v>
      </c>
      <c r="AC11" s="178">
        <v>3.34</v>
      </c>
      <c r="AD11" s="1084"/>
    </row>
    <row r="12" spans="1:56" x14ac:dyDescent="0.25">
      <c r="A12" s="1013" t="s">
        <v>215</v>
      </c>
      <c r="B12" s="942" t="s">
        <v>218</v>
      </c>
      <c r="C12" s="988">
        <f t="shared" si="0"/>
        <v>2.4230769230769254E-2</v>
      </c>
      <c r="D12" s="985">
        <v>0</v>
      </c>
      <c r="E12" s="754">
        <v>0</v>
      </c>
      <c r="F12" s="754">
        <v>-0.01</v>
      </c>
      <c r="G12" s="754">
        <v>0.03</v>
      </c>
      <c r="H12" s="754">
        <v>0.04</v>
      </c>
      <c r="I12" s="754">
        <v>0</v>
      </c>
      <c r="J12" s="754">
        <v>0.01</v>
      </c>
      <c r="K12" s="754">
        <v>-1.05</v>
      </c>
      <c r="L12" s="754">
        <v>0</v>
      </c>
      <c r="M12" s="754">
        <v>-6.75</v>
      </c>
      <c r="N12" s="754">
        <v>0.01</v>
      </c>
      <c r="O12" s="178">
        <v>-0.53</v>
      </c>
      <c r="P12" s="178">
        <v>-1.26</v>
      </c>
      <c r="Q12" s="178">
        <v>1.06</v>
      </c>
      <c r="R12" s="178">
        <v>-0.24</v>
      </c>
      <c r="S12" s="178">
        <v>-0.06</v>
      </c>
      <c r="T12" s="178">
        <v>9.2200000000000006</v>
      </c>
      <c r="U12" s="178">
        <v>-0.08</v>
      </c>
      <c r="V12" s="178">
        <v>0.19</v>
      </c>
      <c r="W12" s="178">
        <v>-0.03</v>
      </c>
      <c r="X12" s="178">
        <v>-1.04</v>
      </c>
      <c r="Y12" s="178">
        <v>0.68</v>
      </c>
      <c r="Z12" s="178">
        <v>0.11</v>
      </c>
      <c r="AA12" s="178">
        <v>0.39</v>
      </c>
      <c r="AB12" s="178">
        <v>-0.06</v>
      </c>
      <c r="AC12" s="178">
        <v>0</v>
      </c>
      <c r="AD12" s="1084"/>
    </row>
    <row r="13" spans="1:56" s="1018" customFormat="1" x14ac:dyDescent="0.25">
      <c r="A13" s="1013" t="s">
        <v>594</v>
      </c>
      <c r="B13" s="942" t="s">
        <v>597</v>
      </c>
      <c r="C13" s="988">
        <f t="shared" si="0"/>
        <v>1.3549999999999998</v>
      </c>
      <c r="D13" s="985"/>
      <c r="E13" s="754"/>
      <c r="F13" s="754">
        <v>-7.0000000000000007E-2</v>
      </c>
      <c r="G13" s="754">
        <v>0.47</v>
      </c>
      <c r="H13" s="754">
        <v>-0.09</v>
      </c>
      <c r="I13" s="754">
        <v>0.03</v>
      </c>
      <c r="J13" s="754">
        <v>2.29</v>
      </c>
      <c r="K13" s="754">
        <v>-1.01</v>
      </c>
      <c r="L13" s="754">
        <v>-0.66</v>
      </c>
      <c r="M13" s="754">
        <v>0.21</v>
      </c>
      <c r="N13" s="754">
        <v>0.27</v>
      </c>
      <c r="O13" s="178">
        <v>0.23</v>
      </c>
      <c r="P13" s="178">
        <v>0.01</v>
      </c>
      <c r="Q13" s="178">
        <v>0.14000000000000001</v>
      </c>
      <c r="R13" s="178">
        <v>0.43</v>
      </c>
      <c r="S13" s="178">
        <v>0.17</v>
      </c>
      <c r="T13" s="178">
        <v>0.56999999999999995</v>
      </c>
      <c r="U13" s="178">
        <v>1.32</v>
      </c>
      <c r="V13" s="178">
        <v>1.08</v>
      </c>
      <c r="W13" s="178">
        <v>0.96</v>
      </c>
      <c r="X13" s="178">
        <v>0.6</v>
      </c>
      <c r="Y13" s="178">
        <v>1.69</v>
      </c>
      <c r="Z13" s="178">
        <v>1.55</v>
      </c>
      <c r="AA13" s="178">
        <v>3.59</v>
      </c>
      <c r="AB13" s="178">
        <v>0.96</v>
      </c>
      <c r="AC13" s="178">
        <v>17.78</v>
      </c>
      <c r="AD13" s="1084"/>
      <c r="AE13" s="941"/>
      <c r="AF13" s="941"/>
      <c r="AG13" s="941"/>
      <c r="AH13" s="941"/>
      <c r="AI13" s="941"/>
      <c r="AJ13" s="941"/>
      <c r="AK13" s="941"/>
      <c r="AL13" s="941"/>
      <c r="AM13" s="941"/>
      <c r="AN13" s="941"/>
      <c r="AO13" s="941"/>
      <c r="AP13" s="941"/>
      <c r="AQ13" s="941"/>
      <c r="AR13" s="941"/>
      <c r="AS13" s="941"/>
      <c r="AT13" s="941"/>
      <c r="AU13" s="941"/>
      <c r="AV13" s="941"/>
      <c r="AW13" s="941"/>
      <c r="AX13" s="941"/>
      <c r="AY13" s="941"/>
      <c r="AZ13" s="941"/>
      <c r="BA13" s="941"/>
      <c r="BB13" s="941"/>
      <c r="BC13" s="941"/>
      <c r="BD13" s="941"/>
    </row>
    <row r="14" spans="1:56" s="1123" customFormat="1" x14ac:dyDescent="0.25">
      <c r="A14" s="1013" t="s">
        <v>713</v>
      </c>
      <c r="B14" s="942" t="s">
        <v>39</v>
      </c>
      <c r="C14" s="988">
        <f t="shared" si="0"/>
        <v>3.4046666666666665</v>
      </c>
      <c r="D14" s="985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178">
        <v>9.1999999999999993</v>
      </c>
      <c r="P14" s="178">
        <v>-0.42</v>
      </c>
      <c r="Q14" s="178">
        <v>0.53</v>
      </c>
      <c r="R14" s="178">
        <v>0.67</v>
      </c>
      <c r="S14" s="178">
        <v>6.15</v>
      </c>
      <c r="T14" s="178">
        <v>11.49</v>
      </c>
      <c r="U14" s="178">
        <v>-2.81</v>
      </c>
      <c r="V14" s="178">
        <v>0</v>
      </c>
      <c r="W14" s="178">
        <v>0.61</v>
      </c>
      <c r="X14" s="178">
        <v>1.43</v>
      </c>
      <c r="Y14" s="178">
        <v>7.29</v>
      </c>
      <c r="Z14" s="178">
        <v>1.75</v>
      </c>
      <c r="AA14" s="178">
        <v>6.18</v>
      </c>
      <c r="AB14" s="178">
        <v>2.33</v>
      </c>
      <c r="AC14" s="178">
        <v>6.67</v>
      </c>
      <c r="AD14" s="1084"/>
      <c r="AE14" s="941"/>
      <c r="AF14" s="941"/>
      <c r="AG14" s="941"/>
      <c r="AH14" s="941"/>
      <c r="AI14" s="941"/>
      <c r="AJ14" s="941"/>
      <c r="AK14" s="941"/>
      <c r="AL14" s="941"/>
      <c r="AM14" s="941"/>
      <c r="AN14" s="941"/>
      <c r="AO14" s="941"/>
      <c r="AP14" s="941"/>
      <c r="AQ14" s="941"/>
      <c r="AR14" s="941"/>
      <c r="AS14" s="941"/>
      <c r="AT14" s="941"/>
      <c r="AU14" s="941"/>
      <c r="AV14" s="941"/>
      <c r="AW14" s="941"/>
      <c r="AX14" s="941"/>
      <c r="AY14" s="941"/>
      <c r="AZ14" s="941"/>
      <c r="BA14" s="941"/>
      <c r="BB14" s="941"/>
      <c r="BC14" s="941"/>
      <c r="BD14" s="941"/>
    </row>
    <row r="15" spans="1:56" s="1566" customFormat="1" x14ac:dyDescent="0.25">
      <c r="A15" s="1013" t="s">
        <v>1139</v>
      </c>
      <c r="B15" s="942" t="s">
        <v>1137</v>
      </c>
      <c r="C15" s="988">
        <f t="shared" si="0"/>
        <v>-5.6280000000000001</v>
      </c>
      <c r="D15" s="985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178"/>
      <c r="P15" s="178"/>
      <c r="Q15" s="178"/>
      <c r="R15" s="178"/>
      <c r="S15" s="178"/>
      <c r="T15" s="178">
        <v>0.3</v>
      </c>
      <c r="U15" s="178">
        <v>-0.41</v>
      </c>
      <c r="V15" s="178">
        <v>0</v>
      </c>
      <c r="W15" s="178">
        <v>-50</v>
      </c>
      <c r="X15" s="178">
        <v>0.43</v>
      </c>
      <c r="Y15" s="178">
        <v>2.42</v>
      </c>
      <c r="Z15" s="178">
        <v>-8.89</v>
      </c>
      <c r="AA15" s="178">
        <v>0</v>
      </c>
      <c r="AB15" s="178">
        <v>0</v>
      </c>
      <c r="AC15" s="178">
        <v>-0.13</v>
      </c>
      <c r="AD15" s="1084"/>
      <c r="AE15" s="941"/>
      <c r="AF15" s="941"/>
      <c r="AG15" s="941"/>
      <c r="AH15" s="941"/>
      <c r="AI15" s="941"/>
      <c r="AJ15" s="941"/>
      <c r="AK15" s="941"/>
      <c r="AL15" s="941"/>
      <c r="AM15" s="941"/>
      <c r="AN15" s="941"/>
      <c r="AO15" s="941"/>
      <c r="AP15" s="941"/>
      <c r="AQ15" s="941"/>
      <c r="AR15" s="941"/>
      <c r="AS15" s="941"/>
      <c r="AT15" s="941"/>
      <c r="AU15" s="941"/>
      <c r="AV15" s="941"/>
      <c r="AW15" s="941"/>
      <c r="AX15" s="941"/>
      <c r="AY15" s="941"/>
      <c r="AZ15" s="941"/>
      <c r="BA15" s="941"/>
      <c r="BB15" s="941"/>
      <c r="BC15" s="941"/>
      <c r="BD15" s="941"/>
    </row>
    <row r="16" spans="1:56" x14ac:dyDescent="0.25">
      <c r="A16" s="1014"/>
      <c r="B16" s="982"/>
      <c r="C16" s="988"/>
      <c r="D16" s="985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084"/>
    </row>
    <row r="17" spans="1:56" x14ac:dyDescent="0.25">
      <c r="A17" s="1015" t="s">
        <v>40</v>
      </c>
      <c r="B17" s="943" t="s">
        <v>41</v>
      </c>
      <c r="C17" s="988">
        <f>AVERAGE(D17:AD17)</f>
        <v>1.55426267281106</v>
      </c>
      <c r="D17" s="985">
        <v>0.20082949308755804</v>
      </c>
      <c r="E17" s="754">
        <v>0.14000000000000001</v>
      </c>
      <c r="F17" s="754">
        <v>0.22</v>
      </c>
      <c r="G17" s="754">
        <v>-0.08</v>
      </c>
      <c r="H17" s="754">
        <v>0.48</v>
      </c>
      <c r="I17" s="754">
        <v>0.4</v>
      </c>
      <c r="J17" s="754">
        <v>-8.57</v>
      </c>
      <c r="K17" s="754">
        <v>7.0000000000000007E-2</v>
      </c>
      <c r="L17" s="754">
        <v>0.3</v>
      </c>
      <c r="M17" s="754">
        <v>0.27</v>
      </c>
      <c r="N17" s="754">
        <v>0.12</v>
      </c>
      <c r="O17" s="178">
        <v>-1.38</v>
      </c>
      <c r="P17" s="178">
        <v>40</v>
      </c>
      <c r="Q17" s="178">
        <v>0</v>
      </c>
      <c r="R17" s="178">
        <v>-6.67</v>
      </c>
      <c r="S17" s="178">
        <v>0</v>
      </c>
      <c r="T17" s="178">
        <v>-8.33</v>
      </c>
      <c r="U17" s="178">
        <v>2.27</v>
      </c>
      <c r="V17" s="178">
        <v>0</v>
      </c>
      <c r="W17" s="178">
        <v>0.95</v>
      </c>
      <c r="X17" s="178">
        <v>0</v>
      </c>
      <c r="Y17" s="178">
        <v>-4.08</v>
      </c>
      <c r="Z17" s="178">
        <v>6.27</v>
      </c>
      <c r="AA17" s="178">
        <v>0</v>
      </c>
      <c r="AB17" s="178">
        <v>0</v>
      </c>
      <c r="AC17" s="178">
        <v>17.829999999999998</v>
      </c>
      <c r="AD17" s="1084"/>
    </row>
    <row r="18" spans="1:56" x14ac:dyDescent="0.25">
      <c r="A18" s="1015" t="s">
        <v>38</v>
      </c>
      <c r="B18" s="943" t="s">
        <v>714</v>
      </c>
      <c r="C18" s="988">
        <f>AVERAGE(D18:AD18)</f>
        <v>0.49392447494677982</v>
      </c>
      <c r="D18" s="985">
        <v>0.34203634861627386</v>
      </c>
      <c r="E18" s="754">
        <v>0.38</v>
      </c>
      <c r="F18" s="754">
        <v>0.39</v>
      </c>
      <c r="G18" s="754">
        <v>0.45</v>
      </c>
      <c r="H18" s="754">
        <v>1.4</v>
      </c>
      <c r="I18" s="754">
        <v>0.72</v>
      </c>
      <c r="J18" s="754">
        <v>0.42</v>
      </c>
      <c r="K18" s="754">
        <v>0.45</v>
      </c>
      <c r="L18" s="754">
        <v>0.52</v>
      </c>
      <c r="M18" s="754">
        <v>0.56000000000000005</v>
      </c>
      <c r="N18" s="754">
        <v>0.84</v>
      </c>
      <c r="O18" s="178">
        <v>0.3</v>
      </c>
      <c r="P18" s="178">
        <v>0.4</v>
      </c>
      <c r="Q18" s="178">
        <v>0.15</v>
      </c>
      <c r="R18" s="178">
        <v>0.53</v>
      </c>
      <c r="S18" s="178">
        <v>0.57999999999999996</v>
      </c>
      <c r="T18" s="178">
        <v>0.45</v>
      </c>
      <c r="U18" s="178">
        <v>0.72</v>
      </c>
      <c r="V18" s="178">
        <v>0.47</v>
      </c>
      <c r="W18" s="178">
        <v>0.36</v>
      </c>
      <c r="X18" s="178">
        <v>0.69</v>
      </c>
      <c r="Y18" s="178">
        <v>0.56999999999999995</v>
      </c>
      <c r="Z18" s="178">
        <v>0.67</v>
      </c>
      <c r="AA18" s="178">
        <v>0</v>
      </c>
      <c r="AB18" s="178">
        <v>0.48</v>
      </c>
      <c r="AC18" s="178">
        <v>0</v>
      </c>
      <c r="AD18" s="1084"/>
    </row>
    <row r="19" spans="1:56" x14ac:dyDescent="0.25">
      <c r="A19" s="1014"/>
      <c r="B19" s="982"/>
      <c r="C19" s="988"/>
      <c r="D19" s="985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084"/>
    </row>
    <row r="20" spans="1:56" x14ac:dyDescent="0.25">
      <c r="A20" s="1015" t="s">
        <v>31</v>
      </c>
      <c r="B20" s="943" t="s">
        <v>32</v>
      </c>
      <c r="C20" s="988">
        <f>AVERAGE(D20:AD20)</f>
        <v>1.046</v>
      </c>
      <c r="D20" s="985">
        <v>0</v>
      </c>
      <c r="E20" s="754">
        <v>0</v>
      </c>
      <c r="F20" s="754">
        <v>0</v>
      </c>
      <c r="G20" s="754">
        <v>5.23</v>
      </c>
      <c r="H20" s="754">
        <v>0</v>
      </c>
      <c r="I20" s="754"/>
      <c r="J20" s="754"/>
      <c r="K20" s="754"/>
      <c r="L20" s="754"/>
      <c r="M20" s="754"/>
      <c r="N20" s="754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084"/>
    </row>
    <row r="21" spans="1:56" x14ac:dyDescent="0.25">
      <c r="A21" s="1014"/>
      <c r="B21" s="982"/>
      <c r="C21" s="988"/>
      <c r="D21" s="985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084"/>
    </row>
    <row r="22" spans="1:56" x14ac:dyDescent="0.25">
      <c r="A22" s="1013" t="s">
        <v>25</v>
      </c>
      <c r="B22" s="942" t="s">
        <v>26</v>
      </c>
      <c r="C22" s="988">
        <f>AVERAGE(D22:AD22)</f>
        <v>0.9276923076923077</v>
      </c>
      <c r="D22" s="985">
        <v>7.0000000000000007E-2</v>
      </c>
      <c r="E22" s="754">
        <v>1.17</v>
      </c>
      <c r="F22" s="754">
        <v>0.7</v>
      </c>
      <c r="G22" s="754">
        <v>0.68</v>
      </c>
      <c r="H22" s="754">
        <v>0.24</v>
      </c>
      <c r="I22" s="754">
        <v>0.22</v>
      </c>
      <c r="J22" s="754">
        <v>1.17</v>
      </c>
      <c r="K22" s="754">
        <v>0.04</v>
      </c>
      <c r="L22" s="754">
        <v>0.52</v>
      </c>
      <c r="M22" s="754">
        <v>1.28</v>
      </c>
      <c r="N22" s="754">
        <v>0.66</v>
      </c>
      <c r="O22" s="178">
        <v>0.46</v>
      </c>
      <c r="P22" s="178">
        <v>1.02</v>
      </c>
      <c r="Q22" s="178">
        <v>0.55000000000000004</v>
      </c>
      <c r="R22" s="178">
        <v>0.24</v>
      </c>
      <c r="S22" s="178">
        <v>1.77</v>
      </c>
      <c r="T22" s="178">
        <v>1.39</v>
      </c>
      <c r="U22" s="178">
        <v>0.4</v>
      </c>
      <c r="V22" s="178">
        <v>1.42</v>
      </c>
      <c r="W22" s="178">
        <v>1.17</v>
      </c>
      <c r="X22" s="178">
        <v>0.68</v>
      </c>
      <c r="Y22" s="178">
        <v>1.56</v>
      </c>
      <c r="Z22" s="178">
        <v>0.63</v>
      </c>
      <c r="AA22" s="178">
        <v>2.92</v>
      </c>
      <c r="AB22" s="178">
        <v>2.72</v>
      </c>
      <c r="AC22" s="178">
        <v>0.44</v>
      </c>
      <c r="AD22" s="1084"/>
    </row>
    <row r="23" spans="1:56" x14ac:dyDescent="0.25">
      <c r="A23" s="1014"/>
      <c r="B23" s="982"/>
      <c r="C23" s="989"/>
      <c r="D23" s="985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084"/>
    </row>
    <row r="24" spans="1:56" s="1008" customFormat="1" ht="18.75" x14ac:dyDescent="0.25">
      <c r="A24" s="1016"/>
      <c r="B24" s="1003"/>
      <c r="C24" s="1009">
        <f>AVERAGE(AVERAGE(C3:C23),AVERAGE(D24:AD24))</f>
        <v>1.479070594233294</v>
      </c>
      <c r="D24" s="1010">
        <f t="shared" ref="D24:AC24" si="1">AVERAGE(D3:D23)</f>
        <v>3.3225160566341692E-2</v>
      </c>
      <c r="E24" s="1011">
        <f t="shared" si="1"/>
        <v>0.255</v>
      </c>
      <c r="F24" s="1011">
        <f t="shared" si="1"/>
        <v>-0.46399999999999991</v>
      </c>
      <c r="G24" s="1011">
        <f t="shared" si="1"/>
        <v>0.69799999999999995</v>
      </c>
      <c r="H24" s="1011">
        <f t="shared" si="1"/>
        <v>0.24733333333333332</v>
      </c>
      <c r="I24" s="1011">
        <f t="shared" si="1"/>
        <v>0.34571428571428564</v>
      </c>
      <c r="J24" s="1011">
        <f t="shared" si="1"/>
        <v>0.52214285714285702</v>
      </c>
      <c r="K24" s="1011">
        <f t="shared" si="1"/>
        <v>0.22785714285714292</v>
      </c>
      <c r="L24" s="1011">
        <f t="shared" si="1"/>
        <v>-5.6428571428571384E-2</v>
      </c>
      <c r="M24" s="1011">
        <f t="shared" si="1"/>
        <v>-0.17214285714285715</v>
      </c>
      <c r="N24" s="1011">
        <f t="shared" si="1"/>
        <v>0.35785714285714282</v>
      </c>
      <c r="O24" s="1011">
        <f t="shared" si="1"/>
        <v>1.5493333333333335</v>
      </c>
      <c r="P24" s="1011">
        <f t="shared" si="1"/>
        <v>2.4020000000000001</v>
      </c>
      <c r="Q24" s="1011">
        <f t="shared" si="1"/>
        <v>-0.11066666666666664</v>
      </c>
      <c r="R24" s="1011">
        <f t="shared" si="1"/>
        <v>0.39133333333333337</v>
      </c>
      <c r="S24" s="1011">
        <f t="shared" si="1"/>
        <v>1.5526666666666666</v>
      </c>
      <c r="T24" s="1011">
        <f t="shared" si="1"/>
        <v>1.6412500000000001</v>
      </c>
      <c r="U24" s="1011">
        <f t="shared" si="1"/>
        <v>0.85</v>
      </c>
      <c r="V24" s="1011">
        <f t="shared" si="1"/>
        <v>0.43187499999999995</v>
      </c>
      <c r="W24" s="1011">
        <f t="shared" si="1"/>
        <v>-1.5325000000000002</v>
      </c>
      <c r="X24" s="1011">
        <f t="shared" si="1"/>
        <v>0.8793749999999998</v>
      </c>
      <c r="Y24" s="1011">
        <f t="shared" si="1"/>
        <v>2.1837500000000007</v>
      </c>
      <c r="Z24" s="1011">
        <f t="shared" si="1"/>
        <v>1.8846666666666667</v>
      </c>
      <c r="AA24" s="1011">
        <f t="shared" si="1"/>
        <v>16.153333333333332</v>
      </c>
      <c r="AB24" s="1011">
        <f t="shared" si="1"/>
        <v>2.6806666666666663</v>
      </c>
      <c r="AC24" s="1011">
        <f t="shared" si="1"/>
        <v>8.4906666666666677</v>
      </c>
      <c r="AD24" s="1085"/>
      <c r="AE24" s="1007"/>
      <c r="AF24" s="1007"/>
      <c r="AG24" s="1007"/>
      <c r="AH24" s="1007"/>
      <c r="AI24" s="1007"/>
      <c r="AJ24" s="1007"/>
      <c r="AK24" s="1007"/>
      <c r="AL24" s="1007"/>
      <c r="AM24" s="1007"/>
      <c r="AN24" s="1007"/>
      <c r="AO24" s="1007"/>
      <c r="AP24" s="1007"/>
      <c r="AQ24" s="1007"/>
      <c r="AR24" s="1007"/>
      <c r="AS24" s="1007"/>
      <c r="AT24" s="1007"/>
      <c r="AU24" s="1007"/>
      <c r="AV24" s="1007"/>
      <c r="AW24" s="1007"/>
      <c r="AX24" s="1007"/>
      <c r="AY24" s="1007"/>
      <c r="AZ24" s="1007"/>
      <c r="BA24" s="1007"/>
      <c r="BB24" s="1007"/>
      <c r="BC24" s="1007"/>
      <c r="BD24" s="1007"/>
    </row>
    <row r="25" spans="1:56" x14ac:dyDescent="0.25">
      <c r="A25" s="1017"/>
      <c r="B25" s="983"/>
      <c r="C25" s="1091">
        <f>AVERAGE(D24:AD24)</f>
        <v>1.5939349420730644</v>
      </c>
      <c r="D25" s="986"/>
      <c r="E25" s="979"/>
      <c r="F25" s="978"/>
      <c r="G25" s="978"/>
      <c r="H25" s="978"/>
      <c r="I25" s="978"/>
      <c r="J25" s="978"/>
      <c r="K25" s="978"/>
      <c r="L25" s="978"/>
      <c r="M25" s="978"/>
      <c r="N25" s="978"/>
      <c r="O25" s="1140"/>
      <c r="P25" s="1140"/>
      <c r="Q25" s="1140"/>
      <c r="R25" s="1140"/>
      <c r="S25" s="1140"/>
      <c r="T25" s="1140"/>
      <c r="U25" s="1140"/>
      <c r="V25" s="1140"/>
      <c r="W25" s="1140"/>
      <c r="X25" s="1140"/>
      <c r="Y25" s="1140"/>
      <c r="Z25" s="1140"/>
      <c r="AA25" s="1140"/>
      <c r="AB25" s="1140"/>
      <c r="AC25" s="1140"/>
      <c r="AD25" s="980"/>
    </row>
    <row r="26" spans="1:56" x14ac:dyDescent="0.25">
      <c r="D26" s="61"/>
      <c r="E26" s="61"/>
    </row>
    <row r="27" spans="1:56" ht="25.5" x14ac:dyDescent="0.25">
      <c r="A27" s="2068" t="s">
        <v>593</v>
      </c>
      <c r="B27" s="2069"/>
      <c r="C27" s="991" t="s">
        <v>14</v>
      </c>
      <c r="D27" s="992">
        <v>43497</v>
      </c>
      <c r="E27" s="993">
        <v>43525</v>
      </c>
      <c r="F27" s="993">
        <v>43556</v>
      </c>
      <c r="G27" s="993">
        <v>43586</v>
      </c>
      <c r="H27" s="993">
        <v>43617</v>
      </c>
      <c r="I27" s="993">
        <v>43647</v>
      </c>
      <c r="J27" s="993">
        <v>43678</v>
      </c>
      <c r="K27" s="993">
        <v>43709</v>
      </c>
      <c r="L27" s="993">
        <v>43739</v>
      </c>
      <c r="M27" s="993">
        <v>43770</v>
      </c>
      <c r="N27" s="994">
        <f t="shared" ref="N27:X27" si="2">N2</f>
        <v>43800</v>
      </c>
      <c r="O27" s="994">
        <f t="shared" si="2"/>
        <v>43861</v>
      </c>
      <c r="P27" s="994">
        <f t="shared" si="2"/>
        <v>43890</v>
      </c>
      <c r="Q27" s="994">
        <f t="shared" si="2"/>
        <v>43921</v>
      </c>
      <c r="R27" s="994">
        <f t="shared" si="2"/>
        <v>43951</v>
      </c>
      <c r="S27" s="994">
        <f t="shared" si="2"/>
        <v>43982</v>
      </c>
      <c r="T27" s="994">
        <f t="shared" si="2"/>
        <v>44012</v>
      </c>
      <c r="U27" s="994">
        <f t="shared" si="2"/>
        <v>44043</v>
      </c>
      <c r="V27" s="994">
        <f t="shared" si="2"/>
        <v>44074</v>
      </c>
      <c r="W27" s="994">
        <f t="shared" si="2"/>
        <v>44104</v>
      </c>
      <c r="X27" s="994">
        <f t="shared" si="2"/>
        <v>44135</v>
      </c>
      <c r="Y27" s="994">
        <v>44165</v>
      </c>
      <c r="Z27" s="994">
        <v>44561</v>
      </c>
      <c r="AA27" s="994">
        <v>44227</v>
      </c>
      <c r="AB27" s="994">
        <v>44255</v>
      </c>
      <c r="AC27" s="994">
        <v>44286</v>
      </c>
      <c r="AD27" s="995" t="s">
        <v>568</v>
      </c>
    </row>
    <row r="28" spans="1:56" x14ac:dyDescent="0.25">
      <c r="A28" s="1012" t="s">
        <v>36</v>
      </c>
      <c r="B28" s="981" t="s">
        <v>37</v>
      </c>
      <c r="C28" s="996">
        <f>AVERAGE(D28:AD28)</f>
        <v>1.965384615384615E-2</v>
      </c>
      <c r="D28" s="997">
        <v>0</v>
      </c>
      <c r="E28" s="976">
        <v>0</v>
      </c>
      <c r="F28" s="976">
        <v>8.9999999999999998E-4</v>
      </c>
      <c r="G28" s="976">
        <v>8.2400000000000001E-2</v>
      </c>
      <c r="H28" s="976">
        <v>-4.0000000000000002E-4</v>
      </c>
      <c r="I28" s="976">
        <v>1.2999999999999999E-3</v>
      </c>
      <c r="J28" s="976">
        <v>2.9999999999999997E-4</v>
      </c>
      <c r="K28" s="976">
        <v>2.1100000000000001E-2</v>
      </c>
      <c r="L28" s="976">
        <v>8.9999999999999998E-4</v>
      </c>
      <c r="M28" s="976">
        <v>-2.3599999999999999E-2</v>
      </c>
      <c r="N28" s="976">
        <v>4.1599999999999998E-2</v>
      </c>
      <c r="O28" s="1141">
        <v>0.35849999999999999</v>
      </c>
      <c r="P28" s="1141">
        <v>-2.9999999999999997E-4</v>
      </c>
      <c r="Q28" s="1141">
        <v>2.69E-2</v>
      </c>
      <c r="R28" s="1141">
        <v>-6.8999999999999999E-3</v>
      </c>
      <c r="S28" s="1141">
        <v>-1E-4</v>
      </c>
      <c r="T28" s="1141">
        <v>-5.0000000000000001E-4</v>
      </c>
      <c r="U28" s="1141">
        <v>-1E-4</v>
      </c>
      <c r="V28" s="1141">
        <v>3.7000000000000002E-3</v>
      </c>
      <c r="W28" s="1141">
        <v>-7.4000000000000003E-3</v>
      </c>
      <c r="X28" s="1141">
        <v>-7.6E-3</v>
      </c>
      <c r="Y28" s="1141">
        <v>3.5799999999999998E-2</v>
      </c>
      <c r="Z28" s="1141">
        <v>-1.7899999999999999E-2</v>
      </c>
      <c r="AA28" s="1141">
        <v>3.2000000000000002E-3</v>
      </c>
      <c r="AB28" s="1141">
        <v>8.0000000000000004E-4</v>
      </c>
      <c r="AC28" s="1141">
        <v>-1.6000000000000001E-3</v>
      </c>
      <c r="AD28" s="977"/>
    </row>
    <row r="29" spans="1:56" x14ac:dyDescent="0.25">
      <c r="A29" s="1013" t="s">
        <v>23</v>
      </c>
      <c r="B29" s="942" t="s">
        <v>21</v>
      </c>
      <c r="C29" s="998">
        <f t="shared" ref="C29:C40" si="3">AVERAGE(D29:AD29)</f>
        <v>0.36226176334669052</v>
      </c>
      <c r="D29" s="999">
        <v>4.9367994276174665E-2</v>
      </c>
      <c r="E29" s="939">
        <v>-6.4409200648982701E-2</v>
      </c>
      <c r="F29" s="939">
        <v>2.6599999999999999E-2</v>
      </c>
      <c r="G29" s="939">
        <v>1.6199999999999999E-2</v>
      </c>
      <c r="H29" s="939">
        <v>3.8399999999999997E-2</v>
      </c>
      <c r="I29" s="939">
        <v>-5.4000000000000003E-3</v>
      </c>
      <c r="J29" s="939">
        <v>-7.5499999999999998E-2</v>
      </c>
      <c r="K29" s="939">
        <v>0.12509999999999999</v>
      </c>
      <c r="L29" s="939">
        <v>2.7099999999999999E-2</v>
      </c>
      <c r="M29" s="939">
        <v>-6.3E-3</v>
      </c>
      <c r="N29" s="939">
        <v>-2.0999999999999999E-3</v>
      </c>
      <c r="O29" s="1142">
        <v>8.6300000000000002E-2</v>
      </c>
      <c r="P29" s="1142">
        <v>-2.8E-3</v>
      </c>
      <c r="Q29" s="1142">
        <v>-9.1200000000000003E-2</v>
      </c>
      <c r="R29" s="1142">
        <v>0</v>
      </c>
      <c r="S29" s="1142">
        <v>1.593</v>
      </c>
      <c r="T29" s="1142">
        <v>0.81010000000000004</v>
      </c>
      <c r="U29" s="1142">
        <v>1.3976999999999999</v>
      </c>
      <c r="V29" s="1142">
        <v>1.0291999999999999</v>
      </c>
      <c r="W29" s="1142">
        <v>1.2404999999999999</v>
      </c>
      <c r="X29" s="1142">
        <v>1.7779</v>
      </c>
      <c r="Y29" s="1142">
        <v>0</v>
      </c>
      <c r="Z29" s="1142"/>
      <c r="AA29" s="1142"/>
      <c r="AB29" s="1142"/>
      <c r="AC29" s="1142"/>
      <c r="AD29" s="940"/>
    </row>
    <row r="30" spans="1:56" x14ac:dyDescent="0.25">
      <c r="A30" s="1013" t="s">
        <v>28</v>
      </c>
      <c r="B30" s="942" t="s">
        <v>27</v>
      </c>
      <c r="C30" s="998">
        <f t="shared" si="3"/>
        <v>1.2407692307692311E-2</v>
      </c>
      <c r="D30" s="999">
        <v>0</v>
      </c>
      <c r="E30" s="939">
        <v>0</v>
      </c>
      <c r="F30" s="939">
        <v>2.4500000000000001E-2</v>
      </c>
      <c r="G30" s="939">
        <v>-3.2399999999999998E-2</v>
      </c>
      <c r="H30" s="939">
        <v>3.7000000000000002E-3</v>
      </c>
      <c r="I30" s="939">
        <v>-2.7E-2</v>
      </c>
      <c r="J30" s="939">
        <v>-0.1633</v>
      </c>
      <c r="K30" s="939">
        <v>0.1326</v>
      </c>
      <c r="L30" s="939">
        <v>-0.34150000000000003</v>
      </c>
      <c r="M30" s="939">
        <v>-8.9999999999999998E-4</v>
      </c>
      <c r="N30" s="939">
        <v>3.3E-3</v>
      </c>
      <c r="O30" s="1142">
        <v>8.0000000000000004E-4</v>
      </c>
      <c r="P30" s="1142">
        <v>-0.18260000000000001</v>
      </c>
      <c r="Q30" s="1142">
        <v>-0.31730000000000003</v>
      </c>
      <c r="R30" s="1142">
        <v>0.54910000000000003</v>
      </c>
      <c r="S30" s="1142">
        <v>3.3999999999999998E-3</v>
      </c>
      <c r="T30" s="1142">
        <v>6.1999999999999998E-3</v>
      </c>
      <c r="U30" s="1142">
        <v>1.4800000000000001E-2</v>
      </c>
      <c r="V30" s="1142">
        <v>-0.215</v>
      </c>
      <c r="W30" s="1142">
        <v>0.10100000000000001</v>
      </c>
      <c r="X30" s="1142">
        <v>-9.0200000000000002E-2</v>
      </c>
      <c r="Y30" s="1142">
        <v>1.09E-2</v>
      </c>
      <c r="Z30" s="1142">
        <v>0.4783</v>
      </c>
      <c r="AA30" s="1142">
        <v>-2.9999999999999997E-4</v>
      </c>
      <c r="AB30" s="1142">
        <v>0.34599999999999997</v>
      </c>
      <c r="AC30" s="1142">
        <v>1.8499999999999999E-2</v>
      </c>
      <c r="AD30" s="940"/>
    </row>
    <row r="31" spans="1:56" x14ac:dyDescent="0.25">
      <c r="A31" s="1013" t="s">
        <v>20</v>
      </c>
      <c r="B31" s="942" t="s">
        <v>21</v>
      </c>
      <c r="C31" s="998">
        <f t="shared" si="3"/>
        <v>9.4631514659390098E-2</v>
      </c>
      <c r="D31" s="999">
        <v>0.10666451315734382</v>
      </c>
      <c r="E31" s="939">
        <v>9.5554867986798797E-2</v>
      </c>
      <c r="F31" s="939">
        <v>0.1028</v>
      </c>
      <c r="G31" s="939">
        <v>-0.2334</v>
      </c>
      <c r="H31" s="939">
        <v>4.8099999999999997E-2</v>
      </c>
      <c r="I31" s="939">
        <v>7.4899999999999994E-2</v>
      </c>
      <c r="J31" s="939">
        <v>0.13020000000000001</v>
      </c>
      <c r="K31" s="939">
        <v>7.7299999999999994E-2</v>
      </c>
      <c r="L31" s="939">
        <v>0.14760000000000001</v>
      </c>
      <c r="M31" s="939">
        <v>0.1082</v>
      </c>
      <c r="N31" s="939">
        <v>8.4199999999999997E-2</v>
      </c>
      <c r="O31" s="1142">
        <v>0.1191</v>
      </c>
      <c r="P31" s="1142">
        <v>0.12870000000000001</v>
      </c>
      <c r="Q31" s="1142">
        <v>-1</v>
      </c>
      <c r="R31" s="1142">
        <v>0.29670000000000002</v>
      </c>
      <c r="S31" s="1142">
        <v>-9.7600000000000006E-2</v>
      </c>
      <c r="T31" s="1142">
        <v>-5.6599999999999998E-2</v>
      </c>
      <c r="U31" s="1142">
        <v>0.20849999999999999</v>
      </c>
      <c r="V31" s="1142">
        <v>-0.1447</v>
      </c>
      <c r="W31" s="1142">
        <v>0.27150000000000002</v>
      </c>
      <c r="X31" s="1142">
        <v>-0.34660000000000002</v>
      </c>
      <c r="Y31" s="1142">
        <v>0.16669999999999999</v>
      </c>
      <c r="Z31" s="1142">
        <v>8.1000000000000003E-2</v>
      </c>
      <c r="AA31" s="1142">
        <v>1.6194999999999999</v>
      </c>
      <c r="AB31" s="1142">
        <v>0.44040000000000001</v>
      </c>
      <c r="AC31" s="1142">
        <v>3.1699999999999999E-2</v>
      </c>
      <c r="AD31" s="940"/>
    </row>
    <row r="32" spans="1:56" s="1641" customFormat="1" x14ac:dyDescent="0.25">
      <c r="A32" s="1013" t="s">
        <v>11</v>
      </c>
      <c r="B32" s="942" t="s">
        <v>1</v>
      </c>
      <c r="C32" s="998">
        <f>AVERAGE(D32:AD32)</f>
        <v>0.31514230769230767</v>
      </c>
      <c r="D32" s="999">
        <v>-0.14430000000000001</v>
      </c>
      <c r="E32" s="939">
        <v>2.41E-2</v>
      </c>
      <c r="F32" s="939">
        <v>-0.91979999999999995</v>
      </c>
      <c r="G32" s="939">
        <v>0.38729999999999998</v>
      </c>
      <c r="H32" s="939">
        <v>3.0999999999999999E-3</v>
      </c>
      <c r="I32" s="939">
        <v>-2.8E-3</v>
      </c>
      <c r="J32" s="939">
        <v>0.1113</v>
      </c>
      <c r="K32" s="939">
        <v>-1.21E-2</v>
      </c>
      <c r="L32" s="939">
        <v>-8.9499999999999996E-2</v>
      </c>
      <c r="M32" s="939">
        <v>4.8000000000000001E-2</v>
      </c>
      <c r="N32" s="939">
        <v>5.1499999999999997E-2</v>
      </c>
      <c r="O32" s="1142">
        <v>0.87039999999999995</v>
      </c>
      <c r="P32" s="1142">
        <v>-0.27360000000000001</v>
      </c>
      <c r="Q32" s="1142">
        <v>0.16200000000000001</v>
      </c>
      <c r="R32" s="1142">
        <v>4.6899999999999997E-2</v>
      </c>
      <c r="S32" s="1142">
        <v>0.1867</v>
      </c>
      <c r="T32" s="1142">
        <v>0.41220000000000001</v>
      </c>
      <c r="U32" s="1142">
        <v>0.25850000000000001</v>
      </c>
      <c r="V32" s="1142">
        <v>0.38429999999999997</v>
      </c>
      <c r="W32" s="1142">
        <v>0.5635</v>
      </c>
      <c r="X32" s="1142">
        <v>0.1467</v>
      </c>
      <c r="Y32" s="1142">
        <v>1.3769</v>
      </c>
      <c r="Z32" s="1142">
        <v>0.44390000000000002</v>
      </c>
      <c r="AA32" s="1142">
        <v>0</v>
      </c>
      <c r="AB32" s="1142">
        <v>4.1680000000000001</v>
      </c>
      <c r="AC32" s="1142">
        <v>-9.4999999999999998E-3</v>
      </c>
      <c r="AD32" s="940"/>
      <c r="AE32" s="941"/>
      <c r="AF32" s="941"/>
      <c r="AG32" s="941"/>
      <c r="AH32" s="941"/>
      <c r="AI32" s="941"/>
      <c r="AJ32" s="941"/>
      <c r="AK32" s="941"/>
      <c r="AL32" s="941"/>
      <c r="AM32" s="941"/>
      <c r="AN32" s="941"/>
      <c r="AO32" s="941"/>
      <c r="AP32" s="941"/>
      <c r="AQ32" s="941"/>
      <c r="AR32" s="941"/>
      <c r="AS32" s="941"/>
      <c r="AT32" s="941"/>
      <c r="AU32" s="941"/>
      <c r="AV32" s="941"/>
      <c r="AW32" s="941"/>
      <c r="AX32" s="941"/>
      <c r="AY32" s="941"/>
      <c r="AZ32" s="941"/>
      <c r="BA32" s="941"/>
      <c r="BB32" s="941"/>
      <c r="BC32" s="941"/>
      <c r="BD32" s="941"/>
    </row>
    <row r="33" spans="1:56" x14ac:dyDescent="0.25">
      <c r="A33" s="1013" t="s">
        <v>18</v>
      </c>
      <c r="B33" s="942" t="s">
        <v>17</v>
      </c>
      <c r="C33" s="998">
        <f t="shared" si="3"/>
        <v>0.2817481961170033</v>
      </c>
      <c r="D33" s="999">
        <v>7.4700095189941917E-2</v>
      </c>
      <c r="E33" s="939">
        <v>9.335300385214329E-2</v>
      </c>
      <c r="F33" s="939">
        <v>9.3600000000000003E-2</v>
      </c>
      <c r="G33" s="939">
        <v>0.1348</v>
      </c>
      <c r="H33" s="939">
        <v>4.4600000000000001E-2</v>
      </c>
      <c r="I33" s="939">
        <v>0.26729999999999998</v>
      </c>
      <c r="J33" s="939">
        <v>0.1042</v>
      </c>
      <c r="K33" s="939">
        <v>0.1043</v>
      </c>
      <c r="L33" s="939">
        <v>9.8199999999999996E-2</v>
      </c>
      <c r="M33" s="939">
        <v>8.1500000000000003E-2</v>
      </c>
      <c r="N33" s="939">
        <v>0.1106</v>
      </c>
      <c r="O33" s="1142">
        <v>2.6800000000000001E-2</v>
      </c>
      <c r="P33" s="1142">
        <v>8.4500000000000006E-2</v>
      </c>
      <c r="Q33" s="1142">
        <v>6.4199999999999993E-2</v>
      </c>
      <c r="R33" s="1142">
        <v>0.3049</v>
      </c>
      <c r="S33" s="1142">
        <v>0</v>
      </c>
      <c r="T33" s="1142">
        <v>0</v>
      </c>
      <c r="U33" s="1142">
        <v>0.34639999999999999</v>
      </c>
      <c r="V33" s="1142">
        <v>0</v>
      </c>
      <c r="W33" s="1142">
        <v>0.25679999999999997</v>
      </c>
      <c r="X33" s="1142">
        <v>0.3765</v>
      </c>
      <c r="Y33" s="1142">
        <v>0.25080000000000002</v>
      </c>
      <c r="Z33" s="1142">
        <v>0.89380000000000004</v>
      </c>
      <c r="AA33" s="1142">
        <v>2.2309999999999999</v>
      </c>
      <c r="AB33" s="1142">
        <v>0</v>
      </c>
      <c r="AC33" s="1142">
        <v>1.2826</v>
      </c>
      <c r="AD33" s="940"/>
    </row>
    <row r="34" spans="1:56" x14ac:dyDescent="0.25">
      <c r="A34" s="1013" t="s">
        <v>30</v>
      </c>
      <c r="B34" s="942" t="s">
        <v>21</v>
      </c>
      <c r="C34" s="998">
        <f t="shared" si="3"/>
        <v>0.56131068062067446</v>
      </c>
      <c r="D34" s="999">
        <v>-3.8623308577883653E-2</v>
      </c>
      <c r="E34" s="939">
        <v>4.6010047154196876E-3</v>
      </c>
      <c r="F34" s="939">
        <v>1.9599999999999999E-2</v>
      </c>
      <c r="G34" s="939">
        <v>4.3E-3</v>
      </c>
      <c r="H34" s="939">
        <v>9.1000000000000004E-3</v>
      </c>
      <c r="I34" s="939">
        <v>2.63E-2</v>
      </c>
      <c r="J34" s="939">
        <v>4.9799999999999997E-2</v>
      </c>
      <c r="K34" s="939">
        <v>2.86E-2</v>
      </c>
      <c r="L34" s="939">
        <v>8.0000000000000002E-3</v>
      </c>
      <c r="M34" s="939">
        <v>2.7199999999999998E-2</v>
      </c>
      <c r="N34" s="939">
        <v>4.2799999999999998E-2</v>
      </c>
      <c r="O34" s="1142">
        <v>-4.7199999999999999E-2</v>
      </c>
      <c r="P34" s="1142">
        <v>3.9E-2</v>
      </c>
      <c r="Q34" s="1142">
        <v>0.28870000000000001</v>
      </c>
      <c r="R34" s="1142">
        <v>-0.14230000000000001</v>
      </c>
      <c r="S34" s="1142">
        <v>1.1444000000000001</v>
      </c>
      <c r="T34" s="1142">
        <v>0.64329999999999998</v>
      </c>
      <c r="U34" s="1142">
        <v>0</v>
      </c>
      <c r="V34" s="1142">
        <v>0</v>
      </c>
      <c r="W34" s="1142">
        <v>1.7778</v>
      </c>
      <c r="X34" s="1142">
        <v>0.4294</v>
      </c>
      <c r="Y34" s="1142">
        <v>2.1042000000000001</v>
      </c>
      <c r="Z34" s="1142">
        <v>2.1903000000000001</v>
      </c>
      <c r="AA34" s="1142">
        <v>3.6677</v>
      </c>
      <c r="AB34" s="1142">
        <v>0.63939999999999997</v>
      </c>
      <c r="AC34" s="1142">
        <v>1.6777</v>
      </c>
      <c r="AD34" s="940"/>
    </row>
    <row r="35" spans="1:56" x14ac:dyDescent="0.25">
      <c r="A35" s="1013" t="s">
        <v>164</v>
      </c>
      <c r="B35" s="942" t="s">
        <v>17</v>
      </c>
      <c r="C35" s="998">
        <f t="shared" si="3"/>
        <v>0.20202116703550135</v>
      </c>
      <c r="D35" s="999">
        <v>5.0138878997222358E-2</v>
      </c>
      <c r="E35" s="939">
        <v>4.971146392581316E-2</v>
      </c>
      <c r="F35" s="939">
        <v>0.113</v>
      </c>
      <c r="G35" s="939">
        <v>5.7299999999999997E-2</v>
      </c>
      <c r="H35" s="939">
        <v>0.1118</v>
      </c>
      <c r="I35" s="939">
        <v>-1.21E-2</v>
      </c>
      <c r="J35" s="939">
        <v>0.13689999999999999</v>
      </c>
      <c r="K35" s="939">
        <v>6.2899999999999998E-2</v>
      </c>
      <c r="L35" s="939">
        <v>0.12239999999999999</v>
      </c>
      <c r="M35" s="939">
        <v>6.88E-2</v>
      </c>
      <c r="N35" s="939">
        <v>8.5500000000000007E-2</v>
      </c>
      <c r="O35" s="1142">
        <v>-0.58409999999999995</v>
      </c>
      <c r="P35" s="1142">
        <v>2.58E-2</v>
      </c>
      <c r="Q35" s="1142">
        <v>0.1104</v>
      </c>
      <c r="R35" s="1142">
        <v>0.21379999999999999</v>
      </c>
      <c r="S35" s="1142">
        <v>0.11219999999999999</v>
      </c>
      <c r="T35" s="1142">
        <v>0.19869999999999999</v>
      </c>
      <c r="U35" s="1142">
        <v>0.29720000000000002</v>
      </c>
      <c r="V35" s="1142">
        <v>-4.7600000000000003E-2</v>
      </c>
      <c r="W35" s="1142">
        <v>0.18410000000000001</v>
      </c>
      <c r="X35" s="1142">
        <v>0.20899999999999999</v>
      </c>
      <c r="Y35" s="1142">
        <v>3.0015999999999998</v>
      </c>
      <c r="Z35" s="1142">
        <v>0.1779</v>
      </c>
      <c r="AA35" s="1142">
        <v>0</v>
      </c>
      <c r="AB35" s="1142">
        <v>0.26329999999999998</v>
      </c>
      <c r="AC35" s="1142">
        <v>0.24390000000000001</v>
      </c>
      <c r="AD35" s="940"/>
    </row>
    <row r="36" spans="1:56" x14ac:dyDescent="0.25">
      <c r="A36" s="1013" t="s">
        <v>185</v>
      </c>
      <c r="B36" s="942" t="s">
        <v>186</v>
      </c>
      <c r="C36" s="998">
        <f t="shared" si="3"/>
        <v>0.18231410443495341</v>
      </c>
      <c r="D36" s="999">
        <v>3.8160817643451139E-2</v>
      </c>
      <c r="E36" s="939">
        <v>0.11750589766533803</v>
      </c>
      <c r="F36" s="939">
        <v>4.0899999999999999E-2</v>
      </c>
      <c r="G36" s="939">
        <v>2.1899999999999999E-2</v>
      </c>
      <c r="H36" s="939">
        <v>3.4200000000000001E-2</v>
      </c>
      <c r="I36" s="939">
        <v>0.11700000000000001</v>
      </c>
      <c r="J36" s="939">
        <v>1.5085999999999999</v>
      </c>
      <c r="K36" s="939">
        <v>2.0299999999999999E-2</v>
      </c>
      <c r="L36" s="939">
        <v>4.87E-2</v>
      </c>
      <c r="M36" s="939">
        <v>7.4899999999999994E-2</v>
      </c>
      <c r="N36" s="939">
        <v>1.49E-2</v>
      </c>
      <c r="O36" s="1142">
        <v>-7.2400000000000006E-2</v>
      </c>
      <c r="P36" s="1142">
        <v>9.8599999999999993E-2</v>
      </c>
      <c r="Q36" s="1142">
        <v>5.8500000000000003E-2</v>
      </c>
      <c r="R36" s="1142">
        <v>9.1999999999999998E-3</v>
      </c>
      <c r="S36" s="1142">
        <v>0.2185</v>
      </c>
      <c r="T36" s="1142">
        <v>8.2000000000000003E-2</v>
      </c>
      <c r="U36" s="1142">
        <v>0.13689999999999999</v>
      </c>
      <c r="V36" s="1142">
        <v>0.1421</v>
      </c>
      <c r="W36" s="1142">
        <v>0.12889999999999999</v>
      </c>
      <c r="X36" s="1142">
        <v>0.15670000000000001</v>
      </c>
      <c r="Y36" s="1142">
        <v>0.15079999999999999</v>
      </c>
      <c r="Z36" s="1142">
        <v>0.15329999999999999</v>
      </c>
      <c r="AA36" s="1142">
        <v>0.64349999999999996</v>
      </c>
      <c r="AB36" s="1142">
        <v>0.22689999999999999</v>
      </c>
      <c r="AC36" s="1142">
        <v>0.5696</v>
      </c>
      <c r="AD36" s="940"/>
    </row>
    <row r="37" spans="1:56" x14ac:dyDescent="0.25">
      <c r="A37" s="1013" t="s">
        <v>215</v>
      </c>
      <c r="B37" s="942" t="s">
        <v>218</v>
      </c>
      <c r="C37" s="998">
        <f t="shared" si="3"/>
        <v>-2.0269230769230759E-3</v>
      </c>
      <c r="D37" s="999">
        <v>0</v>
      </c>
      <c r="E37" s="939">
        <v>0</v>
      </c>
      <c r="F37" s="939">
        <v>-2.9999999999999997E-4</v>
      </c>
      <c r="G37" s="939">
        <v>1.6999999999999999E-3</v>
      </c>
      <c r="H37" s="939">
        <v>1.8E-3</v>
      </c>
      <c r="I37" s="939">
        <v>-1E-4</v>
      </c>
      <c r="J37" s="939">
        <v>4.0000000000000002E-4</v>
      </c>
      <c r="K37" s="939">
        <v>-5.1700000000000003E-2</v>
      </c>
      <c r="L37" s="939">
        <v>-1E-4</v>
      </c>
      <c r="M37" s="939">
        <v>-0.30649999999999999</v>
      </c>
      <c r="N37" s="939">
        <v>4.0000000000000002E-4</v>
      </c>
      <c r="O37" s="1142">
        <v>-2.3800000000000002E-2</v>
      </c>
      <c r="P37" s="1142">
        <v>-5.8599999999999999E-2</v>
      </c>
      <c r="Q37" s="1142">
        <v>4.0300000000000002E-2</v>
      </c>
      <c r="R37" s="1142">
        <v>-5.5999999999999999E-3</v>
      </c>
      <c r="S37" s="1142">
        <v>-1.5E-3</v>
      </c>
      <c r="T37" s="1142">
        <v>0.3528</v>
      </c>
      <c r="U37" s="1142">
        <v>-3.3E-3</v>
      </c>
      <c r="V37" s="1142">
        <v>8.0999999999999996E-3</v>
      </c>
      <c r="W37" s="1142">
        <v>-1.2999999999999999E-3</v>
      </c>
      <c r="X37" s="1142">
        <v>-4.4900000000000002E-2</v>
      </c>
      <c r="Y37" s="1142">
        <v>2.41E-2</v>
      </c>
      <c r="Z37" s="1142">
        <v>3.8E-3</v>
      </c>
      <c r="AA37" s="1142">
        <v>1.4E-2</v>
      </c>
      <c r="AB37" s="1142">
        <v>-2.3999999999999998E-3</v>
      </c>
      <c r="AC37" s="1142">
        <v>0</v>
      </c>
      <c r="AD37" s="940"/>
    </row>
    <row r="38" spans="1:56" s="1018" customFormat="1" x14ac:dyDescent="0.25">
      <c r="A38" s="1013" t="s">
        <v>594</v>
      </c>
      <c r="B38" s="942" t="s">
        <v>597</v>
      </c>
      <c r="C38" s="998">
        <f t="shared" si="3"/>
        <v>0.17024166666666665</v>
      </c>
      <c r="D38" s="999"/>
      <c r="E38" s="939"/>
      <c r="F38" s="939">
        <v>-1.21E-2</v>
      </c>
      <c r="G38" s="939">
        <v>8.1699999999999995E-2</v>
      </c>
      <c r="H38" s="939">
        <v>-1.37E-2</v>
      </c>
      <c r="I38" s="939">
        <v>4.4000000000000003E-3</v>
      </c>
      <c r="J38" s="939">
        <v>0.22800000000000001</v>
      </c>
      <c r="K38" s="939">
        <v>-1.6000000000000001E-3</v>
      </c>
      <c r="L38" s="939">
        <v>-9.8799999999999999E-2</v>
      </c>
      <c r="M38" s="939">
        <v>3.7400000000000003E-2</v>
      </c>
      <c r="N38" s="939">
        <v>4.07E-2</v>
      </c>
      <c r="O38" s="1142">
        <v>3.3700000000000001E-2</v>
      </c>
      <c r="P38" s="1142">
        <v>1.2999999999999999E-3</v>
      </c>
      <c r="Q38" s="1142">
        <v>1.7299999999999999E-2</v>
      </c>
      <c r="R38" s="1142">
        <v>7.3800000000000004E-2</v>
      </c>
      <c r="S38" s="1142">
        <v>3.0099999999999998E-2</v>
      </c>
      <c r="T38" s="1142">
        <v>0.1139</v>
      </c>
      <c r="U38" s="1142">
        <v>0.26200000000000001</v>
      </c>
      <c r="V38" s="1142">
        <v>0.19370000000000001</v>
      </c>
      <c r="W38" s="1142">
        <v>0.18179999999999999</v>
      </c>
      <c r="X38" s="1142">
        <v>0.113</v>
      </c>
      <c r="Y38" s="1142">
        <v>0.26079999999999998</v>
      </c>
      <c r="Z38" s="1142">
        <v>0.2175</v>
      </c>
      <c r="AA38" s="1142">
        <v>0.42070000000000002</v>
      </c>
      <c r="AB38" s="1142">
        <v>0.12239999999999999</v>
      </c>
      <c r="AC38" s="1142">
        <v>1.7778</v>
      </c>
      <c r="AD38" s="940"/>
      <c r="AE38" s="941"/>
      <c r="AF38" s="941"/>
      <c r="AG38" s="941"/>
      <c r="AH38" s="941"/>
      <c r="AI38" s="941"/>
      <c r="AJ38" s="941"/>
      <c r="AK38" s="941"/>
      <c r="AL38" s="941"/>
      <c r="AM38" s="941"/>
      <c r="AN38" s="941"/>
      <c r="AO38" s="941"/>
      <c r="AP38" s="941"/>
      <c r="AQ38" s="941"/>
      <c r="AR38" s="941"/>
      <c r="AS38" s="941"/>
      <c r="AT38" s="941"/>
      <c r="AU38" s="941"/>
      <c r="AV38" s="941"/>
      <c r="AW38" s="941"/>
      <c r="AX38" s="941"/>
      <c r="AY38" s="941"/>
      <c r="AZ38" s="941"/>
      <c r="BA38" s="941"/>
      <c r="BB38" s="941"/>
      <c r="BC38" s="941"/>
      <c r="BD38" s="941"/>
    </row>
    <row r="39" spans="1:56" s="1123" customFormat="1" x14ac:dyDescent="0.25">
      <c r="A39" s="1013" t="s">
        <v>713</v>
      </c>
      <c r="B39" s="942" t="s">
        <v>39</v>
      </c>
      <c r="C39" s="998">
        <f t="shared" si="3"/>
        <v>0.28994666666666663</v>
      </c>
      <c r="D39" s="99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1142">
        <v>0.75439999999999996</v>
      </c>
      <c r="P39" s="1142">
        <v>-4.36E-2</v>
      </c>
      <c r="Q39" s="1142">
        <v>4.0599999999999997E-2</v>
      </c>
      <c r="R39" s="1142">
        <v>5.2499999999999998E-2</v>
      </c>
      <c r="S39" s="1142">
        <v>0.51690000000000003</v>
      </c>
      <c r="T39" s="1142">
        <v>1.1335999999999999</v>
      </c>
      <c r="U39" s="1142">
        <v>-0.2419</v>
      </c>
      <c r="V39" s="1142">
        <v>0</v>
      </c>
      <c r="W39" s="1142">
        <v>6.7000000000000004E-2</v>
      </c>
      <c r="X39" s="1142">
        <v>0.17230000000000001</v>
      </c>
      <c r="Y39" s="1142">
        <v>0.56659999999999999</v>
      </c>
      <c r="Z39" s="1142">
        <v>0.1673</v>
      </c>
      <c r="AA39" s="1142">
        <v>0.42570000000000002</v>
      </c>
      <c r="AB39" s="1142">
        <v>0.1741</v>
      </c>
      <c r="AC39" s="1142">
        <v>0.56369999999999998</v>
      </c>
      <c r="AD39" s="940"/>
      <c r="AE39" s="941"/>
      <c r="AF39" s="941"/>
      <c r="AG39" s="941"/>
      <c r="AH39" s="941"/>
      <c r="AI39" s="941"/>
      <c r="AJ39" s="941"/>
      <c r="AK39" s="941"/>
      <c r="AL39" s="941"/>
      <c r="AM39" s="941"/>
      <c r="AN39" s="941"/>
      <c r="AO39" s="941"/>
      <c r="AP39" s="941"/>
      <c r="AQ39" s="941"/>
      <c r="AR39" s="941"/>
      <c r="AS39" s="941"/>
      <c r="AT39" s="941"/>
      <c r="AU39" s="941"/>
      <c r="AV39" s="941"/>
      <c r="AW39" s="941"/>
      <c r="AX39" s="941"/>
      <c r="AY39" s="941"/>
      <c r="AZ39" s="941"/>
      <c r="BA39" s="941"/>
      <c r="BB39" s="941"/>
      <c r="BC39" s="941"/>
      <c r="BD39" s="941"/>
    </row>
    <row r="40" spans="1:56" s="1566" customFormat="1" x14ac:dyDescent="0.25">
      <c r="A40" s="1013" t="str">
        <f>A15</f>
        <v>KE270MZ</v>
      </c>
      <c r="B40" s="942" t="str">
        <f>B15</f>
        <v>PEUGEOT - BOXER mikrobus</v>
      </c>
      <c r="C40" s="998">
        <f t="shared" si="3"/>
        <v>9.9220000000000003E-2</v>
      </c>
      <c r="D40" s="99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1142"/>
      <c r="P40" s="1142"/>
      <c r="Q40" s="1142"/>
      <c r="R40" s="1142"/>
      <c r="S40" s="1142"/>
      <c r="T40" s="1142">
        <v>3.1300000000000001E-2</v>
      </c>
      <c r="U40" s="1142">
        <v>-3.2899999999999999E-2</v>
      </c>
      <c r="V40" s="1142">
        <v>0</v>
      </c>
      <c r="W40" s="1142">
        <v>1</v>
      </c>
      <c r="X40" s="1142">
        <v>4.3999999999999997E-2</v>
      </c>
      <c r="Y40" s="1142">
        <v>0.17150000000000001</v>
      </c>
      <c r="Z40" s="1142">
        <v>-0.21049999999999999</v>
      </c>
      <c r="AA40" s="1142">
        <v>0</v>
      </c>
      <c r="AB40" s="1142">
        <v>0</v>
      </c>
      <c r="AC40" s="1142">
        <v>-1.12E-2</v>
      </c>
      <c r="AD40" s="940"/>
      <c r="AE40" s="941"/>
      <c r="AF40" s="941"/>
      <c r="AG40" s="941"/>
      <c r="AH40" s="941"/>
      <c r="AI40" s="941"/>
      <c r="AJ40" s="941"/>
      <c r="AK40" s="941"/>
      <c r="AL40" s="941"/>
      <c r="AM40" s="941"/>
      <c r="AN40" s="941"/>
      <c r="AO40" s="941"/>
      <c r="AP40" s="941"/>
      <c r="AQ40" s="941"/>
      <c r="AR40" s="941"/>
      <c r="AS40" s="941"/>
      <c r="AT40" s="941"/>
      <c r="AU40" s="941"/>
      <c r="AV40" s="941"/>
      <c r="AW40" s="941"/>
      <c r="AX40" s="941"/>
      <c r="AY40" s="941"/>
      <c r="AZ40" s="941"/>
      <c r="BA40" s="941"/>
      <c r="BB40" s="941"/>
      <c r="BC40" s="941"/>
      <c r="BD40" s="941"/>
    </row>
    <row r="41" spans="1:56" x14ac:dyDescent="0.25">
      <c r="A41" s="1014"/>
      <c r="B41" s="982"/>
      <c r="C41" s="998"/>
      <c r="D41" s="99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1142"/>
      <c r="P41" s="1142"/>
      <c r="Q41" s="1142"/>
      <c r="R41" s="1142"/>
      <c r="S41" s="1142"/>
      <c r="T41" s="1142"/>
      <c r="U41" s="1142"/>
      <c r="V41" s="1142"/>
      <c r="W41" s="1142"/>
      <c r="X41" s="1142"/>
      <c r="Y41" s="1142"/>
      <c r="Z41" s="1142"/>
      <c r="AA41" s="1142"/>
      <c r="AB41" s="1142"/>
      <c r="AC41" s="1142"/>
      <c r="AD41" s="940"/>
    </row>
    <row r="42" spans="1:56" x14ac:dyDescent="0.25">
      <c r="A42" s="1015" t="s">
        <v>40</v>
      </c>
      <c r="B42" s="943" t="s">
        <v>41</v>
      </c>
      <c r="C42" s="998">
        <f>AVERAGE(D42:AD42)</f>
        <v>0.21688811807601452</v>
      </c>
      <c r="D42" s="999">
        <v>4.2191069976377671E-2</v>
      </c>
      <c r="E42" s="939">
        <v>2.9499999999999998E-2</v>
      </c>
      <c r="F42" s="939">
        <v>4.6100000000000002E-2</v>
      </c>
      <c r="G42" s="939">
        <v>-1.61E-2</v>
      </c>
      <c r="H42" s="939">
        <v>9.8599999999999993E-2</v>
      </c>
      <c r="I42" s="939">
        <v>8.6699999999999999E-2</v>
      </c>
      <c r="J42" s="939">
        <v>0</v>
      </c>
      <c r="K42" s="939">
        <v>1.4999999999999999E-2</v>
      </c>
      <c r="L42" s="939">
        <v>6.2799999999999995E-2</v>
      </c>
      <c r="M42" s="939">
        <v>5.5500000000000001E-2</v>
      </c>
      <c r="N42" s="939">
        <v>2.4400000000000002E-2</v>
      </c>
      <c r="O42" s="1142">
        <v>-0.25919999999999999</v>
      </c>
      <c r="P42" s="1142">
        <v>4</v>
      </c>
      <c r="Q42" s="1142">
        <v>0</v>
      </c>
      <c r="R42" s="1142">
        <v>-0.44440000000000002</v>
      </c>
      <c r="S42" s="1142">
        <v>0</v>
      </c>
      <c r="T42" s="1142">
        <v>-1</v>
      </c>
      <c r="U42" s="1142">
        <v>0.42409999999999998</v>
      </c>
      <c r="V42" s="1142">
        <v>0</v>
      </c>
      <c r="W42" s="1142">
        <v>0.1694</v>
      </c>
      <c r="X42" s="1142">
        <v>0</v>
      </c>
      <c r="Y42" s="1142">
        <v>-1</v>
      </c>
      <c r="Z42" s="1142">
        <v>0.99150000000000005</v>
      </c>
      <c r="AA42" s="1142">
        <v>0</v>
      </c>
      <c r="AB42" s="1142">
        <v>0</v>
      </c>
      <c r="AC42" s="1142">
        <v>2.3130000000000002</v>
      </c>
      <c r="AD42" s="940"/>
    </row>
    <row r="43" spans="1:56" x14ac:dyDescent="0.25">
      <c r="A43" s="1015" t="s">
        <v>38</v>
      </c>
      <c r="B43" s="943" t="s">
        <v>714</v>
      </c>
      <c r="C43" s="998">
        <f>AVERAGE(D43:AD43)</f>
        <v>8.1474391472938848E-2</v>
      </c>
      <c r="D43" s="999">
        <v>5.4034178296409774E-2</v>
      </c>
      <c r="E43" s="939">
        <v>6.3100000000000003E-2</v>
      </c>
      <c r="F43" s="939">
        <v>6.1899999999999997E-2</v>
      </c>
      <c r="G43" s="939">
        <v>7.2700000000000001E-2</v>
      </c>
      <c r="H43" s="939">
        <v>0.23069999999999999</v>
      </c>
      <c r="I43" s="939">
        <v>0.1235</v>
      </c>
      <c r="J43" s="939">
        <v>7.0900000000000005E-2</v>
      </c>
      <c r="K43" s="939">
        <v>7.5499999999999998E-2</v>
      </c>
      <c r="L43" s="939">
        <v>8.3900000000000002E-2</v>
      </c>
      <c r="M43" s="939">
        <v>8.9899999999999994E-2</v>
      </c>
      <c r="N43" s="939">
        <v>0.1462</v>
      </c>
      <c r="O43" s="1142">
        <v>4.9299999999999997E-2</v>
      </c>
      <c r="P43" s="1142">
        <v>6.4100000000000004E-2</v>
      </c>
      <c r="Q43" s="1142">
        <v>2.7400000000000001E-2</v>
      </c>
      <c r="R43" s="1142">
        <v>8.5300000000000001E-2</v>
      </c>
      <c r="S43" s="1142">
        <v>9.3899999999999997E-2</v>
      </c>
      <c r="T43" s="1142">
        <v>7.5700000000000003E-2</v>
      </c>
      <c r="U43" s="1142">
        <v>0.12590000000000001</v>
      </c>
      <c r="V43" s="1142">
        <v>8.1000000000000003E-2</v>
      </c>
      <c r="W43" s="1142">
        <v>5.7099999999999998E-2</v>
      </c>
      <c r="X43" s="1142">
        <v>0.1105</v>
      </c>
      <c r="Y43" s="1142">
        <v>8.9599999999999999E-2</v>
      </c>
      <c r="Z43" s="1142">
        <v>0.1022</v>
      </c>
      <c r="AA43" s="1142">
        <v>0</v>
      </c>
      <c r="AB43" s="1142">
        <v>8.4000000000000005E-2</v>
      </c>
      <c r="AC43" s="1142">
        <v>0</v>
      </c>
      <c r="AD43" s="940"/>
    </row>
    <row r="44" spans="1:56" x14ac:dyDescent="0.25">
      <c r="A44" s="1014"/>
      <c r="B44" s="982"/>
      <c r="C44" s="998"/>
      <c r="D44" s="99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1142"/>
      <c r="P44" s="1142"/>
      <c r="Q44" s="1142"/>
      <c r="R44" s="1142"/>
      <c r="S44" s="1142"/>
      <c r="T44" s="1142"/>
      <c r="U44" s="1142"/>
      <c r="V44" s="1142"/>
      <c r="W44" s="1142"/>
      <c r="X44" s="1142"/>
      <c r="Y44" s="1142"/>
      <c r="Z44" s="1142"/>
      <c r="AA44" s="1142"/>
      <c r="AB44" s="1142"/>
      <c r="AC44" s="1142"/>
      <c r="AD44" s="940"/>
    </row>
    <row r="45" spans="1:56" x14ac:dyDescent="0.25">
      <c r="A45" s="1015" t="s">
        <v>31</v>
      </c>
      <c r="B45" s="943" t="s">
        <v>32</v>
      </c>
      <c r="C45" s="998">
        <f>AVERAGE(D45:AD45)</f>
        <v>0.15640000000000001</v>
      </c>
      <c r="D45" s="999">
        <v>0</v>
      </c>
      <c r="E45" s="939">
        <v>0.1804</v>
      </c>
      <c r="F45" s="939">
        <v>2.0000000000000001E-4</v>
      </c>
      <c r="G45" s="939">
        <v>0.60140000000000005</v>
      </c>
      <c r="H45" s="939">
        <v>0</v>
      </c>
      <c r="I45" s="939"/>
      <c r="J45" s="939"/>
      <c r="K45" s="939"/>
      <c r="L45" s="939"/>
      <c r="M45" s="939"/>
      <c r="N45" s="939"/>
      <c r="O45" s="1142"/>
      <c r="P45" s="1142"/>
      <c r="Q45" s="1142"/>
      <c r="R45" s="1142"/>
      <c r="S45" s="1142"/>
      <c r="T45" s="1142"/>
      <c r="U45" s="1142"/>
      <c r="V45" s="1142"/>
      <c r="W45" s="1142"/>
      <c r="X45" s="1142"/>
      <c r="Y45" s="1142"/>
      <c r="Z45" s="1142"/>
      <c r="AA45" s="1142"/>
      <c r="AB45" s="1142"/>
      <c r="AC45" s="1142"/>
      <c r="AD45" s="940"/>
    </row>
    <row r="46" spans="1:56" x14ac:dyDescent="0.25">
      <c r="A46" s="1014"/>
      <c r="B46" s="982"/>
      <c r="C46" s="998"/>
      <c r="D46" s="999"/>
      <c r="E46" s="939"/>
      <c r="F46" s="939"/>
      <c r="G46" s="939"/>
      <c r="H46" s="939"/>
      <c r="I46" s="939"/>
      <c r="J46" s="939"/>
      <c r="K46" s="939"/>
      <c r="L46" s="939"/>
      <c r="M46" s="939"/>
      <c r="N46" s="939"/>
      <c r="O46" s="1142"/>
      <c r="P46" s="1142"/>
      <c r="Q46" s="1142"/>
      <c r="R46" s="1142"/>
      <c r="S46" s="1142"/>
      <c r="T46" s="1142"/>
      <c r="U46" s="1142"/>
      <c r="V46" s="1142"/>
      <c r="W46" s="1142"/>
      <c r="X46" s="1142"/>
      <c r="Y46" s="1142"/>
      <c r="Z46" s="1142"/>
      <c r="AA46" s="1142"/>
      <c r="AB46" s="1142"/>
      <c r="AC46" s="1142"/>
      <c r="AD46" s="940"/>
    </row>
    <row r="47" spans="1:56" x14ac:dyDescent="0.25">
      <c r="A47" s="1013" t="s">
        <v>25</v>
      </c>
      <c r="B47" s="942" t="s">
        <v>26</v>
      </c>
      <c r="C47" s="998">
        <f>AVERAGE(D47:AD47)</f>
        <v>0.19695000000000004</v>
      </c>
      <c r="D47" s="999">
        <v>1.17E-2</v>
      </c>
      <c r="E47" s="939">
        <v>0.1804</v>
      </c>
      <c r="F47" s="939">
        <v>0.1217</v>
      </c>
      <c r="G47" s="939">
        <v>0.115</v>
      </c>
      <c r="H47" s="939">
        <v>4.1099999999999998E-2</v>
      </c>
      <c r="I47" s="939">
        <v>3.4299999999999997E-2</v>
      </c>
      <c r="J47" s="939">
        <v>0.20610000000000001</v>
      </c>
      <c r="K47" s="939">
        <v>6.6E-3</v>
      </c>
      <c r="L47" s="939">
        <v>8.9700000000000002E-2</v>
      </c>
      <c r="M47" s="939">
        <v>0.2172</v>
      </c>
      <c r="N47" s="939">
        <v>0.1099</v>
      </c>
      <c r="O47" s="1142">
        <v>7.9000000000000001E-2</v>
      </c>
      <c r="P47" s="1142">
        <v>0.17929999999999999</v>
      </c>
      <c r="Q47" s="1142">
        <v>0.10150000000000001</v>
      </c>
      <c r="R47" s="1142">
        <v>4.6100000000000002E-2</v>
      </c>
      <c r="S47" s="1142">
        <v>0.33410000000000001</v>
      </c>
      <c r="T47" s="1142">
        <v>0.2757</v>
      </c>
      <c r="U47" s="1142">
        <v>7.7399999999999997E-2</v>
      </c>
      <c r="V47" s="1142">
        <v>0.2848</v>
      </c>
      <c r="W47" s="1142">
        <v>0.22459999999999999</v>
      </c>
      <c r="X47" s="1142">
        <v>0.13120000000000001</v>
      </c>
      <c r="Y47" s="1142">
        <v>0.2994</v>
      </c>
      <c r="Z47" s="1142">
        <v>0.1215</v>
      </c>
      <c r="AA47" s="1142">
        <v>1.0387999999999999</v>
      </c>
      <c r="AB47" s="1142">
        <v>0.71099999999999997</v>
      </c>
      <c r="AC47" s="1142">
        <v>8.2600000000000007E-2</v>
      </c>
      <c r="AD47" s="940"/>
    </row>
    <row r="48" spans="1:56" x14ac:dyDescent="0.25">
      <c r="A48" s="1014"/>
      <c r="B48" s="982"/>
      <c r="C48" s="1000"/>
      <c r="D48" s="999"/>
      <c r="E48" s="939"/>
      <c r="F48" s="939"/>
      <c r="G48" s="939"/>
      <c r="H48" s="939"/>
      <c r="I48" s="939"/>
      <c r="J48" s="939"/>
      <c r="K48" s="939"/>
      <c r="L48" s="939"/>
      <c r="M48" s="939"/>
      <c r="N48" s="939"/>
      <c r="O48" s="1142"/>
      <c r="P48" s="1142"/>
      <c r="Q48" s="1142"/>
      <c r="R48" s="1142"/>
      <c r="S48" s="1142"/>
      <c r="T48" s="1142"/>
      <c r="U48" s="1142"/>
      <c r="V48" s="1142"/>
      <c r="W48" s="1142"/>
      <c r="X48" s="1142"/>
      <c r="Y48" s="1142"/>
      <c r="Z48" s="1142"/>
      <c r="AA48" s="1142"/>
      <c r="AB48" s="1142"/>
      <c r="AC48" s="1142"/>
      <c r="AD48" s="940"/>
    </row>
    <row r="49" spans="1:56" s="1008" customFormat="1" ht="18.75" x14ac:dyDescent="0.25">
      <c r="A49" s="1016"/>
      <c r="B49" s="1003"/>
      <c r="C49" s="1002">
        <f>AVERAGE(AVERAGE(C28:C48),AVERAGE(D49:AD49))</f>
        <v>0.18925023775728861</v>
      </c>
      <c r="D49" s="1004">
        <f t="shared" ref="D49:AC49" si="4">AVERAGE(D28:D48)</f>
        <v>1.743101706850269E-2</v>
      </c>
      <c r="E49" s="1005">
        <f t="shared" si="4"/>
        <v>5.5272645535466444E-2</v>
      </c>
      <c r="F49" s="1005">
        <f t="shared" si="4"/>
        <v>-1.8693333333333333E-2</v>
      </c>
      <c r="G49" s="1005">
        <f t="shared" si="4"/>
        <v>8.6320000000000008E-2</v>
      </c>
      <c r="H49" s="1005">
        <f t="shared" si="4"/>
        <v>4.3406666666666677E-2</v>
      </c>
      <c r="I49" s="1005">
        <f t="shared" si="4"/>
        <v>4.9164285714285709E-2</v>
      </c>
      <c r="J49" s="1005">
        <f t="shared" si="4"/>
        <v>0.16485</v>
      </c>
      <c r="K49" s="1005">
        <f t="shared" si="4"/>
        <v>4.3135714285714284E-2</v>
      </c>
      <c r="L49" s="1005">
        <f t="shared" si="4"/>
        <v>1.1385714285714289E-2</v>
      </c>
      <c r="M49" s="1005">
        <f t="shared" si="4"/>
        <v>3.3664285714285716E-2</v>
      </c>
      <c r="N49" s="1005">
        <f t="shared" si="4"/>
        <v>5.3850000000000009E-2</v>
      </c>
      <c r="O49" s="1005">
        <f t="shared" si="4"/>
        <v>9.2773333333333305E-2</v>
      </c>
      <c r="P49" s="1005">
        <f t="shared" si="4"/>
        <v>0.2706533333333333</v>
      </c>
      <c r="Q49" s="1005">
        <f t="shared" si="4"/>
        <v>-3.1380000000000012E-2</v>
      </c>
      <c r="R49" s="1005">
        <f t="shared" si="4"/>
        <v>7.193999999999999E-2</v>
      </c>
      <c r="S49" s="1005">
        <f t="shared" si="4"/>
        <v>0.27560000000000007</v>
      </c>
      <c r="T49" s="1005">
        <f t="shared" si="4"/>
        <v>0.19239999999999999</v>
      </c>
      <c r="U49" s="1005">
        <f t="shared" si="4"/>
        <v>0.20444999999999997</v>
      </c>
      <c r="V49" s="1005">
        <f t="shared" si="4"/>
        <v>0.107475</v>
      </c>
      <c r="W49" s="1005">
        <f t="shared" si="4"/>
        <v>0.38845625</v>
      </c>
      <c r="X49" s="1005">
        <f t="shared" si="4"/>
        <v>0.19861875000000001</v>
      </c>
      <c r="Y49" s="1005">
        <f t="shared" si="4"/>
        <v>0.46935624999999997</v>
      </c>
      <c r="Z49" s="1005">
        <f t="shared" si="4"/>
        <v>0.38626000000000005</v>
      </c>
      <c r="AA49" s="1005">
        <f t="shared" si="4"/>
        <v>0.67092000000000007</v>
      </c>
      <c r="AB49" s="1005">
        <f t="shared" si="4"/>
        <v>0.47826000000000002</v>
      </c>
      <c r="AC49" s="1005">
        <f t="shared" si="4"/>
        <v>0.56925333333333339</v>
      </c>
      <c r="AD49" s="1006"/>
      <c r="AE49" s="1007"/>
      <c r="AF49" s="1007"/>
      <c r="AG49" s="1007"/>
      <c r="AH49" s="1007"/>
      <c r="AI49" s="1007"/>
      <c r="AJ49" s="1007"/>
      <c r="AK49" s="1007"/>
      <c r="AL49" s="1007"/>
      <c r="AM49" s="1007"/>
      <c r="AN49" s="1007"/>
      <c r="AO49" s="1007"/>
      <c r="AP49" s="1007"/>
      <c r="AQ49" s="1007"/>
      <c r="AR49" s="1007"/>
      <c r="AS49" s="1007"/>
      <c r="AT49" s="1007"/>
      <c r="AU49" s="1007"/>
      <c r="AV49" s="1007"/>
      <c r="AW49" s="1007"/>
      <c r="AX49" s="1007"/>
      <c r="AY49" s="1007"/>
      <c r="AZ49" s="1007"/>
      <c r="BA49" s="1007"/>
      <c r="BB49" s="1007"/>
      <c r="BC49" s="1007"/>
      <c r="BD49" s="1007"/>
    </row>
    <row r="50" spans="1:56" x14ac:dyDescent="0.25">
      <c r="A50" s="1017"/>
      <c r="B50" s="983"/>
      <c r="C50" s="990">
        <f>AVERAGE(D49:AD49)</f>
        <v>0.1878778171514347</v>
      </c>
      <c r="D50" s="1001"/>
      <c r="E50" s="978"/>
      <c r="F50" s="978"/>
      <c r="G50" s="978"/>
      <c r="H50" s="978"/>
      <c r="I50" s="978"/>
      <c r="J50" s="978"/>
      <c r="K50" s="978"/>
      <c r="L50" s="978"/>
      <c r="M50" s="978"/>
      <c r="N50" s="978"/>
      <c r="O50" s="1140"/>
      <c r="P50" s="1140"/>
      <c r="Q50" s="1140"/>
      <c r="R50" s="1140"/>
      <c r="S50" s="1140"/>
      <c r="T50" s="1140"/>
      <c r="U50" s="1140"/>
      <c r="V50" s="1140"/>
      <c r="W50" s="1140"/>
      <c r="X50" s="1140"/>
      <c r="Y50" s="1140"/>
      <c r="Z50" s="1140"/>
      <c r="AA50" s="1140"/>
      <c r="AB50" s="1140"/>
      <c r="AC50" s="1140"/>
      <c r="AD50" s="980"/>
    </row>
  </sheetData>
  <mergeCells count="2">
    <mergeCell ref="A2:B2"/>
    <mergeCell ref="A27:B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T216"/>
  <sheetViews>
    <sheetView topLeftCell="A112" workbookViewId="0">
      <selection sqref="A1:L14"/>
    </sheetView>
  </sheetViews>
  <sheetFormatPr defaultColWidth="9.625" defaultRowHeight="15.75" x14ac:dyDescent="0.25"/>
  <cols>
    <col min="1" max="1" width="9.625" style="3"/>
    <col min="2" max="2" width="13.875" style="6" customWidth="1"/>
    <col min="3" max="3" width="8.625" style="477" customWidth="1"/>
    <col min="4" max="4" width="11.875" style="8" customWidth="1"/>
    <col min="5" max="5" width="11.375" style="8" bestFit="1" customWidth="1"/>
    <col min="6" max="6" width="11.875" style="8" customWidth="1"/>
    <col min="7" max="8" width="9.625" style="8"/>
    <col min="9" max="9" width="11.25" style="477" customWidth="1"/>
    <col min="10" max="10" width="9.625" style="477"/>
    <col min="11" max="11" width="10.625" style="477" customWidth="1"/>
    <col min="12" max="12" width="12.875" style="6" customWidth="1"/>
    <col min="13" max="13" width="9.625" style="52"/>
    <col min="14" max="14" width="9.625" style="796"/>
    <col min="15" max="15" width="9.625" style="1"/>
    <col min="16" max="16" width="10.75" style="1" customWidth="1"/>
    <col min="17" max="17" width="9.625" style="1"/>
    <col min="18" max="18" width="8.5" style="1" customWidth="1"/>
    <col min="19" max="19" width="6.75" style="1" customWidth="1"/>
    <col min="20" max="16384" width="9.625" style="1"/>
  </cols>
  <sheetData>
    <row r="1" spans="1:20" ht="18.75" x14ac:dyDescent="0.25">
      <c r="A1" s="893" t="s">
        <v>499</v>
      </c>
    </row>
    <row r="2" spans="1:20" s="445" customFormat="1" ht="12.75" x14ac:dyDescent="0.25">
      <c r="A2" s="2078" t="s">
        <v>274</v>
      </c>
      <c r="B2" s="2080" t="s">
        <v>275</v>
      </c>
      <c r="C2" s="2082" t="s">
        <v>265</v>
      </c>
      <c r="D2" s="2083"/>
      <c r="E2" s="2084"/>
      <c r="F2" s="484" t="s">
        <v>271</v>
      </c>
      <c r="G2" s="490" t="s">
        <v>300</v>
      </c>
      <c r="H2" s="490" t="s">
        <v>272</v>
      </c>
      <c r="I2" s="2085" t="s">
        <v>276</v>
      </c>
      <c r="J2" s="485" t="s">
        <v>268</v>
      </c>
      <c r="K2" s="2070" t="s">
        <v>277</v>
      </c>
      <c r="L2" s="901"/>
      <c r="M2" s="924"/>
      <c r="N2" s="1967"/>
    </row>
    <row r="3" spans="1:20" s="445" customFormat="1" ht="12.75" x14ac:dyDescent="0.25">
      <c r="A3" s="2079"/>
      <c r="B3" s="2081"/>
      <c r="C3" s="499" t="s">
        <v>266</v>
      </c>
      <c r="D3" s="486" t="s">
        <v>281</v>
      </c>
      <c r="E3" s="486" t="s">
        <v>267</v>
      </c>
      <c r="F3" s="486" t="s">
        <v>267</v>
      </c>
      <c r="G3" s="491" t="s">
        <v>267</v>
      </c>
      <c r="H3" s="491" t="s">
        <v>267</v>
      </c>
      <c r="I3" s="2086"/>
      <c r="J3" s="487">
        <v>0.2</v>
      </c>
      <c r="K3" s="2071"/>
      <c r="L3" s="901"/>
      <c r="M3" s="924"/>
      <c r="N3" s="1967"/>
    </row>
    <row r="4" spans="1:20" x14ac:dyDescent="0.25">
      <c r="A4" s="2072" t="s">
        <v>278</v>
      </c>
      <c r="B4" s="2073"/>
      <c r="C4" s="898"/>
      <c r="D4" s="481"/>
      <c r="E4" s="481">
        <f>E5*(1+J3)</f>
        <v>198</v>
      </c>
      <c r="F4" s="481">
        <f>F5*(1+J3)</f>
        <v>521.94000000000005</v>
      </c>
      <c r="G4" s="481">
        <f>G5*(1+J3)</f>
        <v>91.99199999999999</v>
      </c>
      <c r="H4" s="492">
        <f>H5*(1+J3)</f>
        <v>0</v>
      </c>
      <c r="I4" s="495"/>
      <c r="J4" s="488"/>
      <c r="K4" s="1103">
        <v>10000</v>
      </c>
      <c r="L4" s="1087">
        <f>L5+L6</f>
        <v>0.99999999999999989</v>
      </c>
      <c r="M4" s="1135">
        <v>43777</v>
      </c>
      <c r="Q4" s="1143">
        <f ca="1">K5/(TODAY()-M4)</f>
        <v>0.97823132530120482</v>
      </c>
      <c r="R4" s="51">
        <f ca="1">Q6-Q4</f>
        <v>5.8710837431919458</v>
      </c>
      <c r="S4" s="1150">
        <f ca="1">(Q4/Q6)-1</f>
        <v>-0.85717822650602415</v>
      </c>
      <c r="T4" s="1144" t="s">
        <v>859</v>
      </c>
    </row>
    <row r="5" spans="1:20" x14ac:dyDescent="0.25">
      <c r="A5" s="2074" t="s">
        <v>273</v>
      </c>
      <c r="B5" s="2075"/>
      <c r="C5" s="899">
        <f>SUM(C7:C14)</f>
        <v>20</v>
      </c>
      <c r="D5" s="891">
        <f>E5/C5</f>
        <v>8.25</v>
      </c>
      <c r="E5" s="891">
        <f t="shared" ref="E5:K5" si="0">SUM(E7:E14)</f>
        <v>165</v>
      </c>
      <c r="F5" s="891">
        <f t="shared" si="0"/>
        <v>434.95000000000005</v>
      </c>
      <c r="G5" s="891">
        <f t="shared" si="0"/>
        <v>76.66</v>
      </c>
      <c r="H5" s="493">
        <f t="shared" si="0"/>
        <v>0</v>
      </c>
      <c r="I5" s="469">
        <f t="shared" si="0"/>
        <v>676.61</v>
      </c>
      <c r="J5" s="891">
        <f t="shared" si="0"/>
        <v>135.32200000000003</v>
      </c>
      <c r="K5" s="892">
        <f t="shared" si="0"/>
        <v>811.93200000000002</v>
      </c>
      <c r="L5" s="1086">
        <f>K5/K4</f>
        <v>8.1193200000000007E-2</v>
      </c>
      <c r="M5" s="251">
        <f ca="1">M6-TODAY()</f>
        <v>630</v>
      </c>
      <c r="N5" s="1968">
        <f ca="1">M5/30</f>
        <v>21</v>
      </c>
      <c r="O5" s="1" t="s">
        <v>820</v>
      </c>
      <c r="Q5" s="1143">
        <f ca="1">K6/M5</f>
        <v>14.58423492063492</v>
      </c>
      <c r="R5" s="51">
        <f ca="1">Q6-Q5</f>
        <v>-7.7349198521417692</v>
      </c>
      <c r="S5" s="1150">
        <f ca="1">(Q5/Q6)-1</f>
        <v>1.1292982984126985</v>
      </c>
      <c r="T5" s="1144" t="s">
        <v>858</v>
      </c>
    </row>
    <row r="6" spans="1:20" s="480" customFormat="1" x14ac:dyDescent="0.25">
      <c r="A6" s="2076" t="s">
        <v>270</v>
      </c>
      <c r="B6" s="2077"/>
      <c r="C6" s="900"/>
      <c r="D6" s="489"/>
      <c r="E6" s="489">
        <f>E5/$I$5</f>
        <v>0.24386278653877419</v>
      </c>
      <c r="F6" s="489">
        <f>F5/$I$5</f>
        <v>0.64283708487902935</v>
      </c>
      <c r="G6" s="489">
        <f>G5/$I$5</f>
        <v>0.11330012858219653</v>
      </c>
      <c r="H6" s="494">
        <f>H5/$I$5</f>
        <v>0</v>
      </c>
      <c r="I6" s="496">
        <f>I5/$I$5</f>
        <v>1</v>
      </c>
      <c r="J6" s="489"/>
      <c r="K6" s="1104">
        <f>K4-K5</f>
        <v>9188.0679999999993</v>
      </c>
      <c r="L6" s="1087">
        <f>K6/K4</f>
        <v>0.91880679999999992</v>
      </c>
      <c r="M6" s="1135">
        <v>45237</v>
      </c>
      <c r="N6" s="1969">
        <f ca="1">M5/365.25</f>
        <v>1.7248459958932238</v>
      </c>
      <c r="O6" s="480" t="s">
        <v>821</v>
      </c>
      <c r="Q6" s="1147">
        <f>K4/(M6-M4)</f>
        <v>6.8493150684931505</v>
      </c>
      <c r="S6" s="1149"/>
      <c r="T6" s="1148" t="s">
        <v>860</v>
      </c>
    </row>
    <row r="7" spans="1:20" s="7" customFormat="1" x14ac:dyDescent="0.25">
      <c r="A7" s="945">
        <v>43866</v>
      </c>
      <c r="B7" s="906" t="s">
        <v>1001</v>
      </c>
      <c r="C7" s="946">
        <f>1+1</f>
        <v>2</v>
      </c>
      <c r="D7" s="950">
        <f t="shared" ref="D7:D13" si="1">E7/C7</f>
        <v>8.25</v>
      </c>
      <c r="E7" s="947">
        <f>8.25+8.25</f>
        <v>16.5</v>
      </c>
      <c r="F7" s="947">
        <f>2.91+4.25+0.63+7.92+0.33+16.67</f>
        <v>32.71</v>
      </c>
      <c r="G7" s="948">
        <f>0.83+12.5</f>
        <v>13.33</v>
      </c>
      <c r="H7" s="948">
        <v>0</v>
      </c>
      <c r="I7" s="949">
        <f t="shared" ref="I7:I13" si="2">SUM(E7:H7)</f>
        <v>62.54</v>
      </c>
      <c r="J7" s="950">
        <f t="shared" ref="J7:J13" si="3">I7*$J$3</f>
        <v>12.508000000000001</v>
      </c>
      <c r="K7" s="951">
        <f t="shared" ref="K7:K13" si="4">SUM(I7:J7)</f>
        <v>75.048000000000002</v>
      </c>
      <c r="L7" s="750" t="s">
        <v>830</v>
      </c>
      <c r="M7" s="800" t="s">
        <v>831</v>
      </c>
      <c r="N7" s="1791"/>
    </row>
    <row r="8" spans="1:20" s="7" customFormat="1" x14ac:dyDescent="0.25">
      <c r="A8" s="945">
        <v>43866</v>
      </c>
      <c r="B8" s="906" t="s">
        <v>1001</v>
      </c>
      <c r="C8" s="946">
        <f>1+2</f>
        <v>3</v>
      </c>
      <c r="D8" s="950">
        <f t="shared" si="1"/>
        <v>8.25</v>
      </c>
      <c r="E8" s="947">
        <f>8.25+16.5</f>
        <v>24.75</v>
      </c>
      <c r="F8" s="947">
        <f>4.58+48.33+0.63+10+0.33+16.67</f>
        <v>80.539999999999992</v>
      </c>
      <c r="G8" s="948">
        <f>12.5+0.83</f>
        <v>13.33</v>
      </c>
      <c r="H8" s="948">
        <v>0</v>
      </c>
      <c r="I8" s="949">
        <f t="shared" si="2"/>
        <v>118.61999999999999</v>
      </c>
      <c r="J8" s="950">
        <f t="shared" si="3"/>
        <v>23.724</v>
      </c>
      <c r="K8" s="951">
        <f t="shared" si="4"/>
        <v>142.34399999999999</v>
      </c>
      <c r="L8" s="750" t="s">
        <v>830</v>
      </c>
      <c r="M8" s="800" t="s">
        <v>832</v>
      </c>
      <c r="N8" s="1791"/>
    </row>
    <row r="9" spans="1:20" s="600" customFormat="1" x14ac:dyDescent="0.25">
      <c r="A9" s="912">
        <v>43866</v>
      </c>
      <c r="B9" s="913" t="s">
        <v>833</v>
      </c>
      <c r="C9" s="914">
        <f>1+1</f>
        <v>2</v>
      </c>
      <c r="D9" s="1136">
        <f t="shared" si="1"/>
        <v>8.25</v>
      </c>
      <c r="E9" s="915">
        <f>8.25+8.25</f>
        <v>16.5</v>
      </c>
      <c r="F9" s="915">
        <f>6.67+8.33+5.08+5.42+0.63+6.67+0.33+26.67</f>
        <v>59.8</v>
      </c>
      <c r="G9" s="916">
        <v>12.5</v>
      </c>
      <c r="H9" s="916">
        <v>0</v>
      </c>
      <c r="I9" s="926">
        <f t="shared" si="2"/>
        <v>88.8</v>
      </c>
      <c r="J9" s="1136">
        <f t="shared" si="3"/>
        <v>17.760000000000002</v>
      </c>
      <c r="K9" s="1137">
        <f t="shared" si="4"/>
        <v>106.56</v>
      </c>
      <c r="L9" s="537" t="s">
        <v>830</v>
      </c>
      <c r="M9" s="828" t="s">
        <v>834</v>
      </c>
      <c r="N9" s="1970"/>
    </row>
    <row r="10" spans="1:20" s="7" customFormat="1" x14ac:dyDescent="0.25">
      <c r="A10" s="945">
        <v>43866</v>
      </c>
      <c r="B10" s="906" t="s">
        <v>1001</v>
      </c>
      <c r="C10" s="946">
        <f>1+1</f>
        <v>2</v>
      </c>
      <c r="D10" s="950">
        <f t="shared" si="1"/>
        <v>8.25</v>
      </c>
      <c r="E10" s="947">
        <f>8.25+8.25</f>
        <v>16.5</v>
      </c>
      <c r="F10" s="947">
        <f>5.08+5.42+0.63+0.33+16.67+24.92</f>
        <v>53.050000000000004</v>
      </c>
      <c r="G10" s="948">
        <v>12.5</v>
      </c>
      <c r="H10" s="948">
        <v>0</v>
      </c>
      <c r="I10" s="949">
        <f t="shared" si="2"/>
        <v>82.050000000000011</v>
      </c>
      <c r="J10" s="950">
        <f t="shared" si="3"/>
        <v>16.410000000000004</v>
      </c>
      <c r="K10" s="951">
        <f t="shared" si="4"/>
        <v>98.460000000000008</v>
      </c>
      <c r="L10" s="750" t="s">
        <v>830</v>
      </c>
      <c r="M10" s="800" t="s">
        <v>835</v>
      </c>
      <c r="N10" s="1791"/>
    </row>
    <row r="11" spans="1:20" s="600" customFormat="1" x14ac:dyDescent="0.25">
      <c r="A11" s="912">
        <v>43893</v>
      </c>
      <c r="B11" s="913" t="s">
        <v>853</v>
      </c>
      <c r="C11" s="914">
        <f>1+1</f>
        <v>2</v>
      </c>
      <c r="D11" s="1145">
        <f t="shared" si="1"/>
        <v>8.25</v>
      </c>
      <c r="E11" s="915">
        <f>8.25+8.25</f>
        <v>16.5</v>
      </c>
      <c r="F11" s="915">
        <f>11.13+3.33</f>
        <v>14.46</v>
      </c>
      <c r="G11" s="916">
        <v>0</v>
      </c>
      <c r="H11" s="916">
        <v>0</v>
      </c>
      <c r="I11" s="926">
        <f t="shared" si="2"/>
        <v>30.96</v>
      </c>
      <c r="J11" s="1145">
        <f t="shared" si="3"/>
        <v>6.1920000000000002</v>
      </c>
      <c r="K11" s="1146">
        <f t="shared" si="4"/>
        <v>37.152000000000001</v>
      </c>
      <c r="L11" s="537" t="s">
        <v>853</v>
      </c>
      <c r="M11" s="828" t="s">
        <v>854</v>
      </c>
      <c r="N11" s="1970"/>
    </row>
    <row r="12" spans="1:20" s="7" customFormat="1" x14ac:dyDescent="0.25">
      <c r="A12" s="945">
        <v>43843</v>
      </c>
      <c r="B12" s="906" t="s">
        <v>865</v>
      </c>
      <c r="C12" s="946">
        <f>1+2</f>
        <v>3</v>
      </c>
      <c r="D12" s="950">
        <f>E12/C12</f>
        <v>8.25</v>
      </c>
      <c r="E12" s="947">
        <f>8.25+16.5</f>
        <v>24.75</v>
      </c>
      <c r="F12" s="947">
        <f>10.83+5.75+25.08+8.5</f>
        <v>50.16</v>
      </c>
      <c r="G12" s="948">
        <v>12.5</v>
      </c>
      <c r="H12" s="948">
        <v>0</v>
      </c>
      <c r="I12" s="949">
        <f t="shared" si="2"/>
        <v>87.41</v>
      </c>
      <c r="J12" s="950">
        <f t="shared" si="3"/>
        <v>17.481999999999999</v>
      </c>
      <c r="K12" s="951">
        <f t="shared" si="4"/>
        <v>104.892</v>
      </c>
      <c r="L12" s="750" t="s">
        <v>866</v>
      </c>
      <c r="M12" s="800" t="s">
        <v>751</v>
      </c>
      <c r="N12" s="1791"/>
    </row>
    <row r="13" spans="1:20" s="600" customFormat="1" x14ac:dyDescent="0.25">
      <c r="A13" s="955">
        <v>44007</v>
      </c>
      <c r="B13" s="956" t="s">
        <v>1147</v>
      </c>
      <c r="C13" s="957">
        <f>1+5</f>
        <v>6</v>
      </c>
      <c r="D13" s="1145">
        <f t="shared" si="1"/>
        <v>8.25</v>
      </c>
      <c r="E13" s="958">
        <f>8.25+41.25</f>
        <v>49.5</v>
      </c>
      <c r="F13" s="958">
        <f>21.42+5+75.65+12.99+29.17</f>
        <v>144.23000000000002</v>
      </c>
      <c r="G13" s="959">
        <v>12.5</v>
      </c>
      <c r="H13" s="959">
        <v>0</v>
      </c>
      <c r="I13" s="960">
        <f t="shared" si="2"/>
        <v>206.23000000000002</v>
      </c>
      <c r="J13" s="961">
        <f t="shared" si="3"/>
        <v>41.246000000000009</v>
      </c>
      <c r="K13" s="962">
        <f t="shared" si="4"/>
        <v>247.47600000000003</v>
      </c>
      <c r="L13" s="537" t="s">
        <v>1147</v>
      </c>
      <c r="M13" s="828" t="s">
        <v>1148</v>
      </c>
      <c r="N13" s="1970"/>
    </row>
    <row r="14" spans="1:20" x14ac:dyDescent="0.25">
      <c r="A14" s="896" t="s">
        <v>269</v>
      </c>
      <c r="B14" s="897"/>
      <c r="C14" s="550"/>
      <c r="D14" s="84"/>
      <c r="E14" s="502"/>
      <c r="F14" s="502"/>
      <c r="G14" s="503"/>
      <c r="H14" s="503"/>
      <c r="I14" s="498"/>
      <c r="J14" s="482"/>
      <c r="K14" s="483"/>
    </row>
    <row r="15" spans="1:20" x14ac:dyDescent="0.25">
      <c r="C15" s="890"/>
      <c r="D15" s="8">
        <f>AVERAGE(D7:D14)</f>
        <v>8.25</v>
      </c>
      <c r="I15" s="890"/>
      <c r="J15" s="890"/>
      <c r="K15" s="890"/>
    </row>
    <row r="17" spans="1:20" ht="18.75" x14ac:dyDescent="0.25">
      <c r="A17" s="893" t="s">
        <v>376</v>
      </c>
      <c r="C17" s="903"/>
      <c r="I17" s="903"/>
      <c r="J17" s="903"/>
      <c r="K17" s="903"/>
    </row>
    <row r="18" spans="1:20" s="445" customFormat="1" ht="12.75" x14ac:dyDescent="0.25">
      <c r="A18" s="2078" t="s">
        <v>274</v>
      </c>
      <c r="B18" s="2080" t="s">
        <v>275</v>
      </c>
      <c r="C18" s="2082" t="s">
        <v>265</v>
      </c>
      <c r="D18" s="2083"/>
      <c r="E18" s="2084"/>
      <c r="F18" s="484" t="s">
        <v>271</v>
      </c>
      <c r="G18" s="490" t="s">
        <v>300</v>
      </c>
      <c r="H18" s="490" t="s">
        <v>272</v>
      </c>
      <c r="I18" s="2085" t="s">
        <v>276</v>
      </c>
      <c r="J18" s="485" t="s">
        <v>268</v>
      </c>
      <c r="K18" s="2070" t="s">
        <v>277</v>
      </c>
      <c r="L18" s="901"/>
      <c r="M18" s="924"/>
      <c r="N18" s="1967"/>
    </row>
    <row r="19" spans="1:20" s="445" customFormat="1" ht="12.75" x14ac:dyDescent="0.25">
      <c r="A19" s="2079"/>
      <c r="B19" s="2081"/>
      <c r="C19" s="499" t="s">
        <v>266</v>
      </c>
      <c r="D19" s="486" t="s">
        <v>281</v>
      </c>
      <c r="E19" s="486" t="s">
        <v>267</v>
      </c>
      <c r="F19" s="486" t="s">
        <v>267</v>
      </c>
      <c r="G19" s="491" t="s">
        <v>267</v>
      </c>
      <c r="H19" s="491" t="s">
        <v>267</v>
      </c>
      <c r="I19" s="2086"/>
      <c r="J19" s="487">
        <v>0.2</v>
      </c>
      <c r="K19" s="2071"/>
      <c r="L19" s="901"/>
      <c r="M19" s="924"/>
      <c r="N19" s="1967"/>
    </row>
    <row r="20" spans="1:20" x14ac:dyDescent="0.25">
      <c r="A20" s="2072" t="s">
        <v>278</v>
      </c>
      <c r="B20" s="2073"/>
      <c r="C20" s="898"/>
      <c r="D20" s="481"/>
      <c r="E20" s="481">
        <f>E21*(1+J19)</f>
        <v>8558.0224439999965</v>
      </c>
      <c r="F20" s="481">
        <f>F21*(1+J19)</f>
        <v>26111.664000000019</v>
      </c>
      <c r="G20" s="481">
        <f>G21*(1+J19)</f>
        <v>391.99199999999996</v>
      </c>
      <c r="H20" s="492">
        <f>H21*(1+J19)</f>
        <v>6288.2039999999997</v>
      </c>
      <c r="I20" s="495"/>
      <c r="J20" s="481"/>
      <c r="K20" s="1103">
        <v>75000</v>
      </c>
      <c r="L20" s="1087">
        <f>L21+L22</f>
        <v>1</v>
      </c>
      <c r="M20" s="1135">
        <v>43282</v>
      </c>
      <c r="Q20" s="1143">
        <f ca="1">K21/(TODAY()-M20)</f>
        <v>31.207458448301882</v>
      </c>
      <c r="R20" s="51">
        <f ca="1">Q22-Q20</f>
        <v>20.162404565396745</v>
      </c>
      <c r="S20" s="1150">
        <f ca="1">(Q20/Q22)-1</f>
        <v>-0.39249480887305666</v>
      </c>
      <c r="T20" s="1144" t="s">
        <v>859</v>
      </c>
    </row>
    <row r="21" spans="1:20" x14ac:dyDescent="0.25">
      <c r="A21" s="2074" t="s">
        <v>273</v>
      </c>
      <c r="B21" s="2075"/>
      <c r="C21" s="899">
        <f>SUM(C23:C141)</f>
        <v>414.98149999999981</v>
      </c>
      <c r="D21" s="904">
        <f>E21/C21</f>
        <v>17.185550126933371</v>
      </c>
      <c r="E21" s="904">
        <f t="shared" ref="E21:J21" si="5">SUM(E23:E141)</f>
        <v>7131.6853699999974</v>
      </c>
      <c r="F21" s="904">
        <f t="shared" si="5"/>
        <v>21759.720000000016</v>
      </c>
      <c r="G21" s="904">
        <f t="shared" si="5"/>
        <v>326.65999999999997</v>
      </c>
      <c r="H21" s="493">
        <f t="shared" si="5"/>
        <v>5240.17</v>
      </c>
      <c r="I21" s="497">
        <f t="shared" si="5"/>
        <v>34458.235369999995</v>
      </c>
      <c r="J21" s="922">
        <f t="shared" si="5"/>
        <v>6891.6470740000013</v>
      </c>
      <c r="K21" s="923">
        <f>SUM(K23:K141)</f>
        <v>41349.882443999995</v>
      </c>
      <c r="L21" s="1086">
        <f>K21/K20</f>
        <v>0.55133176591999988</v>
      </c>
      <c r="M21" s="251">
        <f ca="1">M22-TODAY()</f>
        <v>135</v>
      </c>
      <c r="N21" s="1968">
        <f ca="1">M21/30</f>
        <v>4.5</v>
      </c>
      <c r="O21" s="1" t="s">
        <v>820</v>
      </c>
      <c r="Q21" s="1143">
        <f ca="1">K22/M21</f>
        <v>249.26013004444448</v>
      </c>
      <c r="R21" s="51">
        <f ca="1">Q22-Q21</f>
        <v>-197.89026703074586</v>
      </c>
      <c r="S21" s="1150">
        <f ca="1">(Q21/Q22)-1</f>
        <v>3.8522638648651863</v>
      </c>
      <c r="T21" s="1144" t="s">
        <v>858</v>
      </c>
    </row>
    <row r="22" spans="1:20" s="480" customFormat="1" x14ac:dyDescent="0.25">
      <c r="A22" s="2076" t="s">
        <v>270</v>
      </c>
      <c r="B22" s="2077"/>
      <c r="C22" s="900"/>
      <c r="D22" s="489"/>
      <c r="E22" s="489">
        <f>E21/I21</f>
        <v>0.20696606466995637</v>
      </c>
      <c r="F22" s="489">
        <f>F21/I21</f>
        <v>0.63148097302000694</v>
      </c>
      <c r="G22" s="489">
        <f>G21/I21</f>
        <v>9.4798818480529758E-3</v>
      </c>
      <c r="H22" s="494">
        <f>H21/I21</f>
        <v>0.15207308046198423</v>
      </c>
      <c r="I22" s="496">
        <f>I21/I21</f>
        <v>1</v>
      </c>
      <c r="J22" s="489"/>
      <c r="K22" s="1104">
        <f>K20-K21</f>
        <v>33650.117556000005</v>
      </c>
      <c r="L22" s="1087">
        <f>K22/K20</f>
        <v>0.44866823408000006</v>
      </c>
      <c r="M22" s="1135">
        <v>44742</v>
      </c>
      <c r="N22" s="1969">
        <f ca="1">M21/365.25</f>
        <v>0.36960985626283366</v>
      </c>
      <c r="O22" s="480" t="s">
        <v>821</v>
      </c>
      <c r="Q22" s="1147">
        <f>K20/(M22-M20)</f>
        <v>51.369863013698627</v>
      </c>
      <c r="S22" s="1149"/>
      <c r="T22" s="1148" t="s">
        <v>860</v>
      </c>
    </row>
    <row r="23" spans="1:20" x14ac:dyDescent="0.25">
      <c r="A23" s="894">
        <v>43345</v>
      </c>
      <c r="B23" s="906" t="s">
        <v>577</v>
      </c>
      <c r="C23" s="549">
        <f>1.5+0.5+0.3+0.2</f>
        <v>2.5</v>
      </c>
      <c r="D23" s="325">
        <f t="shared" ref="D23:D30" si="6">E23/C23</f>
        <v>16.920000000000002</v>
      </c>
      <c r="E23" s="500">
        <f>25.38+8.46+5.08+3.38</f>
        <v>42.300000000000004</v>
      </c>
      <c r="F23" s="500">
        <v>144.11000000000001</v>
      </c>
      <c r="G23" s="501">
        <v>0</v>
      </c>
      <c r="H23" s="501">
        <v>0</v>
      </c>
      <c r="I23" s="497">
        <f>SUM(E23:H23)</f>
        <v>186.41000000000003</v>
      </c>
      <c r="J23" s="904">
        <f>I23*$J$19</f>
        <v>37.282000000000004</v>
      </c>
      <c r="K23" s="905">
        <f>SUM(I23:J23)</f>
        <v>223.69200000000004</v>
      </c>
      <c r="L23" s="6" t="s">
        <v>390</v>
      </c>
      <c r="M23" s="52" t="s">
        <v>28</v>
      </c>
    </row>
    <row r="24" spans="1:20" x14ac:dyDescent="0.25">
      <c r="A24" s="894">
        <v>43332</v>
      </c>
      <c r="B24" s="906" t="s">
        <v>552</v>
      </c>
      <c r="C24" s="549">
        <f>0.9+0.5+0.3+0.4+0.2+0.2+0.3+0.5+0.2+0.2+0.2</f>
        <v>3.9000000000000008</v>
      </c>
      <c r="D24" s="325">
        <f t="shared" si="6"/>
        <v>16.917948717948718</v>
      </c>
      <c r="E24" s="500">
        <f>15.23+8.46+5.08+6.77+3.38+3.38+5.08+8.46+3.38+3.38+3.38</f>
        <v>65.980000000000018</v>
      </c>
      <c r="F24" s="500">
        <v>195.06</v>
      </c>
      <c r="G24" s="501">
        <v>22.5</v>
      </c>
      <c r="H24" s="501">
        <v>0</v>
      </c>
      <c r="I24" s="497">
        <f>SUM(E24:H24)</f>
        <v>283.54000000000002</v>
      </c>
      <c r="J24" s="936">
        <f>I24*$J$19</f>
        <v>56.708000000000006</v>
      </c>
      <c r="K24" s="937">
        <f>SUM(I24:J24)</f>
        <v>340.24800000000005</v>
      </c>
      <c r="L24" s="6" t="s">
        <v>392</v>
      </c>
      <c r="M24" s="52" t="s">
        <v>30</v>
      </c>
    </row>
    <row r="25" spans="1:20" x14ac:dyDescent="0.25">
      <c r="A25" s="894">
        <v>43705</v>
      </c>
      <c r="B25" s="906" t="s">
        <v>576</v>
      </c>
      <c r="C25" s="549">
        <f>0.9+0.5+0.2+0.2+0.9+0.2+0.2+0.2+0.5+0.5</f>
        <v>4.3000000000000007</v>
      </c>
      <c r="D25" s="325">
        <f t="shared" si="6"/>
        <v>16.916279069767441</v>
      </c>
      <c r="E25" s="500">
        <f>15.23+8.46+3.38+3.38+15.23+3.38+3.38+3.38+8.46+8.46</f>
        <v>72.740000000000009</v>
      </c>
      <c r="F25" s="500">
        <f>7.73+3.26+6.85+6.32+1.57+6.49+41.16+10.78+6.72+0.51+1.68+2.83+7.17+90.6+0.8+8.23</f>
        <v>202.70000000000002</v>
      </c>
      <c r="G25" s="501">
        <v>0</v>
      </c>
      <c r="H25" s="501">
        <v>0</v>
      </c>
      <c r="I25" s="497">
        <f>SUM(E25:H25)</f>
        <v>275.44000000000005</v>
      </c>
      <c r="J25" s="952">
        <f>I25*$J$19</f>
        <v>55.088000000000015</v>
      </c>
      <c r="K25" s="953">
        <f>SUM(I25:J25)</f>
        <v>330.52800000000008</v>
      </c>
      <c r="L25" s="6" t="s">
        <v>389</v>
      </c>
      <c r="M25" s="52" t="s">
        <v>25</v>
      </c>
    </row>
    <row r="26" spans="1:20" x14ac:dyDescent="0.25">
      <c r="A26" s="894">
        <v>43348</v>
      </c>
      <c r="B26" s="906" t="s">
        <v>545</v>
      </c>
      <c r="C26" s="549">
        <f>0.2+0.3+0.2+0.2+0.7+0.5+0.3+0.1+0.5</f>
        <v>2.9999999999999996</v>
      </c>
      <c r="D26" s="325">
        <f t="shared" si="6"/>
        <v>16.916666666666668</v>
      </c>
      <c r="E26" s="500">
        <f>3.38+5.08+3.38+3.38+11.84+8.46+5.08+1.69+8.46</f>
        <v>50.749999999999993</v>
      </c>
      <c r="F26" s="500">
        <v>83.8</v>
      </c>
      <c r="G26" s="501">
        <v>0</v>
      </c>
      <c r="H26" s="501">
        <v>0</v>
      </c>
      <c r="I26" s="497">
        <f>SUM(E26:H26)</f>
        <v>134.54999999999998</v>
      </c>
      <c r="J26" s="927">
        <f>I26*$J$19</f>
        <v>26.909999999999997</v>
      </c>
      <c r="K26" s="928">
        <f>SUM(I26:J26)</f>
        <v>161.45999999999998</v>
      </c>
      <c r="L26" s="6" t="s">
        <v>416</v>
      </c>
      <c r="M26" s="52" t="s">
        <v>28</v>
      </c>
    </row>
    <row r="27" spans="1:20" x14ac:dyDescent="0.25">
      <c r="A27" s="894">
        <v>43353</v>
      </c>
      <c r="B27" s="906" t="s">
        <v>544</v>
      </c>
      <c r="C27" s="549">
        <f>1.6+0.5+1+0.2+0.1+0.5+0.1+0.5+0.2+0.2+0.3+0.2+0.2</f>
        <v>5.6000000000000005</v>
      </c>
      <c r="D27" s="325">
        <f t="shared" si="6"/>
        <v>16.916071428571424</v>
      </c>
      <c r="E27" s="500">
        <f>27.07+8.46+16.92+3.38+1.69+8.46+1.69+8.46+3.38+3.38+5.08+3.38+3.38</f>
        <v>94.729999999999976</v>
      </c>
      <c r="F27" s="500">
        <v>495.78</v>
      </c>
      <c r="G27" s="501">
        <v>22.5</v>
      </c>
      <c r="H27" s="501">
        <v>0</v>
      </c>
      <c r="I27" s="497">
        <f>SUM(E27:H27)</f>
        <v>613.01</v>
      </c>
      <c r="J27" s="927">
        <f>I27*$J$19</f>
        <v>122.602</v>
      </c>
      <c r="K27" s="928">
        <f>SUM(I27:J27)</f>
        <v>735.61199999999997</v>
      </c>
      <c r="L27" s="6" t="s">
        <v>418</v>
      </c>
      <c r="M27" s="52" t="s">
        <v>24</v>
      </c>
    </row>
    <row r="28" spans="1:20" x14ac:dyDescent="0.25">
      <c r="A28" s="894">
        <v>43357</v>
      </c>
      <c r="B28" s="906" t="s">
        <v>536</v>
      </c>
      <c r="C28" s="549">
        <f>0.2+0.2</f>
        <v>0.4</v>
      </c>
      <c r="D28" s="325">
        <f t="shared" si="6"/>
        <v>16.899999999999999</v>
      </c>
      <c r="E28" s="500">
        <f>3.38+3.38</f>
        <v>6.76</v>
      </c>
      <c r="F28" s="500">
        <v>109.88</v>
      </c>
      <c r="G28" s="501">
        <v>0</v>
      </c>
      <c r="H28" s="501">
        <v>0</v>
      </c>
      <c r="I28" s="497">
        <f t="shared" ref="I28:I37" si="7">SUM(E28:H28)</f>
        <v>116.64</v>
      </c>
      <c r="J28" s="922">
        <f t="shared" ref="J28:J38" si="8">I28*$J$19</f>
        <v>23.328000000000003</v>
      </c>
      <c r="K28" s="923">
        <f t="shared" ref="K28:K38" si="9">SUM(I28:J28)</f>
        <v>139.96800000000002</v>
      </c>
      <c r="L28" s="6" t="s">
        <v>420</v>
      </c>
      <c r="M28" s="52" t="s">
        <v>30</v>
      </c>
    </row>
    <row r="29" spans="1:20" x14ac:dyDescent="0.25">
      <c r="A29" s="894">
        <v>43362</v>
      </c>
      <c r="B29" s="906" t="s">
        <v>534</v>
      </c>
      <c r="C29" s="549">
        <f>1.6+0.5+1+0.5+0.4+0.1+0.3+0.5+0.2+0.2</f>
        <v>5.3</v>
      </c>
      <c r="D29" s="325">
        <f t="shared" si="6"/>
        <v>16.9188679245283</v>
      </c>
      <c r="E29" s="500">
        <f>27.07+8.46+16.92+8.46+6.77+1.69+5.08+8.46+3.38+3.38</f>
        <v>89.669999999999987</v>
      </c>
      <c r="F29" s="500">
        <v>161.32</v>
      </c>
      <c r="G29" s="501">
        <v>22.5</v>
      </c>
      <c r="H29" s="501">
        <v>0</v>
      </c>
      <c r="I29" s="497">
        <f t="shared" si="7"/>
        <v>273.49</v>
      </c>
      <c r="J29" s="922">
        <f t="shared" si="8"/>
        <v>54.698000000000008</v>
      </c>
      <c r="K29" s="923">
        <f t="shared" si="9"/>
        <v>328.18799999999999</v>
      </c>
      <c r="L29" s="6" t="s">
        <v>535</v>
      </c>
      <c r="M29" s="52" t="s">
        <v>23</v>
      </c>
    </row>
    <row r="30" spans="1:20" x14ac:dyDescent="0.25">
      <c r="A30" s="894">
        <v>43353</v>
      </c>
      <c r="B30" s="906" t="s">
        <v>533</v>
      </c>
      <c r="C30" s="549">
        <v>1E-4</v>
      </c>
      <c r="D30" s="325">
        <f t="shared" si="6"/>
        <v>16.899999999999999</v>
      </c>
      <c r="E30" s="500">
        <v>1.6900000000000001E-3</v>
      </c>
      <c r="F30" s="500">
        <v>5.42</v>
      </c>
      <c r="G30" s="501">
        <v>0</v>
      </c>
      <c r="H30" s="501">
        <v>0</v>
      </c>
      <c r="I30" s="497">
        <f t="shared" si="7"/>
        <v>5.4216899999999999</v>
      </c>
      <c r="J30" s="922">
        <f t="shared" si="8"/>
        <v>1.084338</v>
      </c>
      <c r="K30" s="923">
        <f t="shared" si="9"/>
        <v>6.5060279999999997</v>
      </c>
      <c r="L30" s="6" t="s">
        <v>431</v>
      </c>
      <c r="M30" s="52" t="s">
        <v>164</v>
      </c>
    </row>
    <row r="31" spans="1:20" s="600" customFormat="1" x14ac:dyDescent="0.25">
      <c r="A31" s="912">
        <v>43440</v>
      </c>
      <c r="B31" s="913" t="s">
        <v>527</v>
      </c>
      <c r="C31" s="914">
        <f>0.5+0.3+0.2</f>
        <v>1</v>
      </c>
      <c r="D31" s="925">
        <f t="shared" ref="D31:D38" si="10">E31/C31</f>
        <v>16.920000000000002</v>
      </c>
      <c r="E31" s="915">
        <f>8.46+5.08+3.38</f>
        <v>16.920000000000002</v>
      </c>
      <c r="F31" s="915">
        <v>97.59</v>
      </c>
      <c r="G31" s="916">
        <v>0</v>
      </c>
      <c r="H31" s="916">
        <v>0</v>
      </c>
      <c r="I31" s="926">
        <f t="shared" si="7"/>
        <v>114.51</v>
      </c>
      <c r="J31" s="920">
        <f t="shared" si="8"/>
        <v>22.902000000000001</v>
      </c>
      <c r="K31" s="921">
        <f t="shared" si="9"/>
        <v>137.41200000000001</v>
      </c>
      <c r="L31" s="537" t="s">
        <v>467</v>
      </c>
      <c r="M31" s="828" t="s">
        <v>31</v>
      </c>
      <c r="N31" s="1970"/>
    </row>
    <row r="32" spans="1:20" x14ac:dyDescent="0.25">
      <c r="A32" s="894">
        <v>43452</v>
      </c>
      <c r="B32" s="906" t="s">
        <v>523</v>
      </c>
      <c r="C32" s="549">
        <f>0.3+0.3+0.2</f>
        <v>0.8</v>
      </c>
      <c r="D32" s="325">
        <f t="shared" si="10"/>
        <v>16.924999999999997</v>
      </c>
      <c r="E32" s="500">
        <f>5.08+5.08+3.38</f>
        <v>13.54</v>
      </c>
      <c r="F32" s="500">
        <v>69.95</v>
      </c>
      <c r="G32" s="501">
        <v>0</v>
      </c>
      <c r="H32" s="501">
        <v>0</v>
      </c>
      <c r="I32" s="497">
        <f t="shared" si="7"/>
        <v>83.490000000000009</v>
      </c>
      <c r="J32" s="922">
        <f t="shared" si="8"/>
        <v>16.698000000000004</v>
      </c>
      <c r="K32" s="923">
        <f t="shared" si="9"/>
        <v>100.18800000000002</v>
      </c>
      <c r="L32" s="6" t="s">
        <v>501</v>
      </c>
      <c r="M32" s="52" t="s">
        <v>24</v>
      </c>
    </row>
    <row r="33" spans="1:14" x14ac:dyDescent="0.25">
      <c r="A33" s="894">
        <v>43444</v>
      </c>
      <c r="B33" s="906" t="s">
        <v>522</v>
      </c>
      <c r="C33" s="549">
        <f>0.5+0.5+0.5+0.4+2.2+1.3+0.5+0.2+0.3+0.3</f>
        <v>6.6999999999999993</v>
      </c>
      <c r="D33" s="325">
        <f t="shared" si="10"/>
        <v>16.920895522388061</v>
      </c>
      <c r="E33" s="500">
        <f>8.46+8.46+8.46+6.77+37.22+22+8.46+3.38+5.08+5.08</f>
        <v>113.37</v>
      </c>
      <c r="F33" s="500">
        <v>645.77</v>
      </c>
      <c r="G33" s="501">
        <v>41.67</v>
      </c>
      <c r="H33" s="501">
        <v>0</v>
      </c>
      <c r="I33" s="497">
        <f t="shared" si="7"/>
        <v>800.81</v>
      </c>
      <c r="J33" s="922">
        <f t="shared" si="8"/>
        <v>160.16200000000001</v>
      </c>
      <c r="K33" s="923">
        <f t="shared" si="9"/>
        <v>960.97199999999998</v>
      </c>
      <c r="L33" s="6" t="s">
        <v>490</v>
      </c>
      <c r="M33" s="52" t="s">
        <v>36</v>
      </c>
    </row>
    <row r="34" spans="1:14" x14ac:dyDescent="0.25">
      <c r="A34" s="894">
        <v>43482</v>
      </c>
      <c r="B34" s="906" t="s">
        <v>505</v>
      </c>
      <c r="C34" s="549">
        <f>0.5+0.3+0.4+0.7+0.7+0.5+0.2+0.2+0.2</f>
        <v>3.7000000000000006</v>
      </c>
      <c r="D34" s="325">
        <f t="shared" si="10"/>
        <v>16.916216216216217</v>
      </c>
      <c r="E34" s="500">
        <f>8.46+5.08+6.77+11.84+11.84+8.46+3.38+3.38+3.38</f>
        <v>62.590000000000018</v>
      </c>
      <c r="F34" s="500">
        <v>507.01</v>
      </c>
      <c r="G34" s="501">
        <v>33.33</v>
      </c>
      <c r="H34" s="501">
        <v>0</v>
      </c>
      <c r="I34" s="497">
        <f t="shared" si="7"/>
        <v>602.93000000000006</v>
      </c>
      <c r="J34" s="922">
        <f t="shared" si="8"/>
        <v>120.58600000000001</v>
      </c>
      <c r="K34" s="923">
        <f t="shared" si="9"/>
        <v>723.51600000000008</v>
      </c>
      <c r="L34" s="6" t="s">
        <v>504</v>
      </c>
      <c r="M34" s="52" t="s">
        <v>18</v>
      </c>
    </row>
    <row r="35" spans="1:14" x14ac:dyDescent="0.25">
      <c r="A35" s="894">
        <v>43480</v>
      </c>
      <c r="B35" s="906" t="s">
        <v>507</v>
      </c>
      <c r="C35" s="549">
        <v>1.7</v>
      </c>
      <c r="D35" s="325">
        <f t="shared" si="10"/>
        <v>16.911764705882355</v>
      </c>
      <c r="E35" s="500">
        <v>28.75</v>
      </c>
      <c r="F35" s="500">
        <v>2.59</v>
      </c>
      <c r="G35" s="501">
        <v>0</v>
      </c>
      <c r="H35" s="501">
        <v>0</v>
      </c>
      <c r="I35" s="497">
        <f t="shared" si="7"/>
        <v>31.34</v>
      </c>
      <c r="J35" s="904">
        <f t="shared" si="8"/>
        <v>6.2680000000000007</v>
      </c>
      <c r="K35" s="905">
        <f t="shared" si="9"/>
        <v>37.608000000000004</v>
      </c>
      <c r="L35" s="6" t="s">
        <v>506</v>
      </c>
      <c r="M35" s="52" t="s">
        <v>23</v>
      </c>
    </row>
    <row r="36" spans="1:14" s="600" customFormat="1" x14ac:dyDescent="0.25">
      <c r="A36" s="912">
        <v>43503</v>
      </c>
      <c r="B36" s="913" t="s">
        <v>509</v>
      </c>
      <c r="C36" s="914">
        <f>0.9+0.4+0.3+0.5+0.4+0.1+0.2+0.2+0.1+0.2</f>
        <v>3.3000000000000007</v>
      </c>
      <c r="D36" s="925">
        <f t="shared" si="10"/>
        <v>16.918181818181814</v>
      </c>
      <c r="E36" s="915">
        <f>15.23+6.77+5.08+8.46+6.77+1.69+3.38+3.38+1.69+3.38</f>
        <v>55.830000000000005</v>
      </c>
      <c r="F36" s="915">
        <v>194.19</v>
      </c>
      <c r="G36" s="916">
        <v>41.67</v>
      </c>
      <c r="H36" s="916">
        <v>0</v>
      </c>
      <c r="I36" s="926">
        <f t="shared" si="7"/>
        <v>291.69</v>
      </c>
      <c r="J36" s="920">
        <f t="shared" si="8"/>
        <v>58.338000000000001</v>
      </c>
      <c r="K36" s="921">
        <f t="shared" si="9"/>
        <v>350.02800000000002</v>
      </c>
      <c r="L36" s="537" t="s">
        <v>487</v>
      </c>
      <c r="M36" s="828" t="s">
        <v>38</v>
      </c>
      <c r="N36" s="1970"/>
    </row>
    <row r="37" spans="1:14" x14ac:dyDescent="0.25">
      <c r="A37" s="894">
        <v>43479</v>
      </c>
      <c r="B37" s="906" t="s">
        <v>517</v>
      </c>
      <c r="C37" s="549">
        <f>1.6+0.5+0.5+0.3+0.1+0.2+0.3+0.1+0.3+1.3+0.2+0.1+0.2+0.2+0.1</f>
        <v>6</v>
      </c>
      <c r="D37" s="325">
        <f t="shared" si="10"/>
        <v>16.918333333333329</v>
      </c>
      <c r="E37" s="500">
        <f>27.07+8.46+8.46+5.08+1.69+3.38+5.08+1.69+5.08+22+3.38+1.69+3.38+3.38+1.69</f>
        <v>101.50999999999998</v>
      </c>
      <c r="F37" s="500">
        <v>378.26</v>
      </c>
      <c r="G37" s="501">
        <v>33.33</v>
      </c>
      <c r="H37" s="501">
        <v>0</v>
      </c>
      <c r="I37" s="497">
        <f t="shared" si="7"/>
        <v>513.1</v>
      </c>
      <c r="J37" s="922">
        <f t="shared" si="8"/>
        <v>102.62</v>
      </c>
      <c r="K37" s="923">
        <f t="shared" si="9"/>
        <v>615.72</v>
      </c>
      <c r="L37" s="6" t="s">
        <v>516</v>
      </c>
      <c r="M37" s="52" t="s">
        <v>20</v>
      </c>
    </row>
    <row r="38" spans="1:14" x14ac:dyDescent="0.25">
      <c r="A38" s="895">
        <v>43490</v>
      </c>
      <c r="B38" s="910" t="s">
        <v>520</v>
      </c>
      <c r="C38" s="908">
        <f>0.5+0.3+0.5</f>
        <v>1.3</v>
      </c>
      <c r="D38" s="325">
        <f t="shared" si="10"/>
        <v>16.923076923076923</v>
      </c>
      <c r="E38" s="529">
        <f>8.46+5.08+8.46</f>
        <v>22</v>
      </c>
      <c r="F38" s="529">
        <v>121.36</v>
      </c>
      <c r="G38" s="530">
        <v>0</v>
      </c>
      <c r="H38" s="530">
        <v>0</v>
      </c>
      <c r="I38" s="497">
        <f t="shared" ref="I38:I46" si="11">SUM(E38:H38)</f>
        <v>143.36000000000001</v>
      </c>
      <c r="J38" s="904">
        <f t="shared" si="8"/>
        <v>28.672000000000004</v>
      </c>
      <c r="K38" s="905">
        <f t="shared" si="9"/>
        <v>172.03200000000001</v>
      </c>
      <c r="L38" s="6" t="s">
        <v>519</v>
      </c>
      <c r="M38" s="52" t="s">
        <v>36</v>
      </c>
    </row>
    <row r="39" spans="1:14" x14ac:dyDescent="0.25">
      <c r="A39" s="895">
        <v>43496</v>
      </c>
      <c r="B39" s="910" t="s">
        <v>540</v>
      </c>
      <c r="C39" s="908">
        <f>0.5+0.2+0.5+0.2</f>
        <v>1.4</v>
      </c>
      <c r="D39" s="325">
        <f>E39/C39</f>
        <v>16.914285714285715</v>
      </c>
      <c r="E39" s="529">
        <f>8.46+3.38+8.46+3.38</f>
        <v>23.68</v>
      </c>
      <c r="F39" s="529">
        <v>4.63</v>
      </c>
      <c r="G39" s="530">
        <v>0</v>
      </c>
      <c r="H39" s="530">
        <v>0</v>
      </c>
      <c r="I39" s="497">
        <f t="shared" si="11"/>
        <v>28.31</v>
      </c>
      <c r="J39" s="927">
        <f>I39*$J$19</f>
        <v>5.6619999999999999</v>
      </c>
      <c r="K39" s="928">
        <f>SUM(I39:J39)</f>
        <v>33.972000000000001</v>
      </c>
      <c r="L39" s="6" t="s">
        <v>539</v>
      </c>
      <c r="M39" s="52" t="s">
        <v>33</v>
      </c>
    </row>
    <row r="40" spans="1:14" x14ac:dyDescent="0.25">
      <c r="A40" s="895">
        <v>43488</v>
      </c>
      <c r="B40" s="910" t="s">
        <v>543</v>
      </c>
      <c r="C40" s="908">
        <f>0.2</f>
        <v>0.2</v>
      </c>
      <c r="D40" s="325">
        <f>E40/C40</f>
        <v>16.899999999999999</v>
      </c>
      <c r="E40" s="529">
        <v>3.38</v>
      </c>
      <c r="F40" s="529">
        <v>36.89</v>
      </c>
      <c r="G40" s="530">
        <v>0</v>
      </c>
      <c r="H40" s="530">
        <v>0</v>
      </c>
      <c r="I40" s="497">
        <f t="shared" si="11"/>
        <v>40.270000000000003</v>
      </c>
      <c r="J40" s="927">
        <f>I40*$J$19</f>
        <v>8.0540000000000003</v>
      </c>
      <c r="K40" s="928">
        <f>SUM(I40:J40)</f>
        <v>48.324000000000005</v>
      </c>
      <c r="L40" s="6" t="s">
        <v>542</v>
      </c>
      <c r="M40" s="52" t="s">
        <v>164</v>
      </c>
    </row>
    <row r="41" spans="1:14" x14ac:dyDescent="0.25">
      <c r="A41" s="895">
        <v>43539</v>
      </c>
      <c r="B41" s="910" t="s">
        <v>573</v>
      </c>
      <c r="C41" s="908">
        <f>3.6+1.3+3.3+4</f>
        <v>12.2</v>
      </c>
      <c r="D41" s="325">
        <f t="shared" ref="D41:D46" si="12">E41/C41</f>
        <v>27.100819672131149</v>
      </c>
      <c r="E41" s="529">
        <f>145.15+52.42+133.06</f>
        <v>330.63</v>
      </c>
      <c r="F41" s="529">
        <v>1466.36</v>
      </c>
      <c r="G41" s="530">
        <v>0</v>
      </c>
      <c r="H41" s="530">
        <v>0</v>
      </c>
      <c r="I41" s="497">
        <f t="shared" si="11"/>
        <v>1796.9899999999998</v>
      </c>
      <c r="J41" s="952">
        <f t="shared" ref="J41:J46" si="13">I41*$J$19</f>
        <v>359.39799999999997</v>
      </c>
      <c r="K41" s="953">
        <f t="shared" ref="K41:K46" si="14">SUM(I41:J41)</f>
        <v>2156.3879999999999</v>
      </c>
      <c r="L41" s="6" t="s">
        <v>571</v>
      </c>
      <c r="M41" s="52" t="s">
        <v>36</v>
      </c>
      <c r="N41" s="796" t="s">
        <v>574</v>
      </c>
    </row>
    <row r="42" spans="1:14" s="7" customFormat="1" x14ac:dyDescent="0.25">
      <c r="A42" s="972">
        <v>42063</v>
      </c>
      <c r="B42" s="910" t="s">
        <v>781</v>
      </c>
      <c r="C42" s="1075">
        <f>1+0.3+0.2</f>
        <v>1.5</v>
      </c>
      <c r="D42" s="141">
        <f t="shared" si="12"/>
        <v>16.919999999999998</v>
      </c>
      <c r="E42" s="973">
        <f>16.92+5.08+3.38</f>
        <v>25.38</v>
      </c>
      <c r="F42" s="973">
        <v>30.62</v>
      </c>
      <c r="G42" s="974">
        <v>0</v>
      </c>
      <c r="H42" s="974">
        <v>0</v>
      </c>
      <c r="I42" s="1076">
        <f t="shared" si="11"/>
        <v>56</v>
      </c>
      <c r="J42" s="1077">
        <f t="shared" si="13"/>
        <v>11.200000000000001</v>
      </c>
      <c r="K42" s="1078">
        <f t="shared" si="14"/>
        <v>67.2</v>
      </c>
      <c r="L42" s="750" t="s">
        <v>575</v>
      </c>
      <c r="M42" s="800" t="s">
        <v>25</v>
      </c>
      <c r="N42" s="1791"/>
    </row>
    <row r="43" spans="1:14" x14ac:dyDescent="0.25">
      <c r="A43" s="895">
        <v>43585</v>
      </c>
      <c r="B43" s="910" t="s">
        <v>624</v>
      </c>
      <c r="C43" s="908">
        <f>1.6+0.5+2.2+0.1+0.2+0.1+0.7+0.1+1.5+0.2+0.2+0.2+0.2+0.2</f>
        <v>8</v>
      </c>
      <c r="D43" s="325">
        <f t="shared" si="12"/>
        <v>16.914999999999996</v>
      </c>
      <c r="E43" s="529">
        <f>27.07+8.46+37.22+1.69+3.38+1.69+11.84+1.69+25.38+3.38+3.38+3.38+3.38+3.38</f>
        <v>135.31999999999996</v>
      </c>
      <c r="F43" s="529">
        <v>358.77</v>
      </c>
      <c r="G43" s="530">
        <v>0</v>
      </c>
      <c r="H43" s="530">
        <v>0</v>
      </c>
      <c r="I43" s="497">
        <f t="shared" si="11"/>
        <v>494.08999999999992</v>
      </c>
      <c r="J43" s="1081">
        <f t="shared" si="13"/>
        <v>98.817999999999984</v>
      </c>
      <c r="K43" s="1082">
        <f t="shared" si="14"/>
        <v>592.9079999999999</v>
      </c>
      <c r="L43" s="6" t="s">
        <v>542</v>
      </c>
      <c r="M43" s="52" t="s">
        <v>164</v>
      </c>
    </row>
    <row r="44" spans="1:14" x14ac:dyDescent="0.25">
      <c r="A44" s="895">
        <v>43612</v>
      </c>
      <c r="B44" s="910" t="s">
        <v>632</v>
      </c>
      <c r="C44" s="908">
        <v>2</v>
      </c>
      <c r="D44" s="325">
        <f t="shared" si="12"/>
        <v>16.920000000000002</v>
      </c>
      <c r="E44" s="529">
        <f>16.92+16.92</f>
        <v>33.840000000000003</v>
      </c>
      <c r="F44" s="529">
        <v>3.05</v>
      </c>
      <c r="G44" s="530">
        <v>0</v>
      </c>
      <c r="H44" s="530">
        <v>0</v>
      </c>
      <c r="I44" s="1089">
        <f t="shared" si="11"/>
        <v>36.89</v>
      </c>
      <c r="J44" s="1090">
        <f t="shared" si="13"/>
        <v>7.3780000000000001</v>
      </c>
      <c r="K44" s="1088">
        <f t="shared" si="14"/>
        <v>44.268000000000001</v>
      </c>
      <c r="L44" s="6" t="s">
        <v>633</v>
      </c>
      <c r="M44" s="52" t="s">
        <v>31</v>
      </c>
    </row>
    <row r="45" spans="1:14" x14ac:dyDescent="0.25">
      <c r="A45" s="895">
        <v>43621</v>
      </c>
      <c r="B45" s="910" t="s">
        <v>638</v>
      </c>
      <c r="C45" s="908">
        <f>1+0.3+0.3</f>
        <v>1.6</v>
      </c>
      <c r="D45" s="325">
        <f t="shared" si="12"/>
        <v>16.924999999999997</v>
      </c>
      <c r="E45" s="529">
        <f>16.92+5.08+5.08</f>
        <v>27.08</v>
      </c>
      <c r="F45" s="529">
        <v>2.44</v>
      </c>
      <c r="G45" s="530">
        <v>0</v>
      </c>
      <c r="H45" s="530">
        <v>0</v>
      </c>
      <c r="I45" s="1089">
        <f t="shared" si="11"/>
        <v>29.52</v>
      </c>
      <c r="J45" s="1090">
        <f t="shared" si="13"/>
        <v>5.9039999999999999</v>
      </c>
      <c r="K45" s="1056">
        <f t="shared" si="14"/>
        <v>35.423999999999999</v>
      </c>
      <c r="L45" s="6" t="s">
        <v>636</v>
      </c>
      <c r="M45" s="52" t="s">
        <v>28</v>
      </c>
    </row>
    <row r="46" spans="1:14" x14ac:dyDescent="0.25">
      <c r="A46" s="895">
        <v>43612</v>
      </c>
      <c r="B46" s="910" t="s">
        <v>643</v>
      </c>
      <c r="C46" s="908">
        <f>2.9+0.7+1.1+0.7+0.1+0.5+0.2+1.5+0.2+1+1.5+0.3</f>
        <v>10.7</v>
      </c>
      <c r="D46" s="325">
        <f t="shared" si="12"/>
        <v>15.653271028037382</v>
      </c>
      <c r="E46" s="529">
        <f>49.07+11.84+18.61+11.84+1.69+0+3.38+25.38+3.38+16.92+25.38+0</f>
        <v>167.48999999999998</v>
      </c>
      <c r="F46" s="529">
        <v>281.18</v>
      </c>
      <c r="G46" s="530">
        <v>0</v>
      </c>
      <c r="H46" s="530">
        <v>0</v>
      </c>
      <c r="I46" s="1089">
        <f t="shared" si="11"/>
        <v>448.66999999999996</v>
      </c>
      <c r="J46" s="1090">
        <f t="shared" si="13"/>
        <v>89.733999999999995</v>
      </c>
      <c r="K46" s="1056">
        <f t="shared" si="14"/>
        <v>538.404</v>
      </c>
      <c r="L46" s="6" t="s">
        <v>642</v>
      </c>
      <c r="M46" s="52" t="s">
        <v>36</v>
      </c>
    </row>
    <row r="47" spans="1:14" x14ac:dyDescent="0.25">
      <c r="A47" s="895">
        <v>43648</v>
      </c>
      <c r="B47" s="910" t="s">
        <v>669</v>
      </c>
      <c r="C47" s="908">
        <f>0.9+0.5+0.3+0.3+0.1+0.4+0.2+1.5+0.2+0.2+0.2</f>
        <v>4.8000000000000007</v>
      </c>
      <c r="D47" s="325">
        <f t="shared" ref="D47:D53" si="15">E47/C47</f>
        <v>16.918749999999996</v>
      </c>
      <c r="E47" s="529">
        <f>15.23+8.46+5.08+5.08+1.69+6.77+3.38+25.38+3.38+3.38+3.38</f>
        <v>81.209999999999994</v>
      </c>
      <c r="F47" s="529">
        <v>203.52</v>
      </c>
      <c r="G47" s="530">
        <v>0</v>
      </c>
      <c r="H47" s="530">
        <v>0</v>
      </c>
      <c r="I47" s="1089">
        <f t="shared" ref="I47:I53" si="16">SUM(E47:H47)</f>
        <v>284.73</v>
      </c>
      <c r="J47" s="1090">
        <f t="shared" ref="J47:J53" si="17">I47*$J$19</f>
        <v>56.946000000000005</v>
      </c>
      <c r="K47" s="1056">
        <f t="shared" ref="K47:K53" si="18">SUM(I47:J47)</f>
        <v>341.67600000000004</v>
      </c>
      <c r="L47" s="6" t="s">
        <v>671</v>
      </c>
      <c r="M47" s="52" t="s">
        <v>30</v>
      </c>
    </row>
    <row r="48" spans="1:14" x14ac:dyDescent="0.25">
      <c r="A48" s="895">
        <v>43677</v>
      </c>
      <c r="B48" s="910" t="s">
        <v>675</v>
      </c>
      <c r="C48" s="908">
        <f>0.2+0.6+0.5+0.2+1.3+0.2+0.9+1+0.2+0.5+1</f>
        <v>6.6000000000000005</v>
      </c>
      <c r="D48" s="325">
        <f t="shared" si="15"/>
        <v>16.918181818181818</v>
      </c>
      <c r="E48" s="529">
        <f>3.38+10.15+8.46+3.38+22+3.38+15.23+16.92+3.38+8.46+16.92</f>
        <v>111.66000000000001</v>
      </c>
      <c r="F48" s="529">
        <v>338.01</v>
      </c>
      <c r="G48" s="530">
        <v>0</v>
      </c>
      <c r="H48" s="530">
        <v>0</v>
      </c>
      <c r="I48" s="1089">
        <f t="shared" si="16"/>
        <v>449.67</v>
      </c>
      <c r="J48" s="1090">
        <f t="shared" si="17"/>
        <v>89.934000000000012</v>
      </c>
      <c r="K48" s="1056">
        <f t="shared" si="18"/>
        <v>539.60400000000004</v>
      </c>
      <c r="L48" s="6" t="s">
        <v>673</v>
      </c>
      <c r="M48" s="52" t="s">
        <v>28</v>
      </c>
    </row>
    <row r="49" spans="1:14" s="600" customFormat="1" x14ac:dyDescent="0.25">
      <c r="A49" s="955">
        <v>43679</v>
      </c>
      <c r="B49" s="956" t="s">
        <v>678</v>
      </c>
      <c r="C49" s="957">
        <f>0.1+0.5+0.8+0.8+0.1+0.1</f>
        <v>2.4000000000000004</v>
      </c>
      <c r="D49" s="925">
        <f t="shared" si="15"/>
        <v>16.920833333333327</v>
      </c>
      <c r="E49" s="958">
        <f>1.69+8.46+13.54+13.54+1.69+1.69</f>
        <v>40.609999999999992</v>
      </c>
      <c r="F49" s="958">
        <v>307.91000000000003</v>
      </c>
      <c r="G49" s="959">
        <v>0</v>
      </c>
      <c r="H49" s="959">
        <v>0</v>
      </c>
      <c r="I49" s="960">
        <f t="shared" si="16"/>
        <v>348.52000000000004</v>
      </c>
      <c r="J49" s="961">
        <f t="shared" si="17"/>
        <v>69.704000000000008</v>
      </c>
      <c r="K49" s="962">
        <f t="shared" si="18"/>
        <v>418.22400000000005</v>
      </c>
      <c r="L49" s="537" t="s">
        <v>676</v>
      </c>
      <c r="M49" s="828" t="s">
        <v>40</v>
      </c>
      <c r="N49" s="1970"/>
    </row>
    <row r="50" spans="1:14" s="600" customFormat="1" x14ac:dyDescent="0.25">
      <c r="A50" s="955">
        <v>43699</v>
      </c>
      <c r="B50" s="956" t="s">
        <v>684</v>
      </c>
      <c r="C50" s="957">
        <f>0.2+0.7+0.2+0.4</f>
        <v>1.5</v>
      </c>
      <c r="D50" s="925">
        <f t="shared" si="15"/>
        <v>16.91333333333333</v>
      </c>
      <c r="E50" s="958">
        <f>3.38+11.84+3.38+6.77</f>
        <v>25.369999999999997</v>
      </c>
      <c r="F50" s="958">
        <v>24.93</v>
      </c>
      <c r="G50" s="959">
        <v>0</v>
      </c>
      <c r="H50" s="959">
        <v>0</v>
      </c>
      <c r="I50" s="960">
        <f t="shared" si="16"/>
        <v>50.3</v>
      </c>
      <c r="J50" s="961">
        <f t="shared" si="17"/>
        <v>10.06</v>
      </c>
      <c r="K50" s="962">
        <f t="shared" si="18"/>
        <v>60.36</v>
      </c>
      <c r="L50" s="537" t="s">
        <v>686</v>
      </c>
      <c r="M50" s="828" t="s">
        <v>38</v>
      </c>
      <c r="N50" s="1970"/>
    </row>
    <row r="51" spans="1:14" s="7" customFormat="1" x14ac:dyDescent="0.25">
      <c r="A51" s="972">
        <v>43719</v>
      </c>
      <c r="B51" s="910" t="s">
        <v>690</v>
      </c>
      <c r="C51" s="1075">
        <f>0.5+0.3</f>
        <v>0.8</v>
      </c>
      <c r="D51" s="141">
        <f t="shared" si="15"/>
        <v>16.925000000000001</v>
      </c>
      <c r="E51" s="973">
        <f>8.46+5.08</f>
        <v>13.540000000000001</v>
      </c>
      <c r="F51" s="973">
        <v>2.78</v>
      </c>
      <c r="G51" s="974">
        <v>0</v>
      </c>
      <c r="H51" s="974">
        <v>0</v>
      </c>
      <c r="I51" s="1076">
        <f t="shared" si="16"/>
        <v>16.32</v>
      </c>
      <c r="J51" s="1077">
        <f t="shared" si="17"/>
        <v>3.2640000000000002</v>
      </c>
      <c r="K51" s="1078">
        <f t="shared" si="18"/>
        <v>19.584</v>
      </c>
      <c r="L51" s="750" t="s">
        <v>689</v>
      </c>
      <c r="M51" s="800" t="s">
        <v>20</v>
      </c>
      <c r="N51" s="1791"/>
    </row>
    <row r="52" spans="1:14" s="7" customFormat="1" x14ac:dyDescent="0.25">
      <c r="A52" s="972">
        <v>43719</v>
      </c>
      <c r="B52" s="910" t="s">
        <v>694</v>
      </c>
      <c r="C52" s="1075">
        <f>1+0.9+0.6</f>
        <v>2.5</v>
      </c>
      <c r="D52" s="141">
        <f t="shared" si="15"/>
        <v>16.920000000000002</v>
      </c>
      <c r="E52" s="973">
        <f>16.92+15.23+10.15</f>
        <v>42.300000000000004</v>
      </c>
      <c r="F52" s="973">
        <f>5.92+32.76+2.24+3.81</f>
        <v>44.730000000000004</v>
      </c>
      <c r="G52" s="974">
        <v>0</v>
      </c>
      <c r="H52" s="974">
        <v>0</v>
      </c>
      <c r="I52" s="1076">
        <f t="shared" si="16"/>
        <v>87.03</v>
      </c>
      <c r="J52" s="1077">
        <f t="shared" si="17"/>
        <v>17.406000000000002</v>
      </c>
      <c r="K52" s="1078">
        <f t="shared" si="18"/>
        <v>104.43600000000001</v>
      </c>
      <c r="L52" s="750" t="s">
        <v>692</v>
      </c>
      <c r="M52" s="800" t="s">
        <v>28</v>
      </c>
      <c r="N52" s="1791"/>
    </row>
    <row r="53" spans="1:14" s="600" customFormat="1" x14ac:dyDescent="0.25">
      <c r="A53" s="955">
        <v>43725</v>
      </c>
      <c r="B53" s="956" t="s">
        <v>697</v>
      </c>
      <c r="C53" s="957">
        <f>0.9+0.5+0.2+0.2+0.2+0.2+0.5+0.5+5+0.9+0.3+1.6+0.3</f>
        <v>11.3</v>
      </c>
      <c r="D53" s="925">
        <f t="shared" si="15"/>
        <v>16.919469026548672</v>
      </c>
      <c r="E53" s="958">
        <f>15.23+8.46+3.38+3.38+3.38+3.38+8.46+8.46+84.6+15.23+5.08+27.07+5.08</f>
        <v>191.19</v>
      </c>
      <c r="F53" s="958">
        <f>11.48+2.59+77+7.13+7.39+9.83+1.57+6.82+72.78+11.5+8+9.97+1.59+32.1+85.94+2.3+4.53+26.09+26.21+17.21</f>
        <v>422.02999999999992</v>
      </c>
      <c r="G53" s="959">
        <v>0</v>
      </c>
      <c r="H53" s="959">
        <v>0</v>
      </c>
      <c r="I53" s="960">
        <f t="shared" si="16"/>
        <v>613.21999999999991</v>
      </c>
      <c r="J53" s="961">
        <f t="shared" si="17"/>
        <v>122.64399999999999</v>
      </c>
      <c r="K53" s="962">
        <f t="shared" si="18"/>
        <v>735.86399999999992</v>
      </c>
      <c r="L53" s="537" t="s">
        <v>696</v>
      </c>
      <c r="M53" s="828" t="s">
        <v>25</v>
      </c>
      <c r="N53" s="1970"/>
    </row>
    <row r="54" spans="1:14" s="7" customFormat="1" x14ac:dyDescent="0.25">
      <c r="A54" s="972">
        <v>43802</v>
      </c>
      <c r="B54" s="910" t="s">
        <v>724</v>
      </c>
      <c r="C54" s="1075">
        <f>0.4+0.2+0.2+0.2</f>
        <v>1</v>
      </c>
      <c r="D54" s="141">
        <f t="shared" ref="D54:D74" si="19">E54/C54</f>
        <v>16.909999999999997</v>
      </c>
      <c r="E54" s="973">
        <f>6.77+3.38+3.38+3.38</f>
        <v>16.909999999999997</v>
      </c>
      <c r="F54" s="973">
        <f>1.15+0.51+3.81+0.44+1.52</f>
        <v>7.43</v>
      </c>
      <c r="G54" s="974">
        <v>0</v>
      </c>
      <c r="H54" s="974">
        <v>0</v>
      </c>
      <c r="I54" s="1076">
        <f t="shared" ref="I54:I85" si="20">SUM(E54:H54)</f>
        <v>24.339999999999996</v>
      </c>
      <c r="J54" s="1077">
        <f t="shared" ref="J54:J74" si="21">I54*$J$19</f>
        <v>4.8679999999999994</v>
      </c>
      <c r="K54" s="1078">
        <f t="shared" ref="K54:K85" si="22">SUM(I54:J54)</f>
        <v>29.207999999999995</v>
      </c>
      <c r="L54" s="750" t="s">
        <v>723</v>
      </c>
      <c r="M54" s="800" t="s">
        <v>20</v>
      </c>
      <c r="N54" s="1791"/>
    </row>
    <row r="55" spans="1:14" s="7" customFormat="1" x14ac:dyDescent="0.25">
      <c r="A55" s="972">
        <v>43804</v>
      </c>
      <c r="B55" s="910" t="s">
        <v>729</v>
      </c>
      <c r="C55" s="1075">
        <v>0.1</v>
      </c>
      <c r="D55" s="141">
        <f t="shared" si="19"/>
        <v>16.899999999999999</v>
      </c>
      <c r="E55" s="973">
        <v>1.69</v>
      </c>
      <c r="F55" s="973">
        <v>15.54</v>
      </c>
      <c r="G55" s="974">
        <v>0</v>
      </c>
      <c r="H55" s="974">
        <v>0</v>
      </c>
      <c r="I55" s="1076">
        <f t="shared" si="20"/>
        <v>17.23</v>
      </c>
      <c r="J55" s="1077">
        <f t="shared" si="21"/>
        <v>3.4460000000000002</v>
      </c>
      <c r="K55" s="1078">
        <f t="shared" si="22"/>
        <v>20.676000000000002</v>
      </c>
      <c r="L55" s="750" t="s">
        <v>728</v>
      </c>
      <c r="M55" s="800" t="s">
        <v>164</v>
      </c>
      <c r="N55" s="1791"/>
    </row>
    <row r="56" spans="1:14" s="7" customFormat="1" x14ac:dyDescent="0.25">
      <c r="A56" s="972">
        <v>43773</v>
      </c>
      <c r="B56" s="910" t="s">
        <v>732</v>
      </c>
      <c r="C56" s="1075">
        <f>1.1+0.5+0.5+0.4+0.1+1.5+0.2+0.2+0.1+0.2+0.3</f>
        <v>5.0999999999999996</v>
      </c>
      <c r="D56" s="141">
        <f t="shared" si="19"/>
        <v>16.917647058823526</v>
      </c>
      <c r="E56" s="973">
        <f>18.61+8.46+8.46+6.77+1.69+25.38+3.38+3.38+1.69+3.38+5.08</f>
        <v>86.279999999999973</v>
      </c>
      <c r="F56" s="973">
        <f>52.2+13.05+1.97+6.44+1.07+1.86+2.06+14.4+18.06+2.52+6.59+9.06+5.29+5.18+1.59+5.38+31.5+0.58+7.77</f>
        <v>186.57000000000002</v>
      </c>
      <c r="G56" s="974">
        <v>0</v>
      </c>
      <c r="H56" s="974">
        <v>0</v>
      </c>
      <c r="I56" s="1076">
        <f t="shared" si="20"/>
        <v>272.85000000000002</v>
      </c>
      <c r="J56" s="1077">
        <f t="shared" si="21"/>
        <v>54.570000000000007</v>
      </c>
      <c r="K56" s="1078">
        <f t="shared" si="22"/>
        <v>327.42</v>
      </c>
      <c r="L56" s="750" t="s">
        <v>731</v>
      </c>
      <c r="M56" s="800" t="s">
        <v>23</v>
      </c>
      <c r="N56" s="1791"/>
    </row>
    <row r="57" spans="1:14" s="7" customFormat="1" x14ac:dyDescent="0.25">
      <c r="A57" s="972">
        <v>43817</v>
      </c>
      <c r="B57" s="910" t="s">
        <v>735</v>
      </c>
      <c r="C57" s="1075">
        <v>1E-4</v>
      </c>
      <c r="D57" s="141">
        <f t="shared" si="19"/>
        <v>16.899999999999999</v>
      </c>
      <c r="E57" s="973">
        <v>1.6900000000000001E-3</v>
      </c>
      <c r="F57" s="973">
        <v>19.29</v>
      </c>
      <c r="G57" s="974">
        <v>0</v>
      </c>
      <c r="H57" s="974">
        <v>0</v>
      </c>
      <c r="I57" s="1076">
        <f t="shared" si="20"/>
        <v>19.291689999999999</v>
      </c>
      <c r="J57" s="1077">
        <f t="shared" si="21"/>
        <v>3.8583379999999998</v>
      </c>
      <c r="K57" s="1078">
        <f t="shared" si="22"/>
        <v>23.150027999999999</v>
      </c>
      <c r="L57" s="750" t="s">
        <v>734</v>
      </c>
      <c r="M57" s="800" t="s">
        <v>185</v>
      </c>
      <c r="N57" s="1791"/>
    </row>
    <row r="58" spans="1:14" s="600" customFormat="1" x14ac:dyDescent="0.25">
      <c r="A58" s="955">
        <v>43844</v>
      </c>
      <c r="B58" s="956" t="s">
        <v>759</v>
      </c>
      <c r="C58" s="957">
        <f>0.2+0.1</f>
        <v>0.30000000000000004</v>
      </c>
      <c r="D58" s="925">
        <f t="shared" si="19"/>
        <v>16.899999999999999</v>
      </c>
      <c r="E58" s="958">
        <f>3.38+1.69</f>
        <v>5.07</v>
      </c>
      <c r="F58" s="958">
        <v>7.8</v>
      </c>
      <c r="G58" s="959">
        <v>0</v>
      </c>
      <c r="H58" s="959">
        <v>0</v>
      </c>
      <c r="I58" s="960">
        <f t="shared" si="20"/>
        <v>12.870000000000001</v>
      </c>
      <c r="J58" s="961">
        <f t="shared" si="21"/>
        <v>2.5740000000000003</v>
      </c>
      <c r="K58" s="962">
        <f t="shared" si="22"/>
        <v>15.444000000000001</v>
      </c>
      <c r="L58" s="537" t="s">
        <v>770</v>
      </c>
      <c r="M58" s="828" t="s">
        <v>38</v>
      </c>
      <c r="N58" s="1970"/>
    </row>
    <row r="59" spans="1:14" s="7" customFormat="1" x14ac:dyDescent="0.25">
      <c r="A59" s="972">
        <v>43698</v>
      </c>
      <c r="B59" s="910" t="s">
        <v>764</v>
      </c>
      <c r="C59" s="1075">
        <f>0.1+0.2+0.3+0.2+0.2+0.7+0.5+0.3+0.5+0.4+0.2+0.2+0.5+3.18+0.1</f>
        <v>7.58</v>
      </c>
      <c r="D59" s="141">
        <f t="shared" si="19"/>
        <v>16.918205804749341</v>
      </c>
      <c r="E59" s="973">
        <f>1.69+3.38+5.08+3.38+3.38+11.84+8.46+5.08+8.46+6.77+3.38+3.38+8.46+53.81+1.69</f>
        <v>128.24</v>
      </c>
      <c r="F59" s="973">
        <f>13.33+9.02+8.81+6.26+75.88+83.42+8.37+9.06+1.26+3.84+15.36+4.94+1.06+0.49+1.07+4.53+11.54</f>
        <v>258.24</v>
      </c>
      <c r="G59" s="974">
        <v>0</v>
      </c>
      <c r="H59" s="974">
        <f>22.5+18.75+4.17</f>
        <v>45.42</v>
      </c>
      <c r="I59" s="1076">
        <f t="shared" si="20"/>
        <v>431.90000000000003</v>
      </c>
      <c r="J59" s="1077">
        <f t="shared" si="21"/>
        <v>86.38000000000001</v>
      </c>
      <c r="K59" s="1078">
        <f t="shared" si="22"/>
        <v>518.28000000000009</v>
      </c>
      <c r="L59" s="750" t="s">
        <v>765</v>
      </c>
      <c r="M59" s="800" t="s">
        <v>28</v>
      </c>
      <c r="N59" s="1791"/>
    </row>
    <row r="60" spans="1:14" s="7" customFormat="1" x14ac:dyDescent="0.25">
      <c r="A60" s="972">
        <v>43698</v>
      </c>
      <c r="B60" s="910" t="s">
        <v>769</v>
      </c>
      <c r="C60" s="1075">
        <v>1E-4</v>
      </c>
      <c r="D60" s="141">
        <f t="shared" si="19"/>
        <v>16.899999999999999</v>
      </c>
      <c r="E60" s="973">
        <v>1.6900000000000001E-3</v>
      </c>
      <c r="F60" s="973">
        <v>19.18</v>
      </c>
      <c r="G60" s="974">
        <v>0</v>
      </c>
      <c r="H60" s="974">
        <v>0</v>
      </c>
      <c r="I60" s="1076">
        <f t="shared" si="20"/>
        <v>19.18169</v>
      </c>
      <c r="J60" s="1077">
        <f t="shared" si="21"/>
        <v>3.836338</v>
      </c>
      <c r="K60" s="1078">
        <f t="shared" si="22"/>
        <v>23.018028000000001</v>
      </c>
      <c r="L60" s="750" t="s">
        <v>767</v>
      </c>
      <c r="M60" s="800" t="s">
        <v>185</v>
      </c>
      <c r="N60" s="1791"/>
    </row>
    <row r="61" spans="1:14" s="7" customFormat="1" x14ac:dyDescent="0.25">
      <c r="A61" s="972">
        <v>43850</v>
      </c>
      <c r="B61" s="910" t="s">
        <v>788</v>
      </c>
      <c r="C61" s="1075">
        <f>1+0.5+0.9+0.5</f>
        <v>2.9</v>
      </c>
      <c r="D61" s="141">
        <f t="shared" si="19"/>
        <v>16.920689655172414</v>
      </c>
      <c r="E61" s="973">
        <f>16.92+8.46+15.23+8.46</f>
        <v>49.07</v>
      </c>
      <c r="F61" s="973">
        <v>125.75</v>
      </c>
      <c r="G61" s="974">
        <v>0</v>
      </c>
      <c r="H61" s="974">
        <v>0</v>
      </c>
      <c r="I61" s="1076">
        <f t="shared" si="20"/>
        <v>174.82</v>
      </c>
      <c r="J61" s="1077">
        <f t="shared" si="21"/>
        <v>34.963999999999999</v>
      </c>
      <c r="K61" s="1078">
        <f t="shared" si="22"/>
        <v>209.78399999999999</v>
      </c>
      <c r="L61" s="750" t="s">
        <v>783</v>
      </c>
      <c r="M61" s="800" t="s">
        <v>28</v>
      </c>
      <c r="N61" s="1791"/>
    </row>
    <row r="62" spans="1:14" s="7" customFormat="1" x14ac:dyDescent="0.25">
      <c r="A62" s="972">
        <v>43754</v>
      </c>
      <c r="B62" s="910" t="s">
        <v>789</v>
      </c>
      <c r="C62" s="1075">
        <f>0.2+1+1.2+0.5</f>
        <v>2.9</v>
      </c>
      <c r="D62" s="141">
        <f t="shared" si="19"/>
        <v>16.917241379310347</v>
      </c>
      <c r="E62" s="973">
        <f>3.38+16.92+20.3+8.46</f>
        <v>49.06</v>
      </c>
      <c r="F62" s="973">
        <v>112.3</v>
      </c>
      <c r="G62" s="974">
        <v>0</v>
      </c>
      <c r="H62" s="974">
        <v>0</v>
      </c>
      <c r="I62" s="1076">
        <f t="shared" si="20"/>
        <v>161.36000000000001</v>
      </c>
      <c r="J62" s="1077">
        <f t="shared" si="21"/>
        <v>32.272000000000006</v>
      </c>
      <c r="K62" s="1078">
        <f t="shared" si="22"/>
        <v>193.63200000000001</v>
      </c>
      <c r="L62" s="750" t="s">
        <v>786</v>
      </c>
      <c r="M62" s="800" t="s">
        <v>28</v>
      </c>
      <c r="N62" s="1791"/>
    </row>
    <row r="63" spans="1:14" s="7" customFormat="1" x14ac:dyDescent="0.25">
      <c r="A63" s="972">
        <v>43760</v>
      </c>
      <c r="B63" s="910" t="s">
        <v>792</v>
      </c>
      <c r="C63" s="1075">
        <f>1.1+1+0.5+1.1+1.5+3.3+0.7+0.5+0.4+0.1+1.5+0.2+0.1</f>
        <v>11.999999999999998</v>
      </c>
      <c r="D63" s="141">
        <f t="shared" si="19"/>
        <v>16.919166666666669</v>
      </c>
      <c r="E63" s="973">
        <f>18.61+16.92+8.46+18.61+25.38+55.84+11.84+8.46+6.77+1.69+25.38+3.38+1.69</f>
        <v>203.03</v>
      </c>
      <c r="F63" s="973">
        <v>435.08</v>
      </c>
      <c r="G63" s="974">
        <v>0</v>
      </c>
      <c r="H63" s="974">
        <v>180</v>
      </c>
      <c r="I63" s="1076">
        <f t="shared" si="20"/>
        <v>818.11</v>
      </c>
      <c r="J63" s="1077">
        <f t="shared" si="21"/>
        <v>163.62200000000001</v>
      </c>
      <c r="K63" s="1078">
        <f t="shared" si="22"/>
        <v>981.73199999999997</v>
      </c>
      <c r="L63" s="750" t="s">
        <v>791</v>
      </c>
      <c r="M63" s="800" t="s">
        <v>20</v>
      </c>
      <c r="N63" s="1791" t="s">
        <v>796</v>
      </c>
    </row>
    <row r="64" spans="1:14" s="7" customFormat="1" x14ac:dyDescent="0.25">
      <c r="A64" s="972">
        <v>43760</v>
      </c>
      <c r="B64" s="910" t="s">
        <v>797</v>
      </c>
      <c r="C64" s="1075">
        <v>1E-4</v>
      </c>
      <c r="D64" s="141">
        <f t="shared" si="19"/>
        <v>16.899999999999999</v>
      </c>
      <c r="E64" s="973">
        <v>1.6900000000000001E-3</v>
      </c>
      <c r="F64" s="973">
        <v>0</v>
      </c>
      <c r="G64" s="974">
        <v>0</v>
      </c>
      <c r="H64" s="974">
        <v>66.989999999999995</v>
      </c>
      <c r="I64" s="1076">
        <f t="shared" si="20"/>
        <v>66.991689999999991</v>
      </c>
      <c r="J64" s="1077">
        <f t="shared" si="21"/>
        <v>13.398337999999999</v>
      </c>
      <c r="K64" s="1078">
        <f t="shared" si="22"/>
        <v>80.390027999999987</v>
      </c>
      <c r="L64" s="750" t="s">
        <v>791</v>
      </c>
      <c r="M64" s="800" t="s">
        <v>20</v>
      </c>
      <c r="N64" s="1791" t="s">
        <v>798</v>
      </c>
    </row>
    <row r="65" spans="1:14" s="7" customFormat="1" x14ac:dyDescent="0.25">
      <c r="A65" s="972">
        <v>43766</v>
      </c>
      <c r="B65" s="910" t="s">
        <v>802</v>
      </c>
      <c r="C65" s="1075">
        <f>0.9+0.5+1+0.2+0.3+0.2+0.2+0.9+0.4+0.2+1.5+0.2+0.3+0.2</f>
        <v>7.0000000000000009</v>
      </c>
      <c r="D65" s="141">
        <f t="shared" si="19"/>
        <v>16.918571428571422</v>
      </c>
      <c r="E65" s="973">
        <f>15.23+8.46+16.92+3.38+5.08+3.38+3.38+15.23+6.77+3.38+25.38+3.38+5.08+3.38</f>
        <v>118.42999999999998</v>
      </c>
      <c r="F65" s="973">
        <v>171.62</v>
      </c>
      <c r="G65" s="974">
        <v>0</v>
      </c>
      <c r="H65" s="974">
        <v>0</v>
      </c>
      <c r="I65" s="1076">
        <f t="shared" si="20"/>
        <v>290.04999999999995</v>
      </c>
      <c r="J65" s="1077">
        <f t="shared" si="21"/>
        <v>58.009999999999991</v>
      </c>
      <c r="K65" s="1078">
        <f t="shared" si="22"/>
        <v>348.05999999999995</v>
      </c>
      <c r="L65" s="750" t="s">
        <v>801</v>
      </c>
      <c r="M65" s="800" t="s">
        <v>18</v>
      </c>
      <c r="N65" s="1791"/>
    </row>
    <row r="66" spans="1:14" s="7" customFormat="1" x14ac:dyDescent="0.25">
      <c r="A66" s="972">
        <v>43780</v>
      </c>
      <c r="B66" s="910" t="s">
        <v>809</v>
      </c>
      <c r="C66" s="1075">
        <f>0.9+0.5+0.2+0.2+0.2+0.5+0.2+0.2+1+0.1+1.5+0.2+0.2+0.1</f>
        <v>6</v>
      </c>
      <c r="D66" s="141">
        <f t="shared" si="19"/>
        <v>16.914999999999996</v>
      </c>
      <c r="E66" s="973">
        <f>15.23+8.46+3.38+3.38+3.38+8.46+3.38+3.38+16.92+1.69+25.38+3.38+3.38+1.69</f>
        <v>101.48999999999998</v>
      </c>
      <c r="F66" s="973">
        <v>219.45</v>
      </c>
      <c r="G66" s="974">
        <v>0</v>
      </c>
      <c r="H66" s="974">
        <v>0</v>
      </c>
      <c r="I66" s="1076">
        <f t="shared" si="20"/>
        <v>320.93999999999994</v>
      </c>
      <c r="J66" s="1077">
        <f t="shared" si="21"/>
        <v>64.187999999999988</v>
      </c>
      <c r="K66" s="1078">
        <f t="shared" si="22"/>
        <v>385.12799999999993</v>
      </c>
      <c r="L66" s="750" t="s">
        <v>808</v>
      </c>
      <c r="M66" s="800" t="s">
        <v>40</v>
      </c>
      <c r="N66" s="1791"/>
    </row>
    <row r="67" spans="1:14" s="7" customFormat="1" x14ac:dyDescent="0.25">
      <c r="A67" s="972">
        <v>43790</v>
      </c>
      <c r="B67" s="910" t="s">
        <v>815</v>
      </c>
      <c r="C67" s="1075">
        <f>1+0.6+0.5+1</f>
        <v>3.1</v>
      </c>
      <c r="D67" s="141">
        <f t="shared" si="19"/>
        <v>16.919354838709676</v>
      </c>
      <c r="E67" s="973">
        <f>16.92+10.15+8.46+16.92</f>
        <v>52.45</v>
      </c>
      <c r="F67" s="973">
        <v>34.86</v>
      </c>
      <c r="G67" s="974">
        <v>0</v>
      </c>
      <c r="H67" s="974">
        <v>5</v>
      </c>
      <c r="I67" s="1076">
        <f t="shared" si="20"/>
        <v>92.31</v>
      </c>
      <c r="J67" s="1077">
        <f t="shared" si="21"/>
        <v>18.462</v>
      </c>
      <c r="K67" s="1078">
        <f t="shared" si="22"/>
        <v>110.77200000000001</v>
      </c>
      <c r="L67" s="750" t="s">
        <v>808</v>
      </c>
      <c r="M67" s="800" t="s">
        <v>40</v>
      </c>
      <c r="N67" s="1791" t="s">
        <v>816</v>
      </c>
    </row>
    <row r="68" spans="1:14" s="600" customFormat="1" x14ac:dyDescent="0.25">
      <c r="A68" s="955">
        <v>43791</v>
      </c>
      <c r="B68" s="956" t="s">
        <v>819</v>
      </c>
      <c r="C68" s="957">
        <f>0.9+0.4+1+0.2+0.3+0.8+0.1+0.1+0.4+0.1+1.5+0.2+0.2+0.2+0.2</f>
        <v>6.6000000000000005</v>
      </c>
      <c r="D68" s="925">
        <f t="shared" si="19"/>
        <v>16.918181818181811</v>
      </c>
      <c r="E68" s="958">
        <f>15.23+6.77+16.92+3.38+5.08+13.54+1.69+1.69+6.77+1.69+25.38+3.38+3.38+3.38+3.38</f>
        <v>111.65999999999997</v>
      </c>
      <c r="F68" s="958">
        <v>382.04</v>
      </c>
      <c r="G68" s="959">
        <v>20.83</v>
      </c>
      <c r="H68" s="959">
        <v>0</v>
      </c>
      <c r="I68" s="960">
        <f t="shared" si="20"/>
        <v>514.53</v>
      </c>
      <c r="J68" s="961">
        <f t="shared" si="21"/>
        <v>102.90600000000001</v>
      </c>
      <c r="K68" s="962">
        <f t="shared" si="22"/>
        <v>617.43599999999992</v>
      </c>
      <c r="L68" s="537" t="s">
        <v>818</v>
      </c>
      <c r="M68" s="828" t="s">
        <v>38</v>
      </c>
      <c r="N68" s="1970"/>
    </row>
    <row r="69" spans="1:14" s="7" customFormat="1" x14ac:dyDescent="0.25">
      <c r="A69" s="972">
        <v>43833</v>
      </c>
      <c r="B69" s="910" t="s">
        <v>843</v>
      </c>
      <c r="C69" s="1075">
        <f>1.9+0.6+2.5+1+0.4+1.1+0.5+0.5+1.3+0.7+1.5+0.2+0.2+0.2</f>
        <v>12.599999999999998</v>
      </c>
      <c r="D69" s="141">
        <f t="shared" si="19"/>
        <v>16.919047619047621</v>
      </c>
      <c r="E69" s="973">
        <f>32.15+10.15+42.3+16.92+6.77+18.61+8.46+8.46+22+11.84+25.38+3.38+3.38+3.38</f>
        <v>213.17999999999998</v>
      </c>
      <c r="F69" s="973">
        <v>720.87</v>
      </c>
      <c r="G69" s="974">
        <v>5</v>
      </c>
      <c r="H69" s="974">
        <v>0</v>
      </c>
      <c r="I69" s="1076">
        <f t="shared" si="20"/>
        <v>939.05</v>
      </c>
      <c r="J69" s="1077">
        <f t="shared" si="21"/>
        <v>187.81</v>
      </c>
      <c r="K69" s="1078">
        <f t="shared" si="22"/>
        <v>1126.8599999999999</v>
      </c>
      <c r="L69" s="750" t="s">
        <v>842</v>
      </c>
      <c r="M69" s="800" t="s">
        <v>36</v>
      </c>
      <c r="N69" s="1791"/>
    </row>
    <row r="70" spans="1:14" s="7" customFormat="1" x14ac:dyDescent="0.25">
      <c r="A70" s="972">
        <v>43847</v>
      </c>
      <c r="B70" s="910" t="s">
        <v>847</v>
      </c>
      <c r="C70" s="1075">
        <f>0.5+0.6</f>
        <v>1.1000000000000001</v>
      </c>
      <c r="D70" s="141">
        <f t="shared" si="19"/>
        <v>16.918181818181818</v>
      </c>
      <c r="E70" s="973">
        <f>8.46+10.15</f>
        <v>18.61</v>
      </c>
      <c r="F70" s="973">
        <v>72.16</v>
      </c>
      <c r="G70" s="974">
        <v>0</v>
      </c>
      <c r="H70" s="974">
        <v>0</v>
      </c>
      <c r="I70" s="1076">
        <f t="shared" si="20"/>
        <v>90.77</v>
      </c>
      <c r="J70" s="1077">
        <f t="shared" si="21"/>
        <v>18.154</v>
      </c>
      <c r="K70" s="1078">
        <f t="shared" si="22"/>
        <v>108.92399999999999</v>
      </c>
      <c r="L70" s="750" t="s">
        <v>846</v>
      </c>
      <c r="M70" s="800" t="s">
        <v>25</v>
      </c>
      <c r="N70" s="1791"/>
    </row>
    <row r="71" spans="1:14" s="7" customFormat="1" x14ac:dyDescent="0.25">
      <c r="A71" s="972">
        <v>43847</v>
      </c>
      <c r="B71" s="910" t="s">
        <v>849</v>
      </c>
      <c r="C71" s="1075">
        <f>0.3+0.3+0.4+0.2</f>
        <v>1.2</v>
      </c>
      <c r="D71" s="141">
        <f t="shared" si="19"/>
        <v>16.925000000000001</v>
      </c>
      <c r="E71" s="973">
        <f>5.08+5.08+6.77+3.38</f>
        <v>20.309999999999999</v>
      </c>
      <c r="F71" s="973">
        <v>6.13</v>
      </c>
      <c r="G71" s="974">
        <v>0</v>
      </c>
      <c r="H71" s="974">
        <v>0</v>
      </c>
      <c r="I71" s="1076">
        <f t="shared" si="20"/>
        <v>26.439999999999998</v>
      </c>
      <c r="J71" s="1077">
        <f t="shared" si="21"/>
        <v>5.2880000000000003</v>
      </c>
      <c r="K71" s="1078">
        <f t="shared" si="22"/>
        <v>31.727999999999998</v>
      </c>
      <c r="L71" s="750" t="s">
        <v>850</v>
      </c>
      <c r="M71" s="800" t="s">
        <v>20</v>
      </c>
      <c r="N71" s="1791"/>
    </row>
    <row r="72" spans="1:14" s="7" customFormat="1" x14ac:dyDescent="0.25">
      <c r="A72" s="972">
        <v>43881</v>
      </c>
      <c r="B72" s="910" t="s">
        <v>855</v>
      </c>
      <c r="C72" s="1075">
        <v>1E-4</v>
      </c>
      <c r="D72" s="141">
        <f t="shared" si="19"/>
        <v>16.919999999999998</v>
      </c>
      <c r="E72" s="973">
        <v>1.6919999999999999E-3</v>
      </c>
      <c r="F72" s="973">
        <v>67.5</v>
      </c>
      <c r="G72" s="974">
        <v>0</v>
      </c>
      <c r="H72" s="974">
        <v>0</v>
      </c>
      <c r="I72" s="1076">
        <f t="shared" si="20"/>
        <v>67.501692000000006</v>
      </c>
      <c r="J72" s="1077">
        <f t="shared" si="21"/>
        <v>13.500338400000002</v>
      </c>
      <c r="K72" s="1078">
        <f t="shared" si="22"/>
        <v>81.00203040000001</v>
      </c>
      <c r="L72" s="750" t="s">
        <v>856</v>
      </c>
      <c r="M72" s="800" t="s">
        <v>857</v>
      </c>
      <c r="N72" s="1791"/>
    </row>
    <row r="73" spans="1:14" s="7" customFormat="1" x14ac:dyDescent="0.25">
      <c r="A73" s="972">
        <v>43850</v>
      </c>
      <c r="B73" s="910" t="s">
        <v>861</v>
      </c>
      <c r="C73" s="1075">
        <f>0.6+0.5+0.3+0.2</f>
        <v>1.6</v>
      </c>
      <c r="D73" s="141">
        <f t="shared" si="19"/>
        <v>16.918749999999996</v>
      </c>
      <c r="E73" s="973">
        <f>10.15+8.46+5.08+3.38</f>
        <v>27.069999999999997</v>
      </c>
      <c r="F73" s="973">
        <v>217.25</v>
      </c>
      <c r="G73" s="974">
        <v>0</v>
      </c>
      <c r="H73" s="974">
        <v>0</v>
      </c>
      <c r="I73" s="1076">
        <f t="shared" si="20"/>
        <v>244.32</v>
      </c>
      <c r="J73" s="1077">
        <f t="shared" si="21"/>
        <v>48.864000000000004</v>
      </c>
      <c r="K73" s="1078">
        <f t="shared" si="22"/>
        <v>293.18399999999997</v>
      </c>
      <c r="L73" s="750" t="s">
        <v>862</v>
      </c>
      <c r="M73" s="800" t="s">
        <v>30</v>
      </c>
      <c r="N73" s="1791"/>
    </row>
    <row r="74" spans="1:14" s="7" customFormat="1" x14ac:dyDescent="0.25">
      <c r="A74" s="972">
        <v>43865</v>
      </c>
      <c r="B74" s="910" t="s">
        <v>868</v>
      </c>
      <c r="C74" s="1075">
        <v>1E-4</v>
      </c>
      <c r="D74" s="141">
        <f t="shared" si="19"/>
        <v>16.899999999999999</v>
      </c>
      <c r="E74" s="973">
        <v>1.6900000000000001E-3</v>
      </c>
      <c r="F74" s="973">
        <v>13.05</v>
      </c>
      <c r="G74" s="974">
        <v>0</v>
      </c>
      <c r="H74" s="974">
        <v>0</v>
      </c>
      <c r="I74" s="1076">
        <f t="shared" si="20"/>
        <v>13.051690000000001</v>
      </c>
      <c r="J74" s="1077">
        <f t="shared" si="21"/>
        <v>2.6103380000000005</v>
      </c>
      <c r="K74" s="1078">
        <f t="shared" si="22"/>
        <v>15.662028000000001</v>
      </c>
      <c r="L74" s="750" t="s">
        <v>867</v>
      </c>
      <c r="M74" s="800" t="s">
        <v>594</v>
      </c>
      <c r="N74" s="1791"/>
    </row>
    <row r="75" spans="1:14" s="7" customFormat="1" x14ac:dyDescent="0.25">
      <c r="A75" s="972">
        <v>43889</v>
      </c>
      <c r="B75" s="910" t="s">
        <v>966</v>
      </c>
      <c r="C75" s="1075">
        <f>1.5+0.5+0.4+1.1</f>
        <v>3.5</v>
      </c>
      <c r="D75" s="141">
        <f t="shared" ref="D75:D80" si="23">E75/C75</f>
        <v>16.919999999999998</v>
      </c>
      <c r="E75" s="973">
        <f>25.38+8.46+6.77+18.61</f>
        <v>59.22</v>
      </c>
      <c r="F75" s="973">
        <v>68.209999999999994</v>
      </c>
      <c r="G75" s="974">
        <v>0</v>
      </c>
      <c r="H75" s="974">
        <v>0</v>
      </c>
      <c r="I75" s="1076">
        <f t="shared" si="20"/>
        <v>127.42999999999999</v>
      </c>
      <c r="J75" s="1077">
        <f t="shared" ref="J75:J81" si="24">I75*$J$19</f>
        <v>25.486000000000001</v>
      </c>
      <c r="K75" s="1078">
        <f t="shared" si="22"/>
        <v>152.916</v>
      </c>
      <c r="L75" s="750" t="s">
        <v>964</v>
      </c>
      <c r="M75" s="800" t="s">
        <v>38</v>
      </c>
      <c r="N75" s="1791"/>
    </row>
    <row r="76" spans="1:14" s="7" customFormat="1" x14ac:dyDescent="0.25">
      <c r="A76" s="972">
        <v>43874</v>
      </c>
      <c r="B76" s="910" t="s">
        <v>971</v>
      </c>
      <c r="C76" s="1075">
        <f>0.5+0.7+0.7+0.5</f>
        <v>2.4</v>
      </c>
      <c r="D76" s="141">
        <f t="shared" si="23"/>
        <v>16.916666666666668</v>
      </c>
      <c r="E76" s="973">
        <f>8.46+11.84+11.84+8.46</f>
        <v>40.6</v>
      </c>
      <c r="F76" s="973">
        <v>340.45</v>
      </c>
      <c r="G76" s="974">
        <v>0</v>
      </c>
      <c r="H76" s="974">
        <v>0</v>
      </c>
      <c r="I76" s="1076">
        <f t="shared" si="20"/>
        <v>381.05</v>
      </c>
      <c r="J76" s="1077">
        <f t="shared" si="24"/>
        <v>76.210000000000008</v>
      </c>
      <c r="K76" s="1078">
        <f t="shared" si="22"/>
        <v>457.26</v>
      </c>
      <c r="L76" s="750" t="s">
        <v>970</v>
      </c>
      <c r="M76" s="800" t="s">
        <v>30</v>
      </c>
      <c r="N76" s="1791"/>
    </row>
    <row r="77" spans="1:14" s="7" customFormat="1" x14ac:dyDescent="0.25">
      <c r="A77" s="972">
        <v>43878</v>
      </c>
      <c r="B77" s="910" t="s">
        <v>974</v>
      </c>
      <c r="C77" s="1075">
        <v>1</v>
      </c>
      <c r="D77" s="141">
        <f t="shared" si="23"/>
        <v>16.920000000000002</v>
      </c>
      <c r="E77" s="973">
        <f>10.15+6.77</f>
        <v>16.920000000000002</v>
      </c>
      <c r="F77" s="973">
        <v>1.52</v>
      </c>
      <c r="G77" s="974">
        <v>0</v>
      </c>
      <c r="H77" s="974">
        <v>0</v>
      </c>
      <c r="I77" s="1076">
        <f t="shared" si="20"/>
        <v>18.440000000000001</v>
      </c>
      <c r="J77" s="1077">
        <f t="shared" si="24"/>
        <v>3.6880000000000006</v>
      </c>
      <c r="K77" s="1078">
        <f t="shared" si="22"/>
        <v>22.128</v>
      </c>
      <c r="L77" s="750" t="s">
        <v>973</v>
      </c>
      <c r="M77" s="800" t="s">
        <v>18</v>
      </c>
      <c r="N77" s="1791"/>
    </row>
    <row r="78" spans="1:14" s="7" customFormat="1" x14ac:dyDescent="0.25">
      <c r="A78" s="972">
        <v>43878</v>
      </c>
      <c r="B78" s="910" t="s">
        <v>977</v>
      </c>
      <c r="C78" s="1075">
        <f>0.6+0.2+0.4</f>
        <v>1.2000000000000002</v>
      </c>
      <c r="D78" s="141">
        <f t="shared" si="23"/>
        <v>16.916666666666664</v>
      </c>
      <c r="E78" s="973">
        <f>10.15+3.38+6.77</f>
        <v>20.3</v>
      </c>
      <c r="F78" s="973">
        <v>13.54</v>
      </c>
      <c r="G78" s="974">
        <v>0</v>
      </c>
      <c r="H78" s="974">
        <v>0</v>
      </c>
      <c r="I78" s="1076">
        <f t="shared" si="20"/>
        <v>33.840000000000003</v>
      </c>
      <c r="J78" s="1077">
        <f t="shared" si="24"/>
        <v>6.7680000000000007</v>
      </c>
      <c r="K78" s="1078">
        <f t="shared" si="22"/>
        <v>40.608000000000004</v>
      </c>
      <c r="L78" s="750" t="s">
        <v>976</v>
      </c>
      <c r="M78" s="800" t="s">
        <v>20</v>
      </c>
      <c r="N78" s="1791"/>
    </row>
    <row r="79" spans="1:14" s="7" customFormat="1" x14ac:dyDescent="0.25">
      <c r="A79" s="972">
        <v>43887</v>
      </c>
      <c r="B79" s="910" t="s">
        <v>998</v>
      </c>
      <c r="C79" s="1075">
        <f>0.1+0.2+0.4+1.5+0.7+0.6+0.2+0.5+0.4+0.6+1+2.1+1.8+0.3+0.4+1+0.5</f>
        <v>12.300000000000002</v>
      </c>
      <c r="D79" s="141">
        <f t="shared" si="23"/>
        <v>16.91951219512195</v>
      </c>
      <c r="E79" s="973">
        <v>208.11</v>
      </c>
      <c r="F79" s="973">
        <v>843.21</v>
      </c>
      <c r="G79" s="974">
        <v>0</v>
      </c>
      <c r="H79" s="974">
        <v>0</v>
      </c>
      <c r="I79" s="1076">
        <f t="shared" si="20"/>
        <v>1051.3200000000002</v>
      </c>
      <c r="J79" s="1077">
        <f t="shared" si="24"/>
        <v>210.26400000000004</v>
      </c>
      <c r="K79" s="1078">
        <f t="shared" si="22"/>
        <v>1261.5840000000003</v>
      </c>
      <c r="L79" s="750" t="s">
        <v>997</v>
      </c>
      <c r="M79" s="800" t="s">
        <v>11</v>
      </c>
      <c r="N79" s="1791"/>
    </row>
    <row r="80" spans="1:14" s="7" customFormat="1" x14ac:dyDescent="0.25">
      <c r="A80" s="972">
        <v>43895</v>
      </c>
      <c r="B80" s="910" t="s">
        <v>1000</v>
      </c>
      <c r="C80" s="1075">
        <f>0.5+0.3</f>
        <v>0.8</v>
      </c>
      <c r="D80" s="141">
        <f t="shared" si="23"/>
        <v>16.925000000000001</v>
      </c>
      <c r="E80" s="973">
        <f>8.46+5.08</f>
        <v>13.540000000000001</v>
      </c>
      <c r="F80" s="973">
        <v>2.4300000000000002</v>
      </c>
      <c r="G80" s="974">
        <v>8.33</v>
      </c>
      <c r="H80" s="974">
        <v>0</v>
      </c>
      <c r="I80" s="1076">
        <f t="shared" si="20"/>
        <v>24.3</v>
      </c>
      <c r="J80" s="1077">
        <f t="shared" si="24"/>
        <v>4.8600000000000003</v>
      </c>
      <c r="K80" s="1078">
        <f t="shared" si="22"/>
        <v>29.16</v>
      </c>
      <c r="L80" s="750" t="s">
        <v>999</v>
      </c>
      <c r="M80" s="800" t="s">
        <v>11</v>
      </c>
      <c r="N80" s="1791" t="s">
        <v>816</v>
      </c>
    </row>
    <row r="81" spans="1:14" s="7" customFormat="1" x14ac:dyDescent="0.25">
      <c r="A81" s="972">
        <v>43900</v>
      </c>
      <c r="B81" s="910" t="s">
        <v>1004</v>
      </c>
      <c r="C81" s="1075">
        <f>0.9+0.5+1+0.7+0.3+0.3+1.3+0.1+1.5+0.2+0.3</f>
        <v>7.0999999999999988</v>
      </c>
      <c r="D81" s="141">
        <f t="shared" ref="D81:D113" si="25">E81/C81</f>
        <v>16.921126760563382</v>
      </c>
      <c r="E81" s="973">
        <f>15.23+8.46+16.92+11.84+5.08+5.08+22+1.69+25.38+3.38+5.08</f>
        <v>120.13999999999999</v>
      </c>
      <c r="F81" s="973">
        <v>347.57</v>
      </c>
      <c r="G81" s="974">
        <v>0</v>
      </c>
      <c r="H81" s="974">
        <v>0</v>
      </c>
      <c r="I81" s="1076">
        <f t="shared" si="20"/>
        <v>467.71</v>
      </c>
      <c r="J81" s="1077">
        <f t="shared" si="24"/>
        <v>93.542000000000002</v>
      </c>
      <c r="K81" s="1078">
        <f t="shared" si="22"/>
        <v>561.25199999999995</v>
      </c>
      <c r="L81" s="750" t="s">
        <v>1003</v>
      </c>
      <c r="M81" s="800" t="s">
        <v>713</v>
      </c>
      <c r="N81" s="1791"/>
    </row>
    <row r="82" spans="1:14" s="7" customFormat="1" x14ac:dyDescent="0.25">
      <c r="A82" s="972">
        <v>43903</v>
      </c>
      <c r="B82" s="910" t="s">
        <v>1011</v>
      </c>
      <c r="C82" s="1075">
        <v>1E-4</v>
      </c>
      <c r="D82" s="141">
        <f t="shared" si="25"/>
        <v>16.919999999999998</v>
      </c>
      <c r="E82" s="973">
        <v>1.6919999999999999E-3</v>
      </c>
      <c r="F82" s="973">
        <v>0</v>
      </c>
      <c r="G82" s="974">
        <v>0</v>
      </c>
      <c r="H82" s="974">
        <v>297</v>
      </c>
      <c r="I82" s="1076">
        <f t="shared" si="20"/>
        <v>297.00169199999999</v>
      </c>
      <c r="J82" s="1077">
        <f t="shared" ref="J82:J113" si="26">I82*$J$19</f>
        <v>59.400338400000003</v>
      </c>
      <c r="K82" s="1078">
        <f t="shared" si="22"/>
        <v>356.4020304</v>
      </c>
      <c r="L82" s="750" t="s">
        <v>1010</v>
      </c>
      <c r="M82" s="800" t="s">
        <v>215</v>
      </c>
      <c r="N82" s="1791" t="s">
        <v>919</v>
      </c>
    </row>
    <row r="83" spans="1:14" s="7" customFormat="1" x14ac:dyDescent="0.25">
      <c r="A83" s="972">
        <v>43950</v>
      </c>
      <c r="B83" s="910" t="s">
        <v>1092</v>
      </c>
      <c r="C83" s="1075">
        <f>0.5+0.2+0.2</f>
        <v>0.89999999999999991</v>
      </c>
      <c r="D83" s="141">
        <f t="shared" si="25"/>
        <v>16.911111111111111</v>
      </c>
      <c r="E83" s="973">
        <f>8.46+3.38+3.38</f>
        <v>15.219999999999999</v>
      </c>
      <c r="F83" s="973">
        <v>54.67</v>
      </c>
      <c r="G83" s="974">
        <v>0</v>
      </c>
      <c r="H83" s="974">
        <v>0</v>
      </c>
      <c r="I83" s="1076">
        <f t="shared" si="20"/>
        <v>69.89</v>
      </c>
      <c r="J83" s="1077">
        <f t="shared" si="26"/>
        <v>13.978000000000002</v>
      </c>
      <c r="K83" s="1078">
        <f t="shared" si="22"/>
        <v>83.867999999999995</v>
      </c>
      <c r="L83" s="750" t="s">
        <v>1093</v>
      </c>
      <c r="M83" s="800" t="s">
        <v>1041</v>
      </c>
      <c r="N83" s="1791"/>
    </row>
    <row r="84" spans="1:14" s="7" customFormat="1" x14ac:dyDescent="0.25">
      <c r="A84" s="972">
        <v>43956</v>
      </c>
      <c r="B84" s="910" t="s">
        <v>1096</v>
      </c>
      <c r="C84" s="1075">
        <f>1.7+0.6+1.5+0.1</f>
        <v>3.9</v>
      </c>
      <c r="D84" s="141">
        <f t="shared" si="25"/>
        <v>16.917948717948718</v>
      </c>
      <c r="E84" s="973">
        <v>65.98</v>
      </c>
      <c r="F84" s="973">
        <v>115.01</v>
      </c>
      <c r="G84" s="974">
        <v>0</v>
      </c>
      <c r="H84" s="974">
        <v>0</v>
      </c>
      <c r="I84" s="1076">
        <f t="shared" si="20"/>
        <v>180.99</v>
      </c>
      <c r="J84" s="1077">
        <f t="shared" si="26"/>
        <v>36.198</v>
      </c>
      <c r="K84" s="1078">
        <f t="shared" si="22"/>
        <v>217.18800000000002</v>
      </c>
      <c r="L84" s="750" t="s">
        <v>1097</v>
      </c>
      <c r="M84" s="800" t="s">
        <v>713</v>
      </c>
      <c r="N84" s="1791"/>
    </row>
    <row r="85" spans="1:14" s="7" customFormat="1" x14ac:dyDescent="0.25">
      <c r="A85" s="972">
        <v>43973</v>
      </c>
      <c r="B85" s="910" t="s">
        <v>1128</v>
      </c>
      <c r="C85" s="1075">
        <f>0.9+0.6+0.5+0.2+0.2+1</f>
        <v>3.4000000000000004</v>
      </c>
      <c r="D85" s="141">
        <f t="shared" si="25"/>
        <v>16.91764705882353</v>
      </c>
      <c r="E85" s="973">
        <f>15.23+10.15+8.46+3.38+3.38+16.92</f>
        <v>57.52000000000001</v>
      </c>
      <c r="F85" s="973">
        <v>1.81</v>
      </c>
      <c r="G85" s="974">
        <v>0</v>
      </c>
      <c r="H85" s="974">
        <v>0</v>
      </c>
      <c r="I85" s="1076">
        <f t="shared" si="20"/>
        <v>59.330000000000013</v>
      </c>
      <c r="J85" s="1077">
        <f t="shared" si="26"/>
        <v>11.866000000000003</v>
      </c>
      <c r="K85" s="1078">
        <f t="shared" si="22"/>
        <v>71.196000000000012</v>
      </c>
      <c r="L85" s="750" t="s">
        <v>1129</v>
      </c>
      <c r="M85" s="800" t="s">
        <v>23</v>
      </c>
      <c r="N85" s="1791"/>
    </row>
    <row r="86" spans="1:14" s="7" customFormat="1" x14ac:dyDescent="0.25">
      <c r="A86" s="972">
        <v>43999</v>
      </c>
      <c r="B86" s="910" t="s">
        <v>1140</v>
      </c>
      <c r="C86" s="1075">
        <f>0.5+1.3+0.2+0.4+0.2</f>
        <v>2.6</v>
      </c>
      <c r="D86" s="141">
        <f t="shared" si="25"/>
        <v>16.919230769230769</v>
      </c>
      <c r="E86" s="973">
        <f>8.46+22+3.38+6.77+3.38</f>
        <v>43.99</v>
      </c>
      <c r="F86" s="973">
        <v>110.87</v>
      </c>
      <c r="G86" s="974">
        <v>0</v>
      </c>
      <c r="H86" s="974">
        <v>0</v>
      </c>
      <c r="I86" s="1076">
        <f t="shared" ref="I86:I112" si="27">SUM(E86:H86)</f>
        <v>154.86000000000001</v>
      </c>
      <c r="J86" s="1077">
        <f t="shared" si="26"/>
        <v>30.972000000000005</v>
      </c>
      <c r="K86" s="1078">
        <f t="shared" ref="K86:K112" si="28">SUM(I86:J86)</f>
        <v>185.83200000000002</v>
      </c>
      <c r="L86" s="750" t="s">
        <v>1141</v>
      </c>
      <c r="M86" s="800" t="s">
        <v>713</v>
      </c>
      <c r="N86" s="1791"/>
    </row>
    <row r="87" spans="1:14" s="7" customFormat="1" x14ac:dyDescent="0.25">
      <c r="A87" s="972">
        <v>44001</v>
      </c>
      <c r="B87" s="910" t="s">
        <v>1143</v>
      </c>
      <c r="C87" s="1075">
        <f>0.9+0.3+1.3+0.4+2.8+0.6+0.2+0.2+1.5+0.2+0.2+0.2</f>
        <v>8.7999999999999972</v>
      </c>
      <c r="D87" s="141">
        <f t="shared" si="25"/>
        <v>16.919318181818184</v>
      </c>
      <c r="E87" s="973">
        <f>15.23+5.08+22+6.77+47.38+10.15+3.38+3.38+25.38+3.38+3.38+3.38</f>
        <v>148.88999999999999</v>
      </c>
      <c r="F87" s="973">
        <v>559.29</v>
      </c>
      <c r="G87" s="974">
        <v>0</v>
      </c>
      <c r="H87" s="974">
        <v>0</v>
      </c>
      <c r="I87" s="1076">
        <f t="shared" si="27"/>
        <v>708.18</v>
      </c>
      <c r="J87" s="1077">
        <f t="shared" si="26"/>
        <v>141.636</v>
      </c>
      <c r="K87" s="1078">
        <f t="shared" si="28"/>
        <v>849.81599999999992</v>
      </c>
      <c r="L87" s="750" t="s">
        <v>1144</v>
      </c>
      <c r="M87" s="800" t="s">
        <v>30</v>
      </c>
      <c r="N87" s="1791"/>
    </row>
    <row r="88" spans="1:14" s="7" customFormat="1" x14ac:dyDescent="0.25">
      <c r="A88" s="972">
        <v>44036</v>
      </c>
      <c r="B88" s="910" t="s">
        <v>1181</v>
      </c>
      <c r="C88" s="1075">
        <f>1+1.8+0.8+0.2</f>
        <v>3.8</v>
      </c>
      <c r="D88" s="141">
        <f t="shared" si="25"/>
        <v>16.921052631578949</v>
      </c>
      <c r="E88" s="973">
        <f>16.92+30.46+13.54+3.38</f>
        <v>64.3</v>
      </c>
      <c r="F88" s="973">
        <v>221.79</v>
      </c>
      <c r="G88" s="974">
        <v>0</v>
      </c>
      <c r="H88" s="974">
        <v>0</v>
      </c>
      <c r="I88" s="1076">
        <f t="shared" si="27"/>
        <v>286.08999999999997</v>
      </c>
      <c r="J88" s="1077">
        <f t="shared" si="26"/>
        <v>57.217999999999996</v>
      </c>
      <c r="K88" s="1078">
        <f t="shared" si="28"/>
        <v>343.30799999999999</v>
      </c>
      <c r="L88" s="750" t="s">
        <v>1178</v>
      </c>
      <c r="M88" s="800" t="s">
        <v>215</v>
      </c>
      <c r="N88" s="1791"/>
    </row>
    <row r="89" spans="1:14" s="7" customFormat="1" x14ac:dyDescent="0.25">
      <c r="A89" s="972">
        <v>44036</v>
      </c>
      <c r="B89" s="910" t="s">
        <v>1180</v>
      </c>
      <c r="C89" s="1075">
        <f>1.3+0.5+1.2+0.1+0.5+0.4+1</f>
        <v>5</v>
      </c>
      <c r="D89" s="141">
        <f t="shared" si="25"/>
        <v>16.920000000000002</v>
      </c>
      <c r="E89" s="973">
        <f>22+8.46+20.3+1.69+8.46+6.77+16.92</f>
        <v>84.600000000000009</v>
      </c>
      <c r="F89" s="973">
        <v>82.17</v>
      </c>
      <c r="G89" s="974">
        <v>0</v>
      </c>
      <c r="H89" s="974">
        <v>0</v>
      </c>
      <c r="I89" s="1076">
        <f t="shared" si="27"/>
        <v>166.77</v>
      </c>
      <c r="J89" s="1077">
        <f t="shared" si="26"/>
        <v>33.354000000000006</v>
      </c>
      <c r="K89" s="1078">
        <f t="shared" si="28"/>
        <v>200.12400000000002</v>
      </c>
      <c r="L89" s="750" t="s">
        <v>1182</v>
      </c>
      <c r="M89" s="800" t="s">
        <v>36</v>
      </c>
      <c r="N89" s="1791"/>
    </row>
    <row r="90" spans="1:14" s="7" customFormat="1" x14ac:dyDescent="0.25">
      <c r="A90" s="972">
        <v>44040</v>
      </c>
      <c r="B90" s="910" t="s">
        <v>1185</v>
      </c>
      <c r="C90" s="1075">
        <f>1+1.2+0.6</f>
        <v>2.8000000000000003</v>
      </c>
      <c r="D90" s="141">
        <f t="shared" si="25"/>
        <v>16.917857142857141</v>
      </c>
      <c r="E90" s="973">
        <f>16.92+20.3+10.15</f>
        <v>47.37</v>
      </c>
      <c r="F90" s="973">
        <v>59.36</v>
      </c>
      <c r="G90" s="974">
        <v>0</v>
      </c>
      <c r="H90" s="974">
        <v>0</v>
      </c>
      <c r="I90" s="1076">
        <f t="shared" si="27"/>
        <v>106.72999999999999</v>
      </c>
      <c r="J90" s="1077">
        <f t="shared" si="26"/>
        <v>21.346</v>
      </c>
      <c r="K90" s="1078">
        <f t="shared" si="28"/>
        <v>128.07599999999999</v>
      </c>
      <c r="L90" s="750" t="s">
        <v>1186</v>
      </c>
      <c r="M90" s="800" t="s">
        <v>28</v>
      </c>
      <c r="N90" s="1791"/>
    </row>
    <row r="91" spans="1:14" s="7" customFormat="1" x14ac:dyDescent="0.25">
      <c r="A91" s="972">
        <v>44050</v>
      </c>
      <c r="B91" s="910" t="s">
        <v>1199</v>
      </c>
      <c r="C91" s="1075">
        <v>1E-4</v>
      </c>
      <c r="D91" s="141">
        <f t="shared" si="25"/>
        <v>16.919999999999998</v>
      </c>
      <c r="E91" s="973">
        <v>1.6919999999999999E-3</v>
      </c>
      <c r="F91" s="973">
        <v>0</v>
      </c>
      <c r="G91" s="974">
        <v>0</v>
      </c>
      <c r="H91" s="974">
        <v>90.95</v>
      </c>
      <c r="I91" s="1076">
        <f t="shared" si="27"/>
        <v>90.951692000000008</v>
      </c>
      <c r="J91" s="1077">
        <f t="shared" si="26"/>
        <v>18.190338400000002</v>
      </c>
      <c r="K91" s="1078">
        <f t="shared" si="28"/>
        <v>109.14203040000001</v>
      </c>
      <c r="L91" s="750" t="s">
        <v>1200</v>
      </c>
      <c r="M91" s="800" t="s">
        <v>28</v>
      </c>
      <c r="N91" s="1791" t="s">
        <v>1176</v>
      </c>
    </row>
    <row r="92" spans="1:14" s="7" customFormat="1" x14ac:dyDescent="0.25">
      <c r="A92" s="972">
        <v>44083</v>
      </c>
      <c r="B92" s="910" t="s">
        <v>1212</v>
      </c>
      <c r="C92" s="1075">
        <f>0.7+0.3+0.2+0.2+0.5+0.5+0.3+0.5+0.1+0.4+0.4+0.3</f>
        <v>4.3999999999999995</v>
      </c>
      <c r="D92" s="141">
        <f t="shared" si="25"/>
        <v>16.920454545454543</v>
      </c>
      <c r="E92" s="973">
        <f>11.84+5.08+3.38+3.38+8.46+8.46+5.08+8.46+1.69+6.77+6.77+5.08</f>
        <v>74.449999999999989</v>
      </c>
      <c r="F92" s="973">
        <v>110.81</v>
      </c>
      <c r="G92" s="974">
        <v>0</v>
      </c>
      <c r="H92" s="974">
        <v>0</v>
      </c>
      <c r="I92" s="1076">
        <f t="shared" si="27"/>
        <v>185.26</v>
      </c>
      <c r="J92" s="1077">
        <f t="shared" si="26"/>
        <v>37.052</v>
      </c>
      <c r="K92" s="1078">
        <f t="shared" si="28"/>
        <v>222.31199999999998</v>
      </c>
      <c r="L92" s="750" t="s">
        <v>1213</v>
      </c>
      <c r="M92" s="800" t="s">
        <v>28</v>
      </c>
      <c r="N92" s="1791"/>
    </row>
    <row r="93" spans="1:14" s="600" customFormat="1" x14ac:dyDescent="0.25">
      <c r="A93" s="955">
        <v>44083</v>
      </c>
      <c r="B93" s="956" t="s">
        <v>1208</v>
      </c>
      <c r="C93" s="957">
        <f>0.6+2.9</f>
        <v>3.5</v>
      </c>
      <c r="D93" s="925">
        <f t="shared" si="25"/>
        <v>16.919999999999998</v>
      </c>
      <c r="E93" s="958">
        <f>10.15+49.07</f>
        <v>59.22</v>
      </c>
      <c r="F93" s="958">
        <f>397.8+1.8+1.28+0.55+2.5+5.33</f>
        <v>409.26</v>
      </c>
      <c r="G93" s="959">
        <v>0</v>
      </c>
      <c r="H93" s="959">
        <v>0</v>
      </c>
      <c r="I93" s="960">
        <f t="shared" si="27"/>
        <v>468.48</v>
      </c>
      <c r="J93" s="961">
        <f t="shared" si="26"/>
        <v>93.696000000000012</v>
      </c>
      <c r="K93" s="962">
        <f t="shared" si="28"/>
        <v>562.17600000000004</v>
      </c>
      <c r="L93" s="537" t="s">
        <v>1208</v>
      </c>
      <c r="M93" s="828" t="s">
        <v>36</v>
      </c>
      <c r="N93" s="1970"/>
    </row>
    <row r="94" spans="1:14" s="7" customFormat="1" x14ac:dyDescent="0.25">
      <c r="A94" s="972">
        <v>44095</v>
      </c>
      <c r="B94" s="910" t="s">
        <v>1225</v>
      </c>
      <c r="C94" s="1075">
        <f>0.35+0.3+0.6</f>
        <v>1.25</v>
      </c>
      <c r="D94" s="141">
        <f t="shared" si="25"/>
        <v>16.919999999999998</v>
      </c>
      <c r="E94" s="973">
        <f>5.92+5.08+10.15</f>
        <v>21.15</v>
      </c>
      <c r="F94" s="973">
        <v>168.41</v>
      </c>
      <c r="G94" s="974">
        <v>0</v>
      </c>
      <c r="H94" s="974">
        <v>0</v>
      </c>
      <c r="I94" s="1076">
        <f t="shared" si="27"/>
        <v>189.56</v>
      </c>
      <c r="J94" s="1077">
        <f t="shared" si="26"/>
        <v>37.911999999999999</v>
      </c>
      <c r="K94" s="1078">
        <f t="shared" si="28"/>
        <v>227.47200000000001</v>
      </c>
      <c r="L94" s="750" t="s">
        <v>1226</v>
      </c>
      <c r="M94" s="800" t="s">
        <v>164</v>
      </c>
      <c r="N94" s="1791"/>
    </row>
    <row r="95" spans="1:14" s="7" customFormat="1" x14ac:dyDescent="0.25">
      <c r="A95" s="972">
        <v>44097</v>
      </c>
      <c r="B95" s="910" t="s">
        <v>1220</v>
      </c>
      <c r="C95" s="1075">
        <f>0.5+0.5</f>
        <v>1</v>
      </c>
      <c r="D95" s="141">
        <f t="shared" si="25"/>
        <v>16.920000000000002</v>
      </c>
      <c r="E95" s="973">
        <f>8.46+8.46</f>
        <v>16.920000000000002</v>
      </c>
      <c r="F95" s="973">
        <v>6.29</v>
      </c>
      <c r="G95" s="974">
        <v>0</v>
      </c>
      <c r="H95" s="974">
        <v>0</v>
      </c>
      <c r="I95" s="1076">
        <f t="shared" si="27"/>
        <v>23.21</v>
      </c>
      <c r="J95" s="1077">
        <f t="shared" si="26"/>
        <v>4.6420000000000003</v>
      </c>
      <c r="K95" s="1078">
        <f t="shared" si="28"/>
        <v>27.852</v>
      </c>
      <c r="L95" s="750" t="s">
        <v>1229</v>
      </c>
      <c r="M95" s="800" t="s">
        <v>28</v>
      </c>
      <c r="N95" s="1791"/>
    </row>
    <row r="96" spans="1:14" s="600" customFormat="1" x14ac:dyDescent="0.25">
      <c r="A96" s="955">
        <v>44116</v>
      </c>
      <c r="B96" s="956" t="s">
        <v>1234</v>
      </c>
      <c r="C96" s="957">
        <f>0.9+0.5+0.2+0.2+0.2+0.2+1.5+0.2+1</f>
        <v>4.9000000000000004</v>
      </c>
      <c r="D96" s="925">
        <f t="shared" si="25"/>
        <v>16.916326530612245</v>
      </c>
      <c r="E96" s="958">
        <f>15.23+8.46+3.38+3.38+3.38+3.38+25.38+3.38+16.92</f>
        <v>82.89</v>
      </c>
      <c r="F96" s="958">
        <v>134.19999999999999</v>
      </c>
      <c r="G96" s="959">
        <v>0</v>
      </c>
      <c r="H96" s="959">
        <v>0</v>
      </c>
      <c r="I96" s="960">
        <f t="shared" si="27"/>
        <v>217.08999999999997</v>
      </c>
      <c r="J96" s="961">
        <f t="shared" si="26"/>
        <v>43.417999999999999</v>
      </c>
      <c r="K96" s="962">
        <f t="shared" si="28"/>
        <v>260.50799999999998</v>
      </c>
      <c r="L96" s="537" t="s">
        <v>1234</v>
      </c>
      <c r="M96" s="828" t="s">
        <v>25</v>
      </c>
      <c r="N96" s="1970"/>
    </row>
    <row r="97" spans="1:14" s="600" customFormat="1" x14ac:dyDescent="0.25">
      <c r="A97" s="955">
        <v>44117</v>
      </c>
      <c r="B97" s="956" t="s">
        <v>1238</v>
      </c>
      <c r="C97" s="957">
        <v>1E-4</v>
      </c>
      <c r="D97" s="925">
        <f t="shared" si="25"/>
        <v>16.919999999999998</v>
      </c>
      <c r="E97" s="958">
        <v>1.6919999999999999E-3</v>
      </c>
      <c r="F97" s="958">
        <v>0</v>
      </c>
      <c r="G97" s="959">
        <v>0</v>
      </c>
      <c r="H97" s="959">
        <v>77</v>
      </c>
      <c r="I97" s="960">
        <f t="shared" si="27"/>
        <v>77.001692000000006</v>
      </c>
      <c r="J97" s="961">
        <f t="shared" si="26"/>
        <v>15.400338400000003</v>
      </c>
      <c r="K97" s="962">
        <f t="shared" si="28"/>
        <v>92.402030400000001</v>
      </c>
      <c r="L97" s="537" t="s">
        <v>1238</v>
      </c>
      <c r="M97" s="828" t="s">
        <v>1239</v>
      </c>
      <c r="N97" s="1970"/>
    </row>
    <row r="98" spans="1:14" s="600" customFormat="1" x14ac:dyDescent="0.25">
      <c r="A98" s="955">
        <v>44123</v>
      </c>
      <c r="B98" s="956" t="s">
        <v>1241</v>
      </c>
      <c r="C98" s="957">
        <f>1.6+0.5+0.6+0.3+0.1+0.4+1+0.3+0.7+0.1+1.5+0.2+0.2+0.25</f>
        <v>7.75</v>
      </c>
      <c r="D98" s="925">
        <f t="shared" si="25"/>
        <v>16.918709677419351</v>
      </c>
      <c r="E98" s="958">
        <f>27.07+8.46+10.15+5.08+1.69+6.77+16.92+5.08+11.84+1.69+25.38+3.38+3.38+4.23</f>
        <v>131.11999999999998</v>
      </c>
      <c r="F98" s="958">
        <v>404.33</v>
      </c>
      <c r="G98" s="959">
        <v>0</v>
      </c>
      <c r="H98" s="959">
        <v>0</v>
      </c>
      <c r="I98" s="960">
        <f t="shared" si="27"/>
        <v>535.44999999999993</v>
      </c>
      <c r="J98" s="961">
        <f t="shared" si="26"/>
        <v>107.08999999999999</v>
      </c>
      <c r="K98" s="962">
        <f t="shared" si="28"/>
        <v>642.54</v>
      </c>
      <c r="L98" s="537" t="s">
        <v>1238</v>
      </c>
      <c r="M98" s="828" t="s">
        <v>20</v>
      </c>
      <c r="N98" s="1970"/>
    </row>
    <row r="99" spans="1:14" s="7" customFormat="1" x14ac:dyDescent="0.25">
      <c r="A99" s="972">
        <v>44126</v>
      </c>
      <c r="B99" s="910" t="s">
        <v>1295</v>
      </c>
      <c r="C99" s="1075">
        <v>0.25</v>
      </c>
      <c r="D99" s="141">
        <f t="shared" si="25"/>
        <v>16.920000000000002</v>
      </c>
      <c r="E99" s="973">
        <v>4.2300000000000004</v>
      </c>
      <c r="F99" s="973">
        <v>58.03</v>
      </c>
      <c r="G99" s="974">
        <v>0</v>
      </c>
      <c r="H99" s="974">
        <v>0</v>
      </c>
      <c r="I99" s="1076">
        <f t="shared" si="27"/>
        <v>62.260000000000005</v>
      </c>
      <c r="J99" s="1077">
        <f t="shared" si="26"/>
        <v>12.452000000000002</v>
      </c>
      <c r="K99" s="1078">
        <f t="shared" si="28"/>
        <v>74.712000000000003</v>
      </c>
      <c r="L99" s="750" t="s">
        <v>1296</v>
      </c>
      <c r="M99" s="800" t="s">
        <v>594</v>
      </c>
      <c r="N99" s="1791"/>
    </row>
    <row r="100" spans="1:14" s="600" customFormat="1" x14ac:dyDescent="0.25">
      <c r="A100" s="955">
        <v>44124</v>
      </c>
      <c r="B100" s="956" t="s">
        <v>1245</v>
      </c>
      <c r="C100" s="957">
        <v>0.25</v>
      </c>
      <c r="D100" s="925">
        <f t="shared" si="25"/>
        <v>16.920000000000002</v>
      </c>
      <c r="E100" s="958">
        <v>4.2300000000000004</v>
      </c>
      <c r="F100" s="958">
        <v>58.03</v>
      </c>
      <c r="G100" s="959">
        <v>0</v>
      </c>
      <c r="H100" s="959">
        <v>0</v>
      </c>
      <c r="I100" s="960">
        <f t="shared" si="27"/>
        <v>62.260000000000005</v>
      </c>
      <c r="J100" s="961">
        <f t="shared" si="26"/>
        <v>12.452000000000002</v>
      </c>
      <c r="K100" s="962">
        <f t="shared" si="28"/>
        <v>74.712000000000003</v>
      </c>
      <c r="L100" s="537" t="s">
        <v>1245</v>
      </c>
      <c r="M100" s="828" t="s">
        <v>185</v>
      </c>
      <c r="N100" s="1970"/>
    </row>
    <row r="101" spans="1:14" s="600" customFormat="1" x14ac:dyDescent="0.25">
      <c r="A101" s="955">
        <v>44053</v>
      </c>
      <c r="B101" s="956" t="s">
        <v>1248</v>
      </c>
      <c r="C101" s="957">
        <f>2+1+0.6+0.5+0.3</f>
        <v>4.3999999999999995</v>
      </c>
      <c r="D101" s="925">
        <f t="shared" si="25"/>
        <v>16.920454545454547</v>
      </c>
      <c r="E101" s="958">
        <f>33.84+16.92+10.15+8.46+5.08</f>
        <v>74.45</v>
      </c>
      <c r="F101" s="958">
        <v>83.66</v>
      </c>
      <c r="G101" s="959">
        <v>0</v>
      </c>
      <c r="H101" s="959">
        <v>0</v>
      </c>
      <c r="I101" s="960">
        <f t="shared" si="27"/>
        <v>158.11000000000001</v>
      </c>
      <c r="J101" s="961">
        <f t="shared" si="26"/>
        <v>31.622000000000003</v>
      </c>
      <c r="K101" s="962">
        <f t="shared" si="28"/>
        <v>189.73200000000003</v>
      </c>
      <c r="L101" s="537" t="s">
        <v>1248</v>
      </c>
      <c r="M101" s="828" t="s">
        <v>215</v>
      </c>
      <c r="N101" s="1970"/>
    </row>
    <row r="102" spans="1:14" s="600" customFormat="1" x14ac:dyDescent="0.25">
      <c r="A102" s="955">
        <v>44127</v>
      </c>
      <c r="B102" s="956" t="s">
        <v>1251</v>
      </c>
      <c r="C102" s="957">
        <f>0.9+0.5+0.3+0.6+0.3+0.1+0.2+0.4+0.2+1.5+0.2+0.2+0.25+0.5</f>
        <v>6.15</v>
      </c>
      <c r="D102" s="925">
        <f t="shared" si="25"/>
        <v>16.918699186991869</v>
      </c>
      <c r="E102" s="958">
        <f>15.23+8.46+5.08+10.15+5.08+1.69+3.38+6.77+3.38+25.38+3.38+3.38+4.23+8.46</f>
        <v>104.05000000000001</v>
      </c>
      <c r="F102" s="958">
        <v>270.16000000000003</v>
      </c>
      <c r="G102" s="959">
        <v>0</v>
      </c>
      <c r="H102" s="959">
        <v>0</v>
      </c>
      <c r="I102" s="960">
        <f t="shared" si="27"/>
        <v>374.21000000000004</v>
      </c>
      <c r="J102" s="961">
        <f t="shared" si="26"/>
        <v>74.842000000000013</v>
      </c>
      <c r="K102" s="962">
        <f t="shared" si="28"/>
        <v>449.05200000000002</v>
      </c>
      <c r="L102" s="537" t="s">
        <v>1251</v>
      </c>
      <c r="M102" s="828" t="s">
        <v>18</v>
      </c>
      <c r="N102" s="1970"/>
    </row>
    <row r="103" spans="1:14" s="600" customFormat="1" x14ac:dyDescent="0.25">
      <c r="A103" s="955">
        <v>44147</v>
      </c>
      <c r="B103" s="956" t="s">
        <v>1256</v>
      </c>
      <c r="C103" s="957">
        <f>0.9+0.4+0.3+1+0.2+0.1+0.4+0.3+0.8+0.1+0.1+0.1+1.5+0.2+0.2+0.3+0.25+0.2</f>
        <v>7.35</v>
      </c>
      <c r="D103" s="925">
        <f t="shared" si="25"/>
        <v>16.919727891156462</v>
      </c>
      <c r="E103" s="958">
        <f>15.23+6.77+5.08+16.92+3.38+1.69+6.77+5.08+13.54+1.69+1.69+1.69+25.38+3.38+3.38+5.08+4.23+3.38</f>
        <v>124.35999999999999</v>
      </c>
      <c r="F103" s="958">
        <v>516.73</v>
      </c>
      <c r="G103" s="959">
        <v>0</v>
      </c>
      <c r="H103" s="959">
        <v>0</v>
      </c>
      <c r="I103" s="960">
        <f t="shared" si="27"/>
        <v>641.09</v>
      </c>
      <c r="J103" s="961">
        <f t="shared" si="26"/>
        <v>128.21800000000002</v>
      </c>
      <c r="K103" s="962">
        <f t="shared" si="28"/>
        <v>769.30799999999999</v>
      </c>
      <c r="L103" s="537" t="s">
        <v>1256</v>
      </c>
      <c r="M103" s="828" t="s">
        <v>38</v>
      </c>
      <c r="N103" s="1970"/>
    </row>
    <row r="104" spans="1:14" s="600" customFormat="1" x14ac:dyDescent="0.25">
      <c r="A104" s="955">
        <v>44146</v>
      </c>
      <c r="B104" s="956" t="s">
        <v>1257</v>
      </c>
      <c r="C104" s="957">
        <v>1E-4</v>
      </c>
      <c r="D104" s="925">
        <f t="shared" si="25"/>
        <v>16.919999999999998</v>
      </c>
      <c r="E104" s="958">
        <v>1.6919999999999999E-3</v>
      </c>
      <c r="F104" s="958">
        <v>0</v>
      </c>
      <c r="G104" s="959">
        <v>0</v>
      </c>
      <c r="H104" s="959">
        <v>66</v>
      </c>
      <c r="I104" s="960">
        <f t="shared" si="27"/>
        <v>66.001692000000006</v>
      </c>
      <c r="J104" s="961">
        <f t="shared" si="26"/>
        <v>13.200338400000001</v>
      </c>
      <c r="K104" s="962">
        <f t="shared" si="28"/>
        <v>79.202030400000012</v>
      </c>
      <c r="L104" s="537" t="s">
        <v>1257</v>
      </c>
      <c r="M104" s="828" t="s">
        <v>1258</v>
      </c>
      <c r="N104" s="1970"/>
    </row>
    <row r="105" spans="1:14" s="600" customFormat="1" x14ac:dyDescent="0.25">
      <c r="A105" s="955">
        <v>44146</v>
      </c>
      <c r="B105" s="956" t="s">
        <v>1259</v>
      </c>
      <c r="C105" s="957">
        <v>1E-4</v>
      </c>
      <c r="D105" s="925">
        <f t="shared" si="25"/>
        <v>16.919999999999998</v>
      </c>
      <c r="E105" s="958">
        <v>1.6919999999999999E-3</v>
      </c>
      <c r="F105" s="958">
        <v>0</v>
      </c>
      <c r="G105" s="959">
        <v>0</v>
      </c>
      <c r="H105" s="959">
        <v>79.75</v>
      </c>
      <c r="I105" s="960">
        <f t="shared" si="27"/>
        <v>79.751692000000006</v>
      </c>
      <c r="J105" s="961">
        <f t="shared" si="26"/>
        <v>15.950338400000001</v>
      </c>
      <c r="K105" s="962">
        <f t="shared" si="28"/>
        <v>95.702030400000012</v>
      </c>
      <c r="L105" s="537" t="s">
        <v>1259</v>
      </c>
      <c r="M105" s="828" t="s">
        <v>1260</v>
      </c>
      <c r="N105" s="1970"/>
    </row>
    <row r="106" spans="1:14" s="600" customFormat="1" x14ac:dyDescent="0.25">
      <c r="A106" s="955">
        <v>44161</v>
      </c>
      <c r="B106" s="956" t="s">
        <v>1262</v>
      </c>
      <c r="C106" s="957">
        <v>2</v>
      </c>
      <c r="D106" s="925">
        <f t="shared" si="25"/>
        <v>16.920000000000002</v>
      </c>
      <c r="E106" s="958">
        <f>16.92+16.92</f>
        <v>33.840000000000003</v>
      </c>
      <c r="F106" s="958">
        <v>0</v>
      </c>
      <c r="G106" s="959">
        <v>0</v>
      </c>
      <c r="H106" s="959">
        <v>66.67</v>
      </c>
      <c r="I106" s="960">
        <f t="shared" si="27"/>
        <v>100.51</v>
      </c>
      <c r="J106" s="961">
        <f t="shared" si="26"/>
        <v>20.102000000000004</v>
      </c>
      <c r="K106" s="962">
        <f t="shared" si="28"/>
        <v>120.61200000000001</v>
      </c>
      <c r="L106" s="537" t="s">
        <v>1262</v>
      </c>
      <c r="M106" s="828" t="s">
        <v>40</v>
      </c>
      <c r="N106" s="1970" t="s">
        <v>471</v>
      </c>
    </row>
    <row r="107" spans="1:14" s="7" customFormat="1" x14ac:dyDescent="0.25">
      <c r="A107" s="972">
        <v>44167</v>
      </c>
      <c r="B107" s="910" t="s">
        <v>1289</v>
      </c>
      <c r="C107" s="1075">
        <f>1+0.3+0.3+0.1+0.9</f>
        <v>2.6</v>
      </c>
      <c r="D107" s="141">
        <f t="shared" si="25"/>
        <v>16.923076923076923</v>
      </c>
      <c r="E107" s="973">
        <f>16.92+5.08+5.08+1.69+15.23</f>
        <v>44</v>
      </c>
      <c r="F107" s="973">
        <v>3.96</v>
      </c>
      <c r="G107" s="974">
        <v>0</v>
      </c>
      <c r="H107" s="974">
        <v>0</v>
      </c>
      <c r="I107" s="1076">
        <f t="shared" si="27"/>
        <v>47.96</v>
      </c>
      <c r="J107" s="1077">
        <f t="shared" si="26"/>
        <v>9.5920000000000005</v>
      </c>
      <c r="K107" s="1078">
        <f t="shared" si="28"/>
        <v>57.552</v>
      </c>
      <c r="L107" s="750" t="s">
        <v>1290</v>
      </c>
      <c r="M107" s="800" t="s">
        <v>36</v>
      </c>
      <c r="N107" s="1791"/>
    </row>
    <row r="108" spans="1:14" s="7" customFormat="1" x14ac:dyDescent="0.25">
      <c r="A108" s="972">
        <v>44200</v>
      </c>
      <c r="B108" s="910" t="s">
        <v>1282</v>
      </c>
      <c r="C108" s="1075">
        <f>1.9+0.3</f>
        <v>2.1999999999999997</v>
      </c>
      <c r="D108" s="141">
        <f t="shared" si="25"/>
        <v>16.922727272727272</v>
      </c>
      <c r="E108" s="973">
        <f>32.15+5.08</f>
        <v>37.229999999999997</v>
      </c>
      <c r="F108" s="973">
        <v>566.87</v>
      </c>
      <c r="G108" s="974">
        <v>0</v>
      </c>
      <c r="H108" s="974">
        <v>0</v>
      </c>
      <c r="I108" s="1076">
        <f t="shared" si="27"/>
        <v>604.1</v>
      </c>
      <c r="J108" s="1077">
        <f t="shared" si="26"/>
        <v>120.82000000000001</v>
      </c>
      <c r="K108" s="1078">
        <f t="shared" si="28"/>
        <v>724.92000000000007</v>
      </c>
      <c r="L108" s="750" t="s">
        <v>1283</v>
      </c>
      <c r="M108" s="800" t="s">
        <v>36</v>
      </c>
      <c r="N108" s="1791"/>
    </row>
    <row r="109" spans="1:14" s="600" customFormat="1" x14ac:dyDescent="0.25">
      <c r="A109" s="955">
        <v>44186</v>
      </c>
      <c r="B109" s="956" t="s">
        <v>1265</v>
      </c>
      <c r="C109" s="957">
        <f>0.5+0.2+0.2+0.1+0.25</f>
        <v>1.25</v>
      </c>
      <c r="D109" s="925">
        <f t="shared" si="25"/>
        <v>16.911999999999999</v>
      </c>
      <c r="E109" s="958">
        <f>8.46+3.38+3.38+1.69+4.23</f>
        <v>21.14</v>
      </c>
      <c r="F109" s="958">
        <v>63.52</v>
      </c>
      <c r="G109" s="959">
        <v>0</v>
      </c>
      <c r="H109" s="959">
        <v>0</v>
      </c>
      <c r="I109" s="960">
        <f t="shared" si="27"/>
        <v>84.66</v>
      </c>
      <c r="J109" s="961">
        <f t="shared" si="26"/>
        <v>16.931999999999999</v>
      </c>
      <c r="K109" s="962">
        <f t="shared" si="28"/>
        <v>101.592</v>
      </c>
      <c r="L109" s="537" t="s">
        <v>1265</v>
      </c>
      <c r="M109" s="828" t="s">
        <v>185</v>
      </c>
      <c r="N109" s="1970"/>
    </row>
    <row r="110" spans="1:14" s="600" customFormat="1" x14ac:dyDescent="0.25">
      <c r="A110" s="955">
        <v>44250</v>
      </c>
      <c r="B110" s="956" t="s">
        <v>1271</v>
      </c>
      <c r="C110" s="957">
        <f>1.7+1+0.3+0.3+0.3+0.25+1+0.6</f>
        <v>5.4499999999999993</v>
      </c>
      <c r="D110" s="925">
        <f t="shared" si="25"/>
        <v>16.921100917431197</v>
      </c>
      <c r="E110" s="925">
        <f>28.76+16.92+5.08+5.08+5.08+4.23+16.92+10.15</f>
        <v>92.220000000000013</v>
      </c>
      <c r="F110" s="958">
        <v>65.510000000000005</v>
      </c>
      <c r="G110" s="959">
        <v>0</v>
      </c>
      <c r="H110" s="959">
        <v>0</v>
      </c>
      <c r="I110" s="960">
        <f t="shared" si="27"/>
        <v>157.73000000000002</v>
      </c>
      <c r="J110" s="961">
        <f t="shared" si="26"/>
        <v>31.546000000000006</v>
      </c>
      <c r="K110" s="962">
        <f t="shared" si="28"/>
        <v>189.27600000000001</v>
      </c>
      <c r="L110" s="537" t="s">
        <v>1271</v>
      </c>
      <c r="M110" s="828" t="s">
        <v>20</v>
      </c>
      <c r="N110" s="1970"/>
    </row>
    <row r="111" spans="1:14" s="600" customFormat="1" x14ac:dyDescent="0.25">
      <c r="A111" s="955">
        <v>44250</v>
      </c>
      <c r="B111" s="956" t="s">
        <v>1275</v>
      </c>
      <c r="C111" s="957">
        <f>1.9+0.5+0.5+0.1+1+0.2+1.5+0.2+0.2+0.2+0.25</f>
        <v>6.5500000000000007</v>
      </c>
      <c r="D111" s="925">
        <f t="shared" si="25"/>
        <v>16.917557251908395</v>
      </c>
      <c r="E111" s="925">
        <f>32.15+8.46+8.46+1.69+16.92+3.38+25.38+3.38+3.38+3.38+4.23</f>
        <v>110.80999999999999</v>
      </c>
      <c r="F111" s="958">
        <v>224.76</v>
      </c>
      <c r="G111" s="959">
        <v>0</v>
      </c>
      <c r="H111" s="959">
        <v>0</v>
      </c>
      <c r="I111" s="960">
        <f t="shared" si="27"/>
        <v>335.57</v>
      </c>
      <c r="J111" s="961">
        <f t="shared" si="26"/>
        <v>67.114000000000004</v>
      </c>
      <c r="K111" s="962">
        <f t="shared" si="28"/>
        <v>402.68399999999997</v>
      </c>
      <c r="L111" s="537" t="s">
        <v>1275</v>
      </c>
      <c r="M111" s="828" t="s">
        <v>36</v>
      </c>
      <c r="N111" s="1970"/>
    </row>
    <row r="112" spans="1:14" s="600" customFormat="1" x14ac:dyDescent="0.25">
      <c r="A112" s="955">
        <v>44250</v>
      </c>
      <c r="B112" s="956" t="s">
        <v>1278</v>
      </c>
      <c r="C112" s="957">
        <f>1+0.4+1.5+0.6+0.4+0.3+0.25</f>
        <v>4.45</v>
      </c>
      <c r="D112" s="925">
        <f t="shared" si="25"/>
        <v>16.921348314606739</v>
      </c>
      <c r="E112" s="925">
        <f>16.92+6.77+25.38+10.15+6.77+5.08+4.23</f>
        <v>75.3</v>
      </c>
      <c r="F112" s="958">
        <v>172.55</v>
      </c>
      <c r="G112" s="959">
        <v>0</v>
      </c>
      <c r="H112" s="959">
        <v>100</v>
      </c>
      <c r="I112" s="960">
        <f t="shared" si="27"/>
        <v>347.85</v>
      </c>
      <c r="J112" s="961">
        <f t="shared" si="26"/>
        <v>69.570000000000007</v>
      </c>
      <c r="K112" s="962">
        <f t="shared" si="28"/>
        <v>417.42</v>
      </c>
      <c r="L112" s="537" t="s">
        <v>1278</v>
      </c>
      <c r="M112" s="828" t="s">
        <v>25</v>
      </c>
      <c r="N112" s="1970"/>
    </row>
    <row r="113" spans="1:14" s="600" customFormat="1" x14ac:dyDescent="0.25">
      <c r="A113" s="955">
        <v>44270</v>
      </c>
      <c r="B113" s="956" t="s">
        <v>1305</v>
      </c>
      <c r="C113" s="957">
        <f>0.1+0.2+1.5+0.2+1+0.25+1+0.8</f>
        <v>5.05</v>
      </c>
      <c r="D113" s="925">
        <f t="shared" si="25"/>
        <v>16.91881188118812</v>
      </c>
      <c r="E113" s="925">
        <v>85.44</v>
      </c>
      <c r="F113" s="958">
        <v>164.91</v>
      </c>
      <c r="G113" s="959">
        <v>0</v>
      </c>
      <c r="H113" s="959">
        <v>0</v>
      </c>
      <c r="I113" s="960">
        <f t="shared" ref="I113:I132" si="29">SUM(E113:H113)</f>
        <v>250.35</v>
      </c>
      <c r="J113" s="961">
        <f t="shared" si="26"/>
        <v>50.07</v>
      </c>
      <c r="K113" s="962">
        <f t="shared" ref="K113:K132" si="30">SUM(I113:J113)</f>
        <v>300.42</v>
      </c>
      <c r="L113" s="537" t="s">
        <v>1305</v>
      </c>
      <c r="M113" s="828" t="s">
        <v>11</v>
      </c>
      <c r="N113" s="1970"/>
    </row>
    <row r="114" spans="1:14" s="600" customFormat="1" x14ac:dyDescent="0.25">
      <c r="A114" s="955">
        <v>44267</v>
      </c>
      <c r="B114" s="956" t="s">
        <v>1308</v>
      </c>
      <c r="C114" s="957">
        <f>0.9+0.5+0.3+0.5+0.1+1.5+0.2+0.3+0.3+0.4+0.25+0.2</f>
        <v>5.45</v>
      </c>
      <c r="D114" s="925">
        <f t="shared" ref="D114:D132" si="31">E114/C114</f>
        <v>16.921100917431193</v>
      </c>
      <c r="E114" s="925">
        <v>92.22</v>
      </c>
      <c r="F114" s="958">
        <v>197.87</v>
      </c>
      <c r="G114" s="959">
        <v>0</v>
      </c>
      <c r="H114" s="959">
        <v>0</v>
      </c>
      <c r="I114" s="960">
        <f t="shared" si="29"/>
        <v>290.09000000000003</v>
      </c>
      <c r="J114" s="961">
        <f t="shared" ref="J114:J132" si="32">I114*$J$19</f>
        <v>58.018000000000008</v>
      </c>
      <c r="K114" s="962">
        <f t="shared" si="30"/>
        <v>348.10800000000006</v>
      </c>
      <c r="L114" s="537" t="s">
        <v>1308</v>
      </c>
      <c r="M114" s="828" t="s">
        <v>713</v>
      </c>
      <c r="N114" s="1970"/>
    </row>
    <row r="115" spans="1:14" s="600" customFormat="1" x14ac:dyDescent="0.25">
      <c r="A115" s="955">
        <v>44292</v>
      </c>
      <c r="B115" s="956" t="s">
        <v>1311</v>
      </c>
      <c r="C115" s="957">
        <f>0.6+1.3+0.5+0.25</f>
        <v>2.65</v>
      </c>
      <c r="D115" s="925">
        <f t="shared" si="31"/>
        <v>16.920754716981133</v>
      </c>
      <c r="E115" s="925">
        <f>10.15+22+8.46+4.23</f>
        <v>44.84</v>
      </c>
      <c r="F115" s="958">
        <v>135.69999999999999</v>
      </c>
      <c r="G115" s="959">
        <v>0</v>
      </c>
      <c r="H115" s="959">
        <v>0</v>
      </c>
      <c r="I115" s="960">
        <f t="shared" si="29"/>
        <v>180.54</v>
      </c>
      <c r="J115" s="961">
        <f t="shared" si="32"/>
        <v>36.107999999999997</v>
      </c>
      <c r="K115" s="962">
        <f t="shared" si="30"/>
        <v>216.648</v>
      </c>
      <c r="L115" s="537" t="s">
        <v>1311</v>
      </c>
      <c r="M115" s="828" t="s">
        <v>28</v>
      </c>
      <c r="N115" s="1970"/>
    </row>
    <row r="116" spans="1:14" s="600" customFormat="1" x14ac:dyDescent="0.25">
      <c r="A116" s="955">
        <v>44310</v>
      </c>
      <c r="B116" s="956" t="s">
        <v>1322</v>
      </c>
      <c r="C116" s="957">
        <f>0.2+0.2+0.25</f>
        <v>0.65</v>
      </c>
      <c r="D116" s="925">
        <f t="shared" si="31"/>
        <v>16.907692307692308</v>
      </c>
      <c r="E116" s="925">
        <f>3.38+3.38+4.23</f>
        <v>10.99</v>
      </c>
      <c r="F116" s="958">
        <v>46.98</v>
      </c>
      <c r="G116" s="959">
        <v>0</v>
      </c>
      <c r="H116" s="959">
        <v>0</v>
      </c>
      <c r="I116" s="960">
        <f t="shared" si="29"/>
        <v>57.97</v>
      </c>
      <c r="J116" s="961">
        <f t="shared" si="32"/>
        <v>11.594000000000001</v>
      </c>
      <c r="K116" s="962">
        <f t="shared" si="30"/>
        <v>69.563999999999993</v>
      </c>
      <c r="L116" s="537" t="s">
        <v>1322</v>
      </c>
      <c r="M116" s="828" t="s">
        <v>594</v>
      </c>
      <c r="N116" s="1970"/>
    </row>
    <row r="117" spans="1:14" s="600" customFormat="1" x14ac:dyDescent="0.25">
      <c r="A117" s="955">
        <v>44328</v>
      </c>
      <c r="B117" s="956" t="s">
        <v>1337</v>
      </c>
      <c r="C117" s="957">
        <f>0.5+1.2+0.6+0.5+1+0.2+0.4+0.25</f>
        <v>4.6500000000000004</v>
      </c>
      <c r="D117" s="925">
        <f t="shared" si="31"/>
        <v>16.918279569892473</v>
      </c>
      <c r="E117" s="925">
        <f>8.46+20.3+10.15+8.46+16.92+3.38+6.77+4.23</f>
        <v>78.67</v>
      </c>
      <c r="F117" s="958">
        <v>191.02</v>
      </c>
      <c r="G117" s="959">
        <v>0</v>
      </c>
      <c r="H117" s="959">
        <v>0</v>
      </c>
      <c r="I117" s="960">
        <f t="shared" si="29"/>
        <v>269.69</v>
      </c>
      <c r="J117" s="961">
        <f t="shared" si="32"/>
        <v>53.938000000000002</v>
      </c>
      <c r="K117" s="962">
        <f t="shared" si="30"/>
        <v>323.62799999999999</v>
      </c>
      <c r="L117" s="537" t="s">
        <v>1337</v>
      </c>
      <c r="M117" s="828" t="s">
        <v>28</v>
      </c>
      <c r="N117" s="1970"/>
    </row>
    <row r="118" spans="1:14" s="600" customFormat="1" x14ac:dyDescent="0.25">
      <c r="A118" s="955">
        <v>44334</v>
      </c>
      <c r="B118" s="956" t="s">
        <v>1342</v>
      </c>
      <c r="C118" s="957">
        <f>1+0.3+0.1+0.4+0.4+1.9+0.4+0.4+0.9+0.5+0.3+0.3+0.25+0.3+0.2</f>
        <v>7.65</v>
      </c>
      <c r="D118" s="925">
        <f t="shared" si="31"/>
        <v>16.922875816993461</v>
      </c>
      <c r="E118" s="925">
        <f>16.92+5.08+1.69+6.77+6.77+32.15+6.77+6.77+15.23+8.46+5.08+5.08+4.23+5.08+3.38</f>
        <v>129.45999999999998</v>
      </c>
      <c r="F118" s="958">
        <v>1038.56</v>
      </c>
      <c r="G118" s="959">
        <v>0</v>
      </c>
      <c r="H118" s="959">
        <v>0</v>
      </c>
      <c r="I118" s="960">
        <f t="shared" si="29"/>
        <v>1168.02</v>
      </c>
      <c r="J118" s="961">
        <f t="shared" si="32"/>
        <v>233.60400000000001</v>
      </c>
      <c r="K118" s="962">
        <f t="shared" si="30"/>
        <v>1401.624</v>
      </c>
      <c r="L118" s="537" t="s">
        <v>1342</v>
      </c>
      <c r="M118" s="828" t="s">
        <v>20</v>
      </c>
      <c r="N118" s="1970"/>
    </row>
    <row r="119" spans="1:14" s="600" customFormat="1" x14ac:dyDescent="0.25">
      <c r="A119" s="955">
        <v>44340</v>
      </c>
      <c r="B119" s="956" t="s">
        <v>1346</v>
      </c>
      <c r="C119" s="957">
        <f>1.1+2+1+0.4+0.5+0.4+0.3</f>
        <v>5.7</v>
      </c>
      <c r="D119" s="925">
        <f t="shared" si="31"/>
        <v>16.921052631578945</v>
      </c>
      <c r="E119" s="925">
        <f>18.61+33.84+16.92+6.77+8.46+6.77+5.08</f>
        <v>96.449999999999989</v>
      </c>
      <c r="F119" s="958">
        <v>612.95000000000005</v>
      </c>
      <c r="G119" s="959">
        <v>0</v>
      </c>
      <c r="H119" s="959">
        <v>0</v>
      </c>
      <c r="I119" s="960">
        <f t="shared" si="29"/>
        <v>709.40000000000009</v>
      </c>
      <c r="J119" s="961">
        <f t="shared" si="32"/>
        <v>141.88000000000002</v>
      </c>
      <c r="K119" s="962">
        <f t="shared" si="30"/>
        <v>851.28000000000009</v>
      </c>
      <c r="L119" s="537" t="s">
        <v>1342</v>
      </c>
      <c r="M119" s="828" t="s">
        <v>28</v>
      </c>
      <c r="N119" s="1970"/>
    </row>
    <row r="120" spans="1:14" s="600" customFormat="1" x14ac:dyDescent="0.25">
      <c r="A120" s="955">
        <v>44340</v>
      </c>
      <c r="B120" s="956" t="s">
        <v>1350</v>
      </c>
      <c r="C120" s="957">
        <v>1E-4</v>
      </c>
      <c r="D120" s="925">
        <f t="shared" si="31"/>
        <v>16.919999999999998</v>
      </c>
      <c r="E120" s="958">
        <v>1.6919999999999999E-3</v>
      </c>
      <c r="F120" s="958">
        <v>0</v>
      </c>
      <c r="G120" s="959">
        <v>0</v>
      </c>
      <c r="H120" s="959">
        <v>1615.72</v>
      </c>
      <c r="I120" s="960">
        <f t="shared" si="29"/>
        <v>1615.7216920000001</v>
      </c>
      <c r="J120" s="961">
        <f t="shared" si="32"/>
        <v>323.14433840000004</v>
      </c>
      <c r="K120" s="962">
        <f t="shared" si="30"/>
        <v>1938.8660304</v>
      </c>
      <c r="L120" s="537" t="s">
        <v>1350</v>
      </c>
      <c r="M120" s="828" t="s">
        <v>215</v>
      </c>
      <c r="N120" s="1970"/>
    </row>
    <row r="121" spans="1:14" s="600" customFormat="1" x14ac:dyDescent="0.25">
      <c r="A121" s="955">
        <v>44354</v>
      </c>
      <c r="B121" s="956" t="s">
        <v>1396</v>
      </c>
      <c r="C121" s="957">
        <f>1+0.6+0.5</f>
        <v>2.1</v>
      </c>
      <c r="D121" s="925">
        <f t="shared" si="31"/>
        <v>16.919047619047618</v>
      </c>
      <c r="E121" s="958">
        <f>16.92+10.15+8.46</f>
        <v>35.53</v>
      </c>
      <c r="F121" s="958">
        <v>12.24</v>
      </c>
      <c r="G121" s="959">
        <v>0</v>
      </c>
      <c r="H121" s="959">
        <v>0</v>
      </c>
      <c r="I121" s="960">
        <f t="shared" si="29"/>
        <v>47.77</v>
      </c>
      <c r="J121" s="961">
        <f t="shared" si="32"/>
        <v>9.5540000000000003</v>
      </c>
      <c r="K121" s="962">
        <f t="shared" si="30"/>
        <v>57.324000000000005</v>
      </c>
      <c r="L121" s="537" t="s">
        <v>1396</v>
      </c>
      <c r="M121" s="828" t="s">
        <v>33</v>
      </c>
      <c r="N121" s="1970"/>
    </row>
    <row r="122" spans="1:14" s="600" customFormat="1" x14ac:dyDescent="0.25">
      <c r="A122" s="955">
        <v>44368</v>
      </c>
      <c r="B122" s="956" t="s">
        <v>1398</v>
      </c>
      <c r="C122" s="957">
        <f>2.5+0.1+0.25+0.5</f>
        <v>3.35</v>
      </c>
      <c r="D122" s="925">
        <f t="shared" si="31"/>
        <v>16.919402985074626</v>
      </c>
      <c r="E122" s="958">
        <f>42.3+1.69+4.23+8.46</f>
        <v>56.68</v>
      </c>
      <c r="F122" s="958">
        <v>8.6999999999999993</v>
      </c>
      <c r="G122" s="959">
        <v>0</v>
      </c>
      <c r="H122" s="959">
        <v>0</v>
      </c>
      <c r="I122" s="960">
        <f t="shared" si="29"/>
        <v>65.38</v>
      </c>
      <c r="J122" s="961">
        <f t="shared" si="32"/>
        <v>13.076000000000001</v>
      </c>
      <c r="K122" s="962">
        <f t="shared" si="30"/>
        <v>78.455999999999989</v>
      </c>
      <c r="L122" s="537" t="s">
        <v>1398</v>
      </c>
      <c r="M122" s="828" t="s">
        <v>20</v>
      </c>
      <c r="N122" s="1970"/>
    </row>
    <row r="123" spans="1:14" s="600" customFormat="1" x14ac:dyDescent="0.25">
      <c r="A123" s="955">
        <v>44397</v>
      </c>
      <c r="B123" s="956" t="s">
        <v>1403</v>
      </c>
      <c r="C123" s="957">
        <v>1.1000000000000001</v>
      </c>
      <c r="D123" s="925">
        <f t="shared" si="31"/>
        <v>16.918181818181818</v>
      </c>
      <c r="E123" s="958">
        <f>16.92+1.69</f>
        <v>18.610000000000003</v>
      </c>
      <c r="F123" s="958">
        <v>1.67</v>
      </c>
      <c r="G123" s="959">
        <v>0</v>
      </c>
      <c r="H123" s="959">
        <v>0</v>
      </c>
      <c r="I123" s="960">
        <f t="shared" si="29"/>
        <v>20.28</v>
      </c>
      <c r="J123" s="961">
        <f t="shared" si="32"/>
        <v>4.056</v>
      </c>
      <c r="K123" s="962">
        <f t="shared" si="30"/>
        <v>24.336000000000002</v>
      </c>
      <c r="L123" s="537" t="s">
        <v>1403</v>
      </c>
      <c r="M123" s="828" t="s">
        <v>20</v>
      </c>
      <c r="N123" s="1970"/>
    </row>
    <row r="124" spans="1:14" s="600" customFormat="1" x14ac:dyDescent="0.25">
      <c r="A124" s="955">
        <v>44392</v>
      </c>
      <c r="B124" s="956" t="s">
        <v>1406</v>
      </c>
      <c r="C124" s="957">
        <f>1+1+0.5+0.3+0.6+0.2</f>
        <v>3.6</v>
      </c>
      <c r="D124" s="925">
        <f t="shared" si="31"/>
        <v>16.919444444444444</v>
      </c>
      <c r="E124" s="958">
        <f>16.92+16.92+8.46+5.08+10.15+3.38</f>
        <v>60.910000000000004</v>
      </c>
      <c r="F124" s="958">
        <v>35.840000000000003</v>
      </c>
      <c r="G124" s="959">
        <v>0</v>
      </c>
      <c r="H124" s="959">
        <v>0</v>
      </c>
      <c r="I124" s="960">
        <f t="shared" si="29"/>
        <v>96.75</v>
      </c>
      <c r="J124" s="961">
        <f t="shared" si="32"/>
        <v>19.350000000000001</v>
      </c>
      <c r="K124" s="962">
        <f t="shared" si="30"/>
        <v>116.1</v>
      </c>
      <c r="L124" s="537" t="s">
        <v>1406</v>
      </c>
      <c r="M124" s="828" t="s">
        <v>36</v>
      </c>
      <c r="N124" s="1970"/>
    </row>
    <row r="125" spans="1:14" s="600" customFormat="1" x14ac:dyDescent="0.25">
      <c r="A125" s="955">
        <v>44406</v>
      </c>
      <c r="B125" s="956" t="s">
        <v>1445</v>
      </c>
      <c r="C125" s="957">
        <v>1E-4</v>
      </c>
      <c r="D125" s="925">
        <f t="shared" si="31"/>
        <v>16.919999999999998</v>
      </c>
      <c r="E125" s="958">
        <v>1.6919999999999999E-3</v>
      </c>
      <c r="F125" s="958">
        <v>17.88</v>
      </c>
      <c r="G125" s="959">
        <v>0</v>
      </c>
      <c r="H125" s="959">
        <v>30.34</v>
      </c>
      <c r="I125" s="960">
        <f t="shared" si="29"/>
        <v>48.221691999999997</v>
      </c>
      <c r="J125" s="961">
        <f t="shared" si="32"/>
        <v>9.6443384000000005</v>
      </c>
      <c r="K125" s="962">
        <f t="shared" si="30"/>
        <v>57.8660304</v>
      </c>
      <c r="L125" s="537" t="s">
        <v>1445</v>
      </c>
      <c r="M125" s="828" t="s">
        <v>215</v>
      </c>
      <c r="N125" s="1970"/>
    </row>
    <row r="126" spans="1:14" s="600" customFormat="1" x14ac:dyDescent="0.25">
      <c r="A126" s="955">
        <v>44445</v>
      </c>
      <c r="B126" s="956" t="s">
        <v>1449</v>
      </c>
      <c r="C126" s="957">
        <f>1+0.5+0.25</f>
        <v>1.75</v>
      </c>
      <c r="D126" s="925">
        <f t="shared" si="31"/>
        <v>16.920000000000002</v>
      </c>
      <c r="E126" s="958">
        <f>16.92+8.46+4.23</f>
        <v>29.610000000000003</v>
      </c>
      <c r="F126" s="958">
        <v>7.05</v>
      </c>
      <c r="G126" s="959">
        <v>0</v>
      </c>
      <c r="H126" s="959">
        <v>0</v>
      </c>
      <c r="I126" s="960">
        <f t="shared" si="29"/>
        <v>36.660000000000004</v>
      </c>
      <c r="J126" s="961">
        <f t="shared" si="32"/>
        <v>7.3320000000000007</v>
      </c>
      <c r="K126" s="962">
        <f t="shared" si="30"/>
        <v>43.992000000000004</v>
      </c>
      <c r="L126" s="537" t="s">
        <v>1449</v>
      </c>
      <c r="M126" s="828" t="s">
        <v>28</v>
      </c>
      <c r="N126" s="1970"/>
    </row>
    <row r="127" spans="1:14" s="600" customFormat="1" x14ac:dyDescent="0.25">
      <c r="A127" s="955">
        <v>44466</v>
      </c>
      <c r="B127" s="956" t="s">
        <v>1455</v>
      </c>
      <c r="C127" s="957">
        <f>0.5+0.7+0.7+0.5+0.7+1+0.5+0.25+0.2</f>
        <v>5.05</v>
      </c>
      <c r="D127" s="925">
        <f t="shared" si="31"/>
        <v>16.916831683168315</v>
      </c>
      <c r="E127" s="958">
        <f>8.46+11.84+11.84+8.46+11.84+16.92+8.46+4.23+3.38</f>
        <v>85.429999999999993</v>
      </c>
      <c r="F127" s="958">
        <v>351.99</v>
      </c>
      <c r="G127" s="959">
        <v>0</v>
      </c>
      <c r="H127" s="959">
        <v>0</v>
      </c>
      <c r="I127" s="960">
        <f t="shared" si="29"/>
        <v>437.42</v>
      </c>
      <c r="J127" s="961">
        <f t="shared" si="32"/>
        <v>87.484000000000009</v>
      </c>
      <c r="K127" s="962">
        <f t="shared" si="30"/>
        <v>524.904</v>
      </c>
      <c r="L127" s="537" t="s">
        <v>1455</v>
      </c>
      <c r="M127" s="828" t="s">
        <v>20</v>
      </c>
      <c r="N127" s="1970"/>
    </row>
    <row r="128" spans="1:14" s="600" customFormat="1" x14ac:dyDescent="0.25">
      <c r="A128" s="955">
        <v>44489</v>
      </c>
      <c r="B128" s="956" t="s">
        <v>1457</v>
      </c>
      <c r="C128" s="957">
        <f>0.9+0.5+1+0.1+0.2+1.5+0.2+0.2+0.25+0.2</f>
        <v>5.0500000000000007</v>
      </c>
      <c r="D128" s="925">
        <f t="shared" si="31"/>
        <v>16.916831683168311</v>
      </c>
      <c r="E128" s="958">
        <f>15.23+8.46+16.92+1.69+3.38+25.38+3.38+3.38+4.23+3.38</f>
        <v>85.429999999999993</v>
      </c>
      <c r="F128" s="958">
        <v>174.97</v>
      </c>
      <c r="G128" s="959">
        <v>0</v>
      </c>
      <c r="H128" s="959">
        <v>0</v>
      </c>
      <c r="I128" s="960">
        <f t="shared" si="29"/>
        <v>260.39999999999998</v>
      </c>
      <c r="J128" s="961">
        <f t="shared" si="32"/>
        <v>52.08</v>
      </c>
      <c r="K128" s="962">
        <f t="shared" si="30"/>
        <v>312.47999999999996</v>
      </c>
      <c r="L128" s="537" t="s">
        <v>1457</v>
      </c>
      <c r="M128" s="828" t="s">
        <v>18</v>
      </c>
      <c r="N128" s="1970"/>
    </row>
    <row r="129" spans="1:14" s="600" customFormat="1" x14ac:dyDescent="0.25">
      <c r="A129" s="955">
        <v>44503</v>
      </c>
      <c r="B129" s="956" t="s">
        <v>1462</v>
      </c>
      <c r="C129" s="957">
        <f>1+0.2+0.3+0.5+0.9+0.7+3.2+0.6+0.6+0.25</f>
        <v>8.25</v>
      </c>
      <c r="D129" s="925">
        <f t="shared" si="31"/>
        <v>16.918787878787882</v>
      </c>
      <c r="E129" s="958">
        <f>16.92+3.38+5.08+8.46+15.23+11.84+54.14+10.15+10.15+4.23</f>
        <v>139.58000000000001</v>
      </c>
      <c r="F129" s="958">
        <v>845.7</v>
      </c>
      <c r="G129" s="959">
        <v>0</v>
      </c>
      <c r="H129" s="959">
        <v>0</v>
      </c>
      <c r="I129" s="960">
        <f t="shared" si="29"/>
        <v>985.28000000000009</v>
      </c>
      <c r="J129" s="961">
        <f t="shared" si="32"/>
        <v>197.05600000000004</v>
      </c>
      <c r="K129" s="962">
        <f t="shared" si="30"/>
        <v>1182.3360000000002</v>
      </c>
      <c r="L129" s="537" t="s">
        <v>1462</v>
      </c>
      <c r="M129" s="828" t="s">
        <v>36</v>
      </c>
      <c r="N129" s="1970"/>
    </row>
    <row r="130" spans="1:14" s="600" customFormat="1" x14ac:dyDescent="0.25">
      <c r="A130" s="955">
        <v>44508</v>
      </c>
      <c r="B130" s="956" t="s">
        <v>1466</v>
      </c>
      <c r="C130" s="957">
        <f>0.5+0.8+0.25+0.1</f>
        <v>1.6500000000000001</v>
      </c>
      <c r="D130" s="925">
        <f t="shared" si="31"/>
        <v>16.921212121212122</v>
      </c>
      <c r="E130" s="958">
        <f>8.46+13.54+4.23+1.69</f>
        <v>27.92</v>
      </c>
      <c r="F130" s="958">
        <v>56.75</v>
      </c>
      <c r="G130" s="959">
        <v>0</v>
      </c>
      <c r="H130" s="959">
        <v>0</v>
      </c>
      <c r="I130" s="960">
        <f t="shared" si="29"/>
        <v>84.67</v>
      </c>
      <c r="J130" s="961">
        <f t="shared" si="32"/>
        <v>16.934000000000001</v>
      </c>
      <c r="K130" s="962">
        <f t="shared" si="30"/>
        <v>101.604</v>
      </c>
      <c r="L130" s="537" t="s">
        <v>1462</v>
      </c>
      <c r="M130" s="828" t="s">
        <v>36</v>
      </c>
      <c r="N130" s="1970"/>
    </row>
    <row r="131" spans="1:14" s="600" customFormat="1" x14ac:dyDescent="0.25">
      <c r="A131" s="955">
        <v>44466</v>
      </c>
      <c r="B131" s="956" t="s">
        <v>1470</v>
      </c>
      <c r="C131" s="957">
        <v>1E-4</v>
      </c>
      <c r="D131" s="925">
        <f t="shared" si="31"/>
        <v>16.919999999999998</v>
      </c>
      <c r="E131" s="958">
        <v>1.6919999999999999E-3</v>
      </c>
      <c r="F131" s="958">
        <v>0</v>
      </c>
      <c r="G131" s="959">
        <v>0</v>
      </c>
      <c r="H131" s="959">
        <v>1770.05</v>
      </c>
      <c r="I131" s="960">
        <f t="shared" si="29"/>
        <v>1770.051692</v>
      </c>
      <c r="J131" s="961">
        <f t="shared" si="32"/>
        <v>354.01033840000002</v>
      </c>
      <c r="K131" s="962">
        <f t="shared" si="30"/>
        <v>2124.0620303999999</v>
      </c>
      <c r="L131" s="537" t="s">
        <v>1470</v>
      </c>
      <c r="M131" s="828" t="s">
        <v>215</v>
      </c>
      <c r="N131" s="1970"/>
    </row>
    <row r="132" spans="1:14" s="7" customFormat="1" x14ac:dyDescent="0.25">
      <c r="A132" s="972">
        <v>44544</v>
      </c>
      <c r="B132" s="910" t="s">
        <v>1508</v>
      </c>
      <c r="C132" s="1075">
        <f>0.9+0.5+1+0.2+0.4+0.2+1.5+0.2+0.2+0.25</f>
        <v>5.3500000000000005</v>
      </c>
      <c r="D132" s="141">
        <f t="shared" si="31"/>
        <v>16.917757009345795</v>
      </c>
      <c r="E132" s="973">
        <f>15.23+8.46+16.92+3.38+6.77+3.38+25.38+3.38+3.38+4.23</f>
        <v>90.51</v>
      </c>
      <c r="F132" s="973">
        <v>229.07</v>
      </c>
      <c r="G132" s="974">
        <v>0</v>
      </c>
      <c r="H132" s="974">
        <v>0</v>
      </c>
      <c r="I132" s="1076">
        <f t="shared" si="29"/>
        <v>319.58</v>
      </c>
      <c r="J132" s="1077">
        <f t="shared" si="32"/>
        <v>63.915999999999997</v>
      </c>
      <c r="K132" s="1078">
        <f t="shared" si="30"/>
        <v>383.49599999999998</v>
      </c>
      <c r="L132" s="750" t="s">
        <v>1503</v>
      </c>
      <c r="M132" s="800" t="s">
        <v>164</v>
      </c>
      <c r="N132" s="1791"/>
    </row>
    <row r="133" spans="1:14" s="7" customFormat="1" x14ac:dyDescent="0.25">
      <c r="A133" s="972">
        <v>44552</v>
      </c>
      <c r="B133" s="910" t="s">
        <v>1487</v>
      </c>
      <c r="C133" s="1075">
        <f>1.5+0.2+0.1+1.1+1.6</f>
        <v>4.5</v>
      </c>
      <c r="D133" s="141">
        <f t="shared" ref="D133:D139" si="33">E133/C133</f>
        <v>16.917777777777776</v>
      </c>
      <c r="E133" s="973">
        <f>25.38+3.38+1.69+18.61+27.07</f>
        <v>76.13</v>
      </c>
      <c r="F133" s="973">
        <v>44.71</v>
      </c>
      <c r="G133" s="974">
        <v>0</v>
      </c>
      <c r="H133" s="974">
        <v>0</v>
      </c>
      <c r="I133" s="1076">
        <f t="shared" ref="I133:I138" si="34">SUM(E133:H133)</f>
        <v>120.84</v>
      </c>
      <c r="J133" s="1077">
        <f t="shared" ref="J133:J139" si="35">I133*$J$146</f>
        <v>24.168000000000003</v>
      </c>
      <c r="K133" s="1078">
        <f t="shared" ref="K133:K138" si="36">SUM(I133:J133)</f>
        <v>145.00800000000001</v>
      </c>
      <c r="L133" s="1417" t="s">
        <v>1487</v>
      </c>
      <c r="M133" s="1415" t="s">
        <v>1480</v>
      </c>
      <c r="N133" s="1973"/>
    </row>
    <row r="134" spans="1:14" s="7" customFormat="1" x14ac:dyDescent="0.25">
      <c r="A134" s="972">
        <v>44552</v>
      </c>
      <c r="B134" s="910" t="s">
        <v>1519</v>
      </c>
      <c r="C134" s="1075">
        <f>1.1+0.5+1.3+0.4+0.3+0.4+0.2+0.4+0.7+0.9+0.1+0.3+0.4+0.25+1+0.2</f>
        <v>8.4499999999999993</v>
      </c>
      <c r="D134" s="141">
        <f t="shared" si="33"/>
        <v>16.920710059171597</v>
      </c>
      <c r="E134" s="973">
        <f>18.61+8.46+22+6.77+5.08+6.77+3.38+6.77+11.84+15.23+1.69+5.08+6.77+4.23+16.92+3.38</f>
        <v>142.97999999999999</v>
      </c>
      <c r="F134" s="973">
        <v>550.70000000000005</v>
      </c>
      <c r="G134" s="974">
        <v>75</v>
      </c>
      <c r="H134" s="974">
        <v>0</v>
      </c>
      <c r="I134" s="1076">
        <f t="shared" si="34"/>
        <v>768.68000000000006</v>
      </c>
      <c r="J134" s="1077">
        <f t="shared" si="35"/>
        <v>153.73600000000002</v>
      </c>
      <c r="K134" s="1078">
        <f t="shared" si="36"/>
        <v>922.41600000000005</v>
      </c>
      <c r="L134" s="1417" t="s">
        <v>1492</v>
      </c>
      <c r="M134" s="1415" t="s">
        <v>1482</v>
      </c>
      <c r="N134" s="1973"/>
    </row>
    <row r="135" spans="1:14" s="600" customFormat="1" x14ac:dyDescent="0.25">
      <c r="A135" s="955">
        <v>44550</v>
      </c>
      <c r="B135" s="956" t="s">
        <v>1493</v>
      </c>
      <c r="C135" s="957">
        <f>0.9+0.4+0.3+1+0.2+0.2+0.1+0.4+0.1+1.5+0.2+0.2+0.2+0.25</f>
        <v>5.9500000000000011</v>
      </c>
      <c r="D135" s="925">
        <f t="shared" si="33"/>
        <v>16.917647058823523</v>
      </c>
      <c r="E135" s="958">
        <f>15.23+6.77+5.08+16.92+3.38+3.38+1.69+6.77+1.69+25.38+3.38+3.38+3.38+4.23</f>
        <v>100.65999999999998</v>
      </c>
      <c r="F135" s="958">
        <v>238.29</v>
      </c>
      <c r="G135" s="959">
        <v>0</v>
      </c>
      <c r="H135" s="959">
        <v>0</v>
      </c>
      <c r="I135" s="960">
        <f t="shared" si="34"/>
        <v>338.95</v>
      </c>
      <c r="J135" s="961">
        <f t="shared" si="35"/>
        <v>67.790000000000006</v>
      </c>
      <c r="K135" s="962">
        <f t="shared" si="36"/>
        <v>406.74</v>
      </c>
      <c r="L135" s="1419" t="s">
        <v>1492</v>
      </c>
      <c r="M135" s="1420" t="s">
        <v>1482</v>
      </c>
      <c r="N135" s="1971"/>
    </row>
    <row r="136" spans="1:14" s="600" customFormat="1" x14ac:dyDescent="0.25">
      <c r="A136" s="955">
        <v>44581</v>
      </c>
      <c r="B136" s="956" t="s">
        <v>1535</v>
      </c>
      <c r="C136" s="957">
        <f>0.5+0.5+0.2</f>
        <v>1.2</v>
      </c>
      <c r="D136" s="925">
        <f t="shared" si="33"/>
        <v>16.916666666666668</v>
      </c>
      <c r="E136" s="958">
        <f>8.46+8.46+3.38</f>
        <v>20.3</v>
      </c>
      <c r="F136" s="958">
        <v>90.73</v>
      </c>
      <c r="G136" s="959">
        <v>0</v>
      </c>
      <c r="H136" s="959">
        <v>0</v>
      </c>
      <c r="I136" s="960">
        <f t="shared" si="34"/>
        <v>111.03</v>
      </c>
      <c r="J136" s="961">
        <f t="shared" si="35"/>
        <v>22.206000000000003</v>
      </c>
      <c r="K136" s="962">
        <f t="shared" si="36"/>
        <v>133.23599999999999</v>
      </c>
      <c r="L136" s="1419" t="s">
        <v>1535</v>
      </c>
      <c r="M136" s="1420" t="s">
        <v>1482</v>
      </c>
      <c r="N136" s="1971"/>
    </row>
    <row r="137" spans="1:14" s="600" customFormat="1" x14ac:dyDescent="0.25">
      <c r="A137" s="955">
        <v>44582</v>
      </c>
      <c r="B137" s="956" t="s">
        <v>1536</v>
      </c>
      <c r="C137" s="957">
        <f>0.9+0.4+0.3+1.6+0.6+0.8+0.2+0.1+1.5+0.1+0.6+0.4+0.1+1.5+0.2+0.2+0.2+0.25</f>
        <v>9.9499999999999975</v>
      </c>
      <c r="D137" s="925">
        <f t="shared" si="33"/>
        <v>16.918592964824121</v>
      </c>
      <c r="E137" s="958">
        <f>15.23+6.77+5.08+27.07+10.15+13.54+3.38+1.69+25.38+1.69+10.15+6.77+1.69+25.38+3.38+3.38+3.38+4.23</f>
        <v>168.33999999999997</v>
      </c>
      <c r="F137" s="958">
        <v>493.48</v>
      </c>
      <c r="G137" s="959">
        <v>0</v>
      </c>
      <c r="H137" s="959">
        <v>0</v>
      </c>
      <c r="I137" s="960">
        <f t="shared" si="34"/>
        <v>661.81999999999994</v>
      </c>
      <c r="J137" s="961">
        <f t="shared" si="35"/>
        <v>132.364</v>
      </c>
      <c r="K137" s="962">
        <f t="shared" si="36"/>
        <v>794.18399999999997</v>
      </c>
      <c r="L137" s="1419" t="s">
        <v>1536</v>
      </c>
      <c r="M137" s="1420" t="s">
        <v>38</v>
      </c>
      <c r="N137" s="1971"/>
    </row>
    <row r="138" spans="1:14" s="7" customFormat="1" x14ac:dyDescent="0.25">
      <c r="A138" s="972">
        <v>44601</v>
      </c>
      <c r="B138" s="910" t="s">
        <v>1548</v>
      </c>
      <c r="C138" s="1075">
        <f>0.6+1.5+0.5</f>
        <v>2.6</v>
      </c>
      <c r="D138" s="141">
        <f t="shared" si="33"/>
        <v>16.919230769230769</v>
      </c>
      <c r="E138" s="973">
        <f>10.15+25.38+8.46</f>
        <v>43.99</v>
      </c>
      <c r="F138" s="973">
        <v>38.229999999999997</v>
      </c>
      <c r="G138" s="974">
        <v>0</v>
      </c>
      <c r="H138" s="974">
        <v>0</v>
      </c>
      <c r="I138" s="1076">
        <f t="shared" si="34"/>
        <v>82.22</v>
      </c>
      <c r="J138" s="1077">
        <f t="shared" si="35"/>
        <v>16.443999999999999</v>
      </c>
      <c r="K138" s="1078">
        <f t="shared" si="36"/>
        <v>98.664000000000001</v>
      </c>
      <c r="L138" s="1417" t="s">
        <v>1538</v>
      </c>
      <c r="M138" s="1415" t="s">
        <v>1480</v>
      </c>
      <c r="N138" s="1973"/>
    </row>
    <row r="139" spans="1:14" s="7" customFormat="1" x14ac:dyDescent="0.25">
      <c r="A139" s="972">
        <v>44601</v>
      </c>
      <c r="B139" s="910" t="s">
        <v>1549</v>
      </c>
      <c r="C139" s="1075">
        <v>1E-4</v>
      </c>
      <c r="D139" s="141">
        <f t="shared" si="33"/>
        <v>16.919999999999998</v>
      </c>
      <c r="E139" s="973">
        <v>1.6919999999999999E-3</v>
      </c>
      <c r="F139" s="973">
        <v>0</v>
      </c>
      <c r="G139" s="974">
        <v>0</v>
      </c>
      <c r="H139" s="974">
        <v>749.28</v>
      </c>
      <c r="I139" s="1076">
        <f t="shared" ref="I139" si="37">SUM(E139:H139)</f>
        <v>749.28169200000002</v>
      </c>
      <c r="J139" s="1077">
        <f t="shared" si="35"/>
        <v>149.8563384</v>
      </c>
      <c r="K139" s="1078">
        <f t="shared" ref="K139" si="38">SUM(I139:J139)</f>
        <v>899.13803040000005</v>
      </c>
      <c r="L139" s="1417" t="s">
        <v>1539</v>
      </c>
      <c r="M139" s="1415" t="s">
        <v>215</v>
      </c>
      <c r="N139" s="1973"/>
    </row>
    <row r="140" spans="1:14" s="600" customFormat="1" x14ac:dyDescent="0.25">
      <c r="A140" s="955"/>
      <c r="B140" s="956"/>
      <c r="C140" s="957"/>
      <c r="D140" s="1591"/>
      <c r="E140" s="958"/>
      <c r="F140" s="958"/>
      <c r="G140" s="959"/>
      <c r="H140" s="959"/>
      <c r="I140" s="960"/>
      <c r="J140" s="961"/>
      <c r="K140" s="962"/>
      <c r="L140" s="537"/>
      <c r="M140" s="828"/>
      <c r="N140" s="1970"/>
    </row>
    <row r="141" spans="1:14" x14ac:dyDescent="0.25">
      <c r="A141" s="896" t="s">
        <v>269</v>
      </c>
      <c r="B141" s="911"/>
      <c r="C141" s="550"/>
      <c r="D141" s="907"/>
      <c r="E141" s="502"/>
      <c r="F141" s="502"/>
      <c r="G141" s="503"/>
      <c r="H141" s="503"/>
      <c r="I141" s="498"/>
      <c r="J141" s="482"/>
      <c r="K141" s="483"/>
      <c r="M141" s="52" t="s">
        <v>13</v>
      </c>
    </row>
    <row r="142" spans="1:14" x14ac:dyDescent="0.25">
      <c r="C142" s="903"/>
      <c r="D142" s="8">
        <f>AVERAGE(D23:D141)</f>
        <v>16.993694834869558</v>
      </c>
      <c r="I142" s="903"/>
      <c r="J142" s="903"/>
      <c r="K142" s="903"/>
      <c r="M142" s="52" t="s">
        <v>13</v>
      </c>
    </row>
    <row r="143" spans="1:14" x14ac:dyDescent="0.25">
      <c r="M143" s="52" t="s">
        <v>13</v>
      </c>
    </row>
    <row r="144" spans="1:14" ht="18.75" x14ac:dyDescent="0.25">
      <c r="A144" s="893" t="s">
        <v>799</v>
      </c>
      <c r="C144" s="919"/>
      <c r="I144" s="919"/>
      <c r="J144" s="919"/>
      <c r="K144" s="919"/>
      <c r="M144" s="52" t="s">
        <v>13</v>
      </c>
    </row>
    <row r="145" spans="1:20" s="445" customFormat="1" ht="12.75" x14ac:dyDescent="0.25">
      <c r="A145" s="2078" t="s">
        <v>274</v>
      </c>
      <c r="B145" s="2080" t="s">
        <v>275</v>
      </c>
      <c r="C145" s="2082" t="s">
        <v>265</v>
      </c>
      <c r="D145" s="2083"/>
      <c r="E145" s="2084"/>
      <c r="F145" s="484" t="s">
        <v>271</v>
      </c>
      <c r="G145" s="490" t="s">
        <v>300</v>
      </c>
      <c r="H145" s="490" t="s">
        <v>272</v>
      </c>
      <c r="I145" s="2085" t="s">
        <v>276</v>
      </c>
      <c r="J145" s="485" t="s">
        <v>268</v>
      </c>
      <c r="K145" s="2070" t="s">
        <v>277</v>
      </c>
      <c r="L145" s="901"/>
      <c r="M145" s="924" t="s">
        <v>13</v>
      </c>
      <c r="N145" s="1967"/>
    </row>
    <row r="146" spans="1:20" s="445" customFormat="1" ht="12.75" x14ac:dyDescent="0.25">
      <c r="A146" s="2079"/>
      <c r="B146" s="2081"/>
      <c r="C146" s="499" t="s">
        <v>266</v>
      </c>
      <c r="D146" s="486" t="s">
        <v>281</v>
      </c>
      <c r="E146" s="486" t="s">
        <v>267</v>
      </c>
      <c r="F146" s="486" t="s">
        <v>267</v>
      </c>
      <c r="G146" s="491" t="s">
        <v>267</v>
      </c>
      <c r="H146" s="491" t="s">
        <v>267</v>
      </c>
      <c r="I146" s="2086"/>
      <c r="J146" s="487">
        <v>0.2</v>
      </c>
      <c r="K146" s="2071"/>
      <c r="L146" s="901"/>
      <c r="M146" s="924" t="s">
        <v>13</v>
      </c>
      <c r="N146" s="1967"/>
    </row>
    <row r="147" spans="1:20" x14ac:dyDescent="0.25">
      <c r="A147" s="2072" t="s">
        <v>278</v>
      </c>
      <c r="B147" s="2073"/>
      <c r="C147" s="898"/>
      <c r="D147" s="481"/>
      <c r="E147" s="481">
        <f>E148*(1+J146)</f>
        <v>715.49999999999989</v>
      </c>
      <c r="F147" s="481">
        <f>F148*(1+J146)</f>
        <v>3543.828</v>
      </c>
      <c r="G147" s="481">
        <f>G148*(1+J146)</f>
        <v>2109.9480000000008</v>
      </c>
      <c r="H147" s="492">
        <f>H148*(1+J146)</f>
        <v>0</v>
      </c>
      <c r="I147" s="495"/>
      <c r="J147" s="481"/>
      <c r="K147" s="1103">
        <v>30000</v>
      </c>
      <c r="L147" s="1087">
        <f>L148+L149</f>
        <v>1</v>
      </c>
      <c r="M147" s="1135">
        <v>43282</v>
      </c>
      <c r="Q147" s="1143">
        <f ca="1">K148/(TODAY()-M147)</f>
        <v>4.8070007547169871</v>
      </c>
      <c r="R147" s="51">
        <f ca="1">Q149-Q147</f>
        <v>15.740944450762463</v>
      </c>
      <c r="S147" s="1150">
        <f ca="1">(Q147/Q149)-1</f>
        <v>-0.76605929660377325</v>
      </c>
      <c r="T147" s="1144" t="s">
        <v>859</v>
      </c>
    </row>
    <row r="148" spans="1:20" x14ac:dyDescent="0.25">
      <c r="A148" s="2074" t="s">
        <v>273</v>
      </c>
      <c r="B148" s="2075"/>
      <c r="C148" s="899">
        <f>SUM(C150:C215)</f>
        <v>32.654589994531499</v>
      </c>
      <c r="D148" s="922">
        <f>E148/C148</f>
        <v>18.259301375391665</v>
      </c>
      <c r="E148" s="922">
        <f t="shared" ref="E148:J148" si="39">SUM(E150:E215)</f>
        <v>596.24999999999989</v>
      </c>
      <c r="F148" s="922">
        <f t="shared" si="39"/>
        <v>2953.19</v>
      </c>
      <c r="G148" s="922">
        <f t="shared" si="39"/>
        <v>1758.2900000000009</v>
      </c>
      <c r="H148" s="493">
        <f t="shared" si="39"/>
        <v>0</v>
      </c>
      <c r="I148" s="497">
        <f t="shared" si="39"/>
        <v>5307.7300000000023</v>
      </c>
      <c r="J148" s="922">
        <f t="shared" si="39"/>
        <v>1061.5459999999985</v>
      </c>
      <c r="K148" s="923">
        <f>SUM(K150:K215)</f>
        <v>6369.276000000008</v>
      </c>
      <c r="L148" s="1086">
        <f>K148/K147</f>
        <v>0.21230920000000028</v>
      </c>
      <c r="M148" s="251">
        <f ca="1">M149-TODAY()</f>
        <v>135</v>
      </c>
      <c r="N148" s="1968">
        <f ca="1">M148/30</f>
        <v>4.5</v>
      </c>
      <c r="O148" s="1" t="s">
        <v>820</v>
      </c>
      <c r="Q148" s="1143">
        <f ca="1">K149/M148</f>
        <v>175.04239999999993</v>
      </c>
      <c r="R148" s="51">
        <f ca="1">Q149-Q148</f>
        <v>-154.49445479452049</v>
      </c>
      <c r="S148" s="1150">
        <f ca="1">(Q148/Q149)-1</f>
        <v>7.5187301333333298</v>
      </c>
      <c r="T148" s="1144" t="s">
        <v>858</v>
      </c>
    </row>
    <row r="149" spans="1:20" s="480" customFormat="1" x14ac:dyDescent="0.25">
      <c r="A149" s="2076" t="s">
        <v>270</v>
      </c>
      <c r="B149" s="2077"/>
      <c r="C149" s="900"/>
      <c r="D149" s="489"/>
      <c r="E149" s="489">
        <f>E148/I148</f>
        <v>0.11233615877220575</v>
      </c>
      <c r="F149" s="489">
        <f>F148/I148</f>
        <v>0.5563941647370908</v>
      </c>
      <c r="G149" s="489">
        <f>G148/I148</f>
        <v>0.33126967649070321</v>
      </c>
      <c r="H149" s="494">
        <f>H148/I148</f>
        <v>0</v>
      </c>
      <c r="I149" s="496">
        <f>I148/I148</f>
        <v>1</v>
      </c>
      <c r="J149" s="489"/>
      <c r="K149" s="1104">
        <f>K147-K148</f>
        <v>23630.723999999991</v>
      </c>
      <c r="L149" s="1087">
        <f>K149/K147</f>
        <v>0.78769079999999969</v>
      </c>
      <c r="M149" s="1135">
        <v>44742</v>
      </c>
      <c r="N149" s="1969">
        <f ca="1">M148/365.25</f>
        <v>0.36960985626283366</v>
      </c>
      <c r="O149" s="480" t="s">
        <v>821</v>
      </c>
      <c r="Q149" s="1147">
        <f>K147/(M149-M147)</f>
        <v>20.547945205479451</v>
      </c>
      <c r="S149" s="1149"/>
      <c r="T149" s="1148" t="s">
        <v>860</v>
      </c>
    </row>
    <row r="150" spans="1:20" x14ac:dyDescent="0.25">
      <c r="A150" s="894"/>
      <c r="B150" s="906"/>
      <c r="C150" s="549"/>
      <c r="D150" s="325"/>
      <c r="E150" s="500"/>
      <c r="F150" s="500"/>
      <c r="G150" s="501"/>
      <c r="H150" s="501"/>
      <c r="I150" s="497"/>
      <c r="J150" s="922"/>
      <c r="K150" s="923"/>
      <c r="M150" s="52" t="s">
        <v>13</v>
      </c>
    </row>
    <row r="151" spans="1:20" x14ac:dyDescent="0.25">
      <c r="A151" s="894">
        <v>43368</v>
      </c>
      <c r="B151" s="906" t="s">
        <v>532</v>
      </c>
      <c r="C151" s="549"/>
      <c r="D151" s="325"/>
      <c r="E151" s="500">
        <v>0</v>
      </c>
      <c r="F151" s="500">
        <v>0</v>
      </c>
      <c r="G151" s="501">
        <v>34.96</v>
      </c>
      <c r="H151" s="501">
        <v>0</v>
      </c>
      <c r="I151" s="497">
        <f t="shared" ref="I151:I165" si="40">SUM(E151:H151)</f>
        <v>34.96</v>
      </c>
      <c r="J151" s="922">
        <f t="shared" ref="J151:J165" si="41">I151*$J$19</f>
        <v>6.9920000000000009</v>
      </c>
      <c r="K151" s="923">
        <f t="shared" ref="K151:K165" si="42">SUM(I151:J151)</f>
        <v>41.951999999999998</v>
      </c>
      <c r="L151" s="6" t="s">
        <v>449</v>
      </c>
      <c r="M151" s="52" t="s">
        <v>23</v>
      </c>
    </row>
    <row r="152" spans="1:20" x14ac:dyDescent="0.25">
      <c r="A152" s="894">
        <v>43402</v>
      </c>
      <c r="B152" s="906" t="s">
        <v>531</v>
      </c>
      <c r="C152" s="549"/>
      <c r="D152" s="325"/>
      <c r="E152" s="500">
        <v>0</v>
      </c>
      <c r="F152" s="500">
        <v>0</v>
      </c>
      <c r="G152" s="501">
        <v>34.96</v>
      </c>
      <c r="H152" s="501">
        <v>0</v>
      </c>
      <c r="I152" s="497">
        <f t="shared" si="40"/>
        <v>34.96</v>
      </c>
      <c r="J152" s="922">
        <f t="shared" si="41"/>
        <v>6.9920000000000009</v>
      </c>
      <c r="K152" s="923">
        <f t="shared" si="42"/>
        <v>41.951999999999998</v>
      </c>
      <c r="L152" s="6" t="s">
        <v>458</v>
      </c>
      <c r="M152" s="52" t="s">
        <v>36</v>
      </c>
    </row>
    <row r="153" spans="1:20" x14ac:dyDescent="0.25">
      <c r="A153" s="894">
        <v>43402</v>
      </c>
      <c r="B153" s="906" t="s">
        <v>530</v>
      </c>
      <c r="C153" s="549"/>
      <c r="D153" s="325"/>
      <c r="E153" s="500">
        <v>0</v>
      </c>
      <c r="F153" s="500">
        <v>0</v>
      </c>
      <c r="G153" s="501">
        <v>34.96</v>
      </c>
      <c r="H153" s="501">
        <v>0</v>
      </c>
      <c r="I153" s="497">
        <f t="shared" si="40"/>
        <v>34.96</v>
      </c>
      <c r="J153" s="922">
        <f t="shared" si="41"/>
        <v>6.9920000000000009</v>
      </c>
      <c r="K153" s="923">
        <f t="shared" si="42"/>
        <v>41.951999999999998</v>
      </c>
      <c r="L153" s="6" t="s">
        <v>457</v>
      </c>
      <c r="M153" s="52" t="s">
        <v>24</v>
      </c>
    </row>
    <row r="154" spans="1:20" x14ac:dyDescent="0.25">
      <c r="A154" s="894">
        <v>43411</v>
      </c>
      <c r="B154" s="906" t="s">
        <v>529</v>
      </c>
      <c r="C154" s="549"/>
      <c r="D154" s="325"/>
      <c r="E154" s="500">
        <v>0</v>
      </c>
      <c r="F154" s="500">
        <v>0</v>
      </c>
      <c r="G154" s="501">
        <v>34.69</v>
      </c>
      <c r="H154" s="501">
        <v>0</v>
      </c>
      <c r="I154" s="497">
        <f t="shared" si="40"/>
        <v>34.69</v>
      </c>
      <c r="J154" s="922">
        <f t="shared" si="41"/>
        <v>6.9379999999999997</v>
      </c>
      <c r="K154" s="923">
        <f t="shared" si="42"/>
        <v>41.628</v>
      </c>
      <c r="L154" s="6" t="s">
        <v>462</v>
      </c>
      <c r="M154" s="52" t="s">
        <v>164</v>
      </c>
    </row>
    <row r="155" spans="1:20" x14ac:dyDescent="0.25">
      <c r="A155" s="894">
        <v>43384</v>
      </c>
      <c r="B155" s="906" t="s">
        <v>528</v>
      </c>
      <c r="C155" s="549">
        <f t="shared" ref="C155:C165" si="43">E155/D155</f>
        <v>1.5272727272727273</v>
      </c>
      <c r="D155" s="325">
        <v>16.5</v>
      </c>
      <c r="E155" s="500">
        <f>59.89-34.69</f>
        <v>25.200000000000003</v>
      </c>
      <c r="F155" s="500">
        <v>127.84</v>
      </c>
      <c r="G155" s="501">
        <v>34.69</v>
      </c>
      <c r="H155" s="501">
        <v>0</v>
      </c>
      <c r="I155" s="497">
        <f t="shared" si="40"/>
        <v>187.73000000000002</v>
      </c>
      <c r="J155" s="922">
        <f t="shared" si="41"/>
        <v>37.546000000000006</v>
      </c>
      <c r="K155" s="923">
        <f t="shared" si="42"/>
        <v>225.27600000000001</v>
      </c>
      <c r="L155" s="6" t="s">
        <v>464</v>
      </c>
      <c r="M155" s="52" t="s">
        <v>25</v>
      </c>
    </row>
    <row r="156" spans="1:20" x14ac:dyDescent="0.25">
      <c r="A156" s="894">
        <v>43425</v>
      </c>
      <c r="B156" s="906" t="s">
        <v>526</v>
      </c>
      <c r="C156" s="549">
        <f t="shared" si="43"/>
        <v>1.5272727272727273</v>
      </c>
      <c r="D156" s="325">
        <v>16.5</v>
      </c>
      <c r="E156" s="500">
        <f>59.89-34.69</f>
        <v>25.200000000000003</v>
      </c>
      <c r="F156" s="500">
        <v>137.56</v>
      </c>
      <c r="G156" s="501">
        <v>34.69</v>
      </c>
      <c r="H156" s="501">
        <v>0</v>
      </c>
      <c r="I156" s="497">
        <f t="shared" si="40"/>
        <v>197.45</v>
      </c>
      <c r="J156" s="922">
        <f t="shared" si="41"/>
        <v>39.49</v>
      </c>
      <c r="K156" s="923">
        <f t="shared" si="42"/>
        <v>236.94</v>
      </c>
      <c r="L156" s="6" t="s">
        <v>479</v>
      </c>
      <c r="M156" s="52" t="s">
        <v>30</v>
      </c>
    </row>
    <row r="157" spans="1:20" x14ac:dyDescent="0.25">
      <c r="A157" s="894">
        <v>43425</v>
      </c>
      <c r="B157" s="906" t="s">
        <v>525</v>
      </c>
      <c r="C157" s="549">
        <f t="shared" si="43"/>
        <v>1.5272727272727273</v>
      </c>
      <c r="D157" s="325">
        <v>16.5</v>
      </c>
      <c r="E157" s="500">
        <v>25.2</v>
      </c>
      <c r="F157" s="500">
        <v>236.8</v>
      </c>
      <c r="G157" s="501">
        <v>34.69</v>
      </c>
      <c r="H157" s="501">
        <v>0</v>
      </c>
      <c r="I157" s="497">
        <f t="shared" si="40"/>
        <v>296.69</v>
      </c>
      <c r="J157" s="922">
        <f t="shared" si="41"/>
        <v>59.338000000000001</v>
      </c>
      <c r="K157" s="923">
        <f t="shared" si="42"/>
        <v>356.02800000000002</v>
      </c>
      <c r="L157" s="6" t="s">
        <v>482</v>
      </c>
      <c r="M157" s="52" t="s">
        <v>18</v>
      </c>
    </row>
    <row r="158" spans="1:20" x14ac:dyDescent="0.25">
      <c r="A158" s="894">
        <v>43431</v>
      </c>
      <c r="B158" s="906" t="s">
        <v>524</v>
      </c>
      <c r="C158" s="549">
        <f t="shared" si="43"/>
        <v>1.5515151515151515</v>
      </c>
      <c r="D158" s="325">
        <v>16.5</v>
      </c>
      <c r="E158" s="500">
        <f>60.29-34.69</f>
        <v>25.6</v>
      </c>
      <c r="F158" s="500">
        <v>616</v>
      </c>
      <c r="G158" s="501">
        <v>34.69</v>
      </c>
      <c r="H158" s="501">
        <v>0</v>
      </c>
      <c r="I158" s="497">
        <f t="shared" si="40"/>
        <v>676.29</v>
      </c>
      <c r="J158" s="922">
        <f t="shared" si="41"/>
        <v>135.25800000000001</v>
      </c>
      <c r="K158" s="923">
        <f t="shared" si="42"/>
        <v>811.548</v>
      </c>
      <c r="L158" s="6" t="s">
        <v>484</v>
      </c>
      <c r="M158" s="52" t="s">
        <v>215</v>
      </c>
    </row>
    <row r="159" spans="1:20" x14ac:dyDescent="0.25">
      <c r="A159" s="894">
        <v>43455</v>
      </c>
      <c r="B159" s="906" t="s">
        <v>521</v>
      </c>
      <c r="C159" s="549">
        <f t="shared" si="43"/>
        <v>0.50909090909090915</v>
      </c>
      <c r="D159" s="325">
        <v>16.5</v>
      </c>
      <c r="E159" s="500">
        <f>3+1.5+0.8+1.5+1+0.6</f>
        <v>8.4</v>
      </c>
      <c r="F159" s="500">
        <v>0.38</v>
      </c>
      <c r="G159" s="501">
        <v>0</v>
      </c>
      <c r="H159" s="501">
        <v>0</v>
      </c>
      <c r="I159" s="497">
        <f t="shared" si="40"/>
        <v>8.7800000000000011</v>
      </c>
      <c r="J159" s="922">
        <f t="shared" si="41"/>
        <v>1.7560000000000002</v>
      </c>
      <c r="K159" s="923">
        <f t="shared" si="42"/>
        <v>10.536000000000001</v>
      </c>
      <c r="L159" s="6" t="s">
        <v>494</v>
      </c>
      <c r="M159" s="52" t="s">
        <v>22</v>
      </c>
    </row>
    <row r="160" spans="1:20" s="7" customFormat="1" x14ac:dyDescent="0.25">
      <c r="A160" s="945">
        <v>43523</v>
      </c>
      <c r="B160" s="906" t="s">
        <v>566</v>
      </c>
      <c r="C160" s="946">
        <f t="shared" si="43"/>
        <v>2.6909090909090914</v>
      </c>
      <c r="D160" s="141">
        <v>16.5</v>
      </c>
      <c r="E160" s="947">
        <f>16+8+3.2+10+4+3.2</f>
        <v>44.400000000000006</v>
      </c>
      <c r="F160" s="947">
        <f>3.33+3.96+154.08</f>
        <v>161.37</v>
      </c>
      <c r="G160" s="948">
        <v>0</v>
      </c>
      <c r="H160" s="948">
        <v>0</v>
      </c>
      <c r="I160" s="949">
        <f t="shared" si="40"/>
        <v>205.77</v>
      </c>
      <c r="J160" s="950">
        <f t="shared" si="41"/>
        <v>41.154000000000003</v>
      </c>
      <c r="K160" s="951">
        <f t="shared" si="42"/>
        <v>246.92400000000001</v>
      </c>
      <c r="L160" s="750" t="s">
        <v>565</v>
      </c>
      <c r="M160" s="800" t="s">
        <v>25</v>
      </c>
      <c r="N160" s="1791"/>
    </row>
    <row r="161" spans="1:14" s="7" customFormat="1" x14ac:dyDescent="0.25">
      <c r="A161" s="945">
        <v>43546</v>
      </c>
      <c r="B161" s="906" t="s">
        <v>582</v>
      </c>
      <c r="C161" s="946">
        <f t="shared" si="43"/>
        <v>1.6727272727272726</v>
      </c>
      <c r="D161" s="141">
        <v>16.5</v>
      </c>
      <c r="E161" s="947">
        <f>12+3.2+4+2.4+6</f>
        <v>27.599999999999998</v>
      </c>
      <c r="F161" s="947">
        <f>3.33+3.96+194.48</f>
        <v>201.76999999999998</v>
      </c>
      <c r="G161" s="948">
        <v>0</v>
      </c>
      <c r="H161" s="948">
        <v>0</v>
      </c>
      <c r="I161" s="949">
        <f t="shared" si="40"/>
        <v>229.36999999999998</v>
      </c>
      <c r="J161" s="950">
        <f t="shared" si="41"/>
        <v>45.873999999999995</v>
      </c>
      <c r="K161" s="951">
        <f t="shared" si="42"/>
        <v>275.24399999999997</v>
      </c>
      <c r="L161" s="750" t="s">
        <v>589</v>
      </c>
      <c r="M161" s="800" t="s">
        <v>18</v>
      </c>
      <c r="N161" s="1791"/>
    </row>
    <row r="162" spans="1:14" s="7" customFormat="1" x14ac:dyDescent="0.25">
      <c r="A162" s="972">
        <v>43544</v>
      </c>
      <c r="B162" s="910" t="s">
        <v>583</v>
      </c>
      <c r="C162" s="946">
        <f t="shared" si="43"/>
        <v>1.6727272727272726</v>
      </c>
      <c r="D162" s="141">
        <v>16.5</v>
      </c>
      <c r="E162" s="973">
        <f>12+3.2+4+2.4+6</f>
        <v>27.599999999999998</v>
      </c>
      <c r="F162" s="973">
        <f>3.33+3.96+148.08</f>
        <v>155.37</v>
      </c>
      <c r="G162" s="974">
        <v>0</v>
      </c>
      <c r="H162" s="974">
        <v>0</v>
      </c>
      <c r="I162" s="949">
        <f t="shared" si="40"/>
        <v>182.97</v>
      </c>
      <c r="J162" s="950">
        <f t="shared" si="41"/>
        <v>36.594000000000001</v>
      </c>
      <c r="K162" s="951">
        <f t="shared" si="42"/>
        <v>219.56399999999999</v>
      </c>
      <c r="L162" s="750" t="s">
        <v>590</v>
      </c>
      <c r="M162" s="800" t="s">
        <v>23</v>
      </c>
      <c r="N162" s="1791"/>
    </row>
    <row r="163" spans="1:14" s="600" customFormat="1" x14ac:dyDescent="0.25">
      <c r="A163" s="955">
        <v>43551</v>
      </c>
      <c r="B163" s="956" t="s">
        <v>584</v>
      </c>
      <c r="C163" s="946">
        <f t="shared" si="43"/>
        <v>1.6727272727272726</v>
      </c>
      <c r="D163" s="141">
        <v>16.5</v>
      </c>
      <c r="E163" s="958">
        <f>12+3.2+4+2.4+6</f>
        <v>27.599999999999998</v>
      </c>
      <c r="F163" s="958">
        <f>3.33+3.96+405.92</f>
        <v>413.21000000000004</v>
      </c>
      <c r="G163" s="959">
        <v>0</v>
      </c>
      <c r="H163" s="959">
        <v>0</v>
      </c>
      <c r="I163" s="926">
        <f t="shared" si="40"/>
        <v>440.81000000000006</v>
      </c>
      <c r="J163" s="963">
        <f t="shared" si="41"/>
        <v>88.16200000000002</v>
      </c>
      <c r="K163" s="964">
        <f t="shared" si="42"/>
        <v>528.97200000000009</v>
      </c>
      <c r="L163" s="537"/>
      <c r="M163" s="828" t="s">
        <v>38</v>
      </c>
      <c r="N163" s="1970"/>
    </row>
    <row r="164" spans="1:14" s="600" customFormat="1" x14ac:dyDescent="0.25">
      <c r="A164" s="955">
        <v>43528</v>
      </c>
      <c r="B164" s="956" t="s">
        <v>587</v>
      </c>
      <c r="C164" s="946">
        <f t="shared" si="43"/>
        <v>1.0545454545454547</v>
      </c>
      <c r="D164" s="967">
        <v>16.5</v>
      </c>
      <c r="E164" s="958">
        <f>6+5+3.4+1.4+1.6</f>
        <v>17.400000000000002</v>
      </c>
      <c r="F164" s="958">
        <f>0.7+0.82</f>
        <v>1.52</v>
      </c>
      <c r="G164" s="959">
        <v>0</v>
      </c>
      <c r="H164" s="959">
        <v>0</v>
      </c>
      <c r="I164" s="926">
        <f t="shared" si="40"/>
        <v>18.920000000000002</v>
      </c>
      <c r="J164" s="965">
        <f t="shared" si="41"/>
        <v>3.7840000000000007</v>
      </c>
      <c r="K164" s="966">
        <f t="shared" si="42"/>
        <v>22.704000000000001</v>
      </c>
      <c r="L164" s="537"/>
      <c r="M164" s="828" t="s">
        <v>11</v>
      </c>
      <c r="N164" s="1970"/>
    </row>
    <row r="165" spans="1:14" s="600" customFormat="1" ht="16.5" thickBot="1" x14ac:dyDescent="0.3">
      <c r="A165" s="955">
        <v>43554</v>
      </c>
      <c r="B165" s="956" t="s">
        <v>608</v>
      </c>
      <c r="C165" s="946">
        <f t="shared" si="43"/>
        <v>1.6727272727272726</v>
      </c>
      <c r="D165" s="967">
        <v>16.5</v>
      </c>
      <c r="E165" s="958">
        <f>12+3.2+4+2.4+6</f>
        <v>27.599999999999998</v>
      </c>
      <c r="F165" s="958">
        <f>3.33+3.96+243.56</f>
        <v>250.85</v>
      </c>
      <c r="G165" s="959">
        <v>0</v>
      </c>
      <c r="H165" s="959">
        <v>0</v>
      </c>
      <c r="I165" s="960">
        <f t="shared" si="40"/>
        <v>278.45</v>
      </c>
      <c r="J165" s="961">
        <f t="shared" si="41"/>
        <v>55.69</v>
      </c>
      <c r="K165" s="962">
        <f t="shared" si="42"/>
        <v>334.14</v>
      </c>
      <c r="L165" s="537"/>
      <c r="M165" s="828" t="s">
        <v>40</v>
      </c>
      <c r="N165" s="1970"/>
    </row>
    <row r="166" spans="1:14" s="7" customFormat="1" ht="16.5" thickTop="1" x14ac:dyDescent="0.25">
      <c r="A166" s="972">
        <v>43551</v>
      </c>
      <c r="B166" s="910" t="s">
        <v>615</v>
      </c>
      <c r="C166" s="946"/>
      <c r="D166" s="967"/>
      <c r="E166" s="973">
        <v>0</v>
      </c>
      <c r="F166" s="973">
        <v>0</v>
      </c>
      <c r="G166" s="974">
        <v>34.96</v>
      </c>
      <c r="H166" s="974">
        <v>0</v>
      </c>
      <c r="I166" s="949">
        <f t="shared" ref="I166:I175" si="44">SUM(E166:H166)</f>
        <v>34.96</v>
      </c>
      <c r="J166" s="950">
        <f t="shared" ref="J166:J175" si="45">I166*$J$146</f>
        <v>6.9920000000000009</v>
      </c>
      <c r="K166" s="951">
        <f t="shared" ref="K166:K175" si="46">SUM(I166:J166)</f>
        <v>41.951999999999998</v>
      </c>
      <c r="L166" s="1126" t="s">
        <v>613</v>
      </c>
      <c r="M166" s="1127" t="s">
        <v>38</v>
      </c>
      <c r="N166" s="1972">
        <v>1</v>
      </c>
    </row>
    <row r="167" spans="1:14" s="7" customFormat="1" x14ac:dyDescent="0.25">
      <c r="A167" s="972">
        <v>43559</v>
      </c>
      <c r="B167" s="910" t="s">
        <v>618</v>
      </c>
      <c r="C167" s="1075"/>
      <c r="D167" s="967"/>
      <c r="E167" s="973">
        <v>0</v>
      </c>
      <c r="F167" s="973">
        <v>0</v>
      </c>
      <c r="G167" s="974">
        <v>34.96</v>
      </c>
      <c r="H167" s="974">
        <v>0</v>
      </c>
      <c r="I167" s="1076">
        <f t="shared" si="44"/>
        <v>34.96</v>
      </c>
      <c r="J167" s="1077">
        <f t="shared" si="45"/>
        <v>6.9920000000000009</v>
      </c>
      <c r="K167" s="1078">
        <f t="shared" si="46"/>
        <v>41.951999999999998</v>
      </c>
      <c r="L167" s="750" t="s">
        <v>617</v>
      </c>
      <c r="M167" s="800" t="s">
        <v>40</v>
      </c>
      <c r="N167" s="1791">
        <v>2</v>
      </c>
    </row>
    <row r="168" spans="1:14" s="7" customFormat="1" x14ac:dyDescent="0.25">
      <c r="A168" s="972">
        <v>43556</v>
      </c>
      <c r="B168" s="910" t="s">
        <v>621</v>
      </c>
      <c r="C168" s="1075"/>
      <c r="D168" s="967"/>
      <c r="E168" s="973">
        <v>0</v>
      </c>
      <c r="F168" s="973">
        <v>0</v>
      </c>
      <c r="G168" s="974">
        <v>34.96</v>
      </c>
      <c r="H168" s="974">
        <v>0</v>
      </c>
      <c r="I168" s="1076">
        <f t="shared" si="44"/>
        <v>34.96</v>
      </c>
      <c r="J168" s="1077">
        <f t="shared" si="45"/>
        <v>6.9920000000000009</v>
      </c>
      <c r="K168" s="1078">
        <f t="shared" si="46"/>
        <v>41.951999999999998</v>
      </c>
      <c r="L168" s="750" t="s">
        <v>620</v>
      </c>
      <c r="M168" s="800" t="s">
        <v>20</v>
      </c>
      <c r="N168" s="1791">
        <v>3</v>
      </c>
    </row>
    <row r="169" spans="1:14" s="7" customFormat="1" x14ac:dyDescent="0.25">
      <c r="A169" s="972">
        <v>43566</v>
      </c>
      <c r="B169" s="910" t="s">
        <v>627</v>
      </c>
      <c r="C169" s="1075"/>
      <c r="D169" s="967"/>
      <c r="E169" s="973">
        <v>0</v>
      </c>
      <c r="F169" s="973">
        <v>0</v>
      </c>
      <c r="G169" s="974">
        <v>34.96</v>
      </c>
      <c r="H169" s="974">
        <v>0</v>
      </c>
      <c r="I169" s="1076">
        <f t="shared" si="44"/>
        <v>34.96</v>
      </c>
      <c r="J169" s="1077">
        <f t="shared" si="45"/>
        <v>6.9920000000000009</v>
      </c>
      <c r="K169" s="1078">
        <f t="shared" si="46"/>
        <v>41.951999999999998</v>
      </c>
      <c r="L169" s="750" t="s">
        <v>623</v>
      </c>
      <c r="M169" s="800" t="s">
        <v>25</v>
      </c>
      <c r="N169" s="1791">
        <v>4</v>
      </c>
    </row>
    <row r="170" spans="1:14" s="7" customFormat="1" x14ac:dyDescent="0.25">
      <c r="A170" s="972">
        <v>43570</v>
      </c>
      <c r="B170" s="910" t="s">
        <v>646</v>
      </c>
      <c r="C170" s="1075"/>
      <c r="D170" s="967"/>
      <c r="E170" s="973">
        <v>0</v>
      </c>
      <c r="F170" s="973">
        <v>0</v>
      </c>
      <c r="G170" s="974">
        <v>34.96</v>
      </c>
      <c r="H170" s="974">
        <v>0</v>
      </c>
      <c r="I170" s="1076">
        <f t="shared" si="44"/>
        <v>34.96</v>
      </c>
      <c r="J170" s="1077">
        <f t="shared" si="45"/>
        <v>6.9920000000000009</v>
      </c>
      <c r="K170" s="1078">
        <f t="shared" si="46"/>
        <v>41.951999999999998</v>
      </c>
      <c r="L170" s="750" t="s">
        <v>645</v>
      </c>
      <c r="M170" s="800" t="s">
        <v>28</v>
      </c>
      <c r="N170" s="1791">
        <v>5</v>
      </c>
    </row>
    <row r="171" spans="1:14" s="7" customFormat="1" x14ac:dyDescent="0.25">
      <c r="A171" s="972">
        <v>43567</v>
      </c>
      <c r="B171" s="910" t="s">
        <v>649</v>
      </c>
      <c r="C171" s="1075"/>
      <c r="D171" s="967"/>
      <c r="E171" s="973">
        <v>0</v>
      </c>
      <c r="F171" s="973">
        <v>0</v>
      </c>
      <c r="G171" s="974">
        <v>34.96</v>
      </c>
      <c r="H171" s="974">
        <v>0</v>
      </c>
      <c r="I171" s="1076">
        <f t="shared" si="44"/>
        <v>34.96</v>
      </c>
      <c r="J171" s="1077">
        <f t="shared" si="45"/>
        <v>6.9920000000000009</v>
      </c>
      <c r="K171" s="1078">
        <f t="shared" si="46"/>
        <v>41.951999999999998</v>
      </c>
      <c r="L171" s="750" t="s">
        <v>648</v>
      </c>
      <c r="M171" s="800" t="s">
        <v>215</v>
      </c>
      <c r="N171" s="1791">
        <v>6</v>
      </c>
    </row>
    <row r="172" spans="1:14" s="7" customFormat="1" x14ac:dyDescent="0.25">
      <c r="A172" s="972">
        <v>43567</v>
      </c>
      <c r="B172" s="910" t="s">
        <v>651</v>
      </c>
      <c r="C172" s="1075"/>
      <c r="D172" s="967"/>
      <c r="E172" s="973">
        <v>0</v>
      </c>
      <c r="F172" s="973">
        <v>0</v>
      </c>
      <c r="G172" s="974">
        <v>34.96</v>
      </c>
      <c r="H172" s="974">
        <v>0</v>
      </c>
      <c r="I172" s="1076">
        <f t="shared" si="44"/>
        <v>34.96</v>
      </c>
      <c r="J172" s="1077">
        <f t="shared" si="45"/>
        <v>6.9920000000000009</v>
      </c>
      <c r="K172" s="1078">
        <f t="shared" si="46"/>
        <v>41.951999999999998</v>
      </c>
      <c r="L172" s="750" t="s">
        <v>652</v>
      </c>
      <c r="M172" s="800" t="s">
        <v>18</v>
      </c>
      <c r="N172" s="1791">
        <v>7</v>
      </c>
    </row>
    <row r="173" spans="1:14" s="7" customFormat="1" x14ac:dyDescent="0.25">
      <c r="A173" s="972">
        <v>43570</v>
      </c>
      <c r="B173" s="910" t="s">
        <v>655</v>
      </c>
      <c r="C173" s="1075"/>
      <c r="D173" s="967"/>
      <c r="E173" s="973">
        <v>0</v>
      </c>
      <c r="F173" s="973">
        <v>0</v>
      </c>
      <c r="G173" s="974">
        <v>34.96</v>
      </c>
      <c r="H173" s="974">
        <v>0</v>
      </c>
      <c r="I173" s="1076">
        <f t="shared" si="44"/>
        <v>34.96</v>
      </c>
      <c r="J173" s="1077">
        <f t="shared" si="45"/>
        <v>6.9920000000000009</v>
      </c>
      <c r="K173" s="1078">
        <f t="shared" si="46"/>
        <v>41.951999999999998</v>
      </c>
      <c r="L173" s="750" t="s">
        <v>654</v>
      </c>
      <c r="M173" s="800" t="s">
        <v>36</v>
      </c>
      <c r="N173" s="1791">
        <v>8</v>
      </c>
    </row>
    <row r="174" spans="1:14" s="7" customFormat="1" x14ac:dyDescent="0.25">
      <c r="A174" s="972">
        <v>43566</v>
      </c>
      <c r="B174" s="910" t="s">
        <v>658</v>
      </c>
      <c r="C174" s="1075"/>
      <c r="D174" s="967"/>
      <c r="E174" s="973">
        <v>0</v>
      </c>
      <c r="F174" s="973">
        <v>0</v>
      </c>
      <c r="G174" s="974">
        <v>34.96</v>
      </c>
      <c r="H174" s="974">
        <v>0</v>
      </c>
      <c r="I174" s="1076">
        <f t="shared" si="44"/>
        <v>34.96</v>
      </c>
      <c r="J174" s="1077">
        <f t="shared" si="45"/>
        <v>6.9920000000000009</v>
      </c>
      <c r="K174" s="1078">
        <f t="shared" si="46"/>
        <v>41.951999999999998</v>
      </c>
      <c r="L174" s="750" t="s">
        <v>657</v>
      </c>
      <c r="M174" s="800" t="s">
        <v>164</v>
      </c>
      <c r="N174" s="1791">
        <v>9</v>
      </c>
    </row>
    <row r="175" spans="1:14" s="7" customFormat="1" ht="16.5" thickBot="1" x14ac:dyDescent="0.3">
      <c r="A175" s="972">
        <v>43566</v>
      </c>
      <c r="B175" s="910" t="s">
        <v>661</v>
      </c>
      <c r="C175" s="1075"/>
      <c r="D175" s="967"/>
      <c r="E175" s="973">
        <v>0</v>
      </c>
      <c r="F175" s="973">
        <v>0</v>
      </c>
      <c r="G175" s="974">
        <v>34.96</v>
      </c>
      <c r="H175" s="974">
        <v>0</v>
      </c>
      <c r="I175" s="1076">
        <f t="shared" si="44"/>
        <v>34.96</v>
      </c>
      <c r="J175" s="1077">
        <f t="shared" si="45"/>
        <v>6.9920000000000009</v>
      </c>
      <c r="K175" s="1078">
        <f t="shared" si="46"/>
        <v>41.951999999999998</v>
      </c>
      <c r="L175" s="750" t="s">
        <v>660</v>
      </c>
      <c r="M175" s="800" t="s">
        <v>23</v>
      </c>
      <c r="N175" s="1791">
        <v>10</v>
      </c>
    </row>
    <row r="176" spans="1:14" s="7" customFormat="1" ht="16.5" thickTop="1" x14ac:dyDescent="0.25">
      <c r="A176" s="972">
        <v>43770</v>
      </c>
      <c r="B176" s="910" t="s">
        <v>721</v>
      </c>
      <c r="C176" s="1075"/>
      <c r="D176" s="967"/>
      <c r="E176" s="973">
        <v>0</v>
      </c>
      <c r="F176" s="973">
        <v>0</v>
      </c>
      <c r="G176" s="974">
        <v>34.96</v>
      </c>
      <c r="H176" s="974">
        <v>0</v>
      </c>
      <c r="I176" s="1076">
        <f t="shared" ref="I176:I206" si="47">SUM(E176:H176)</f>
        <v>34.96</v>
      </c>
      <c r="J176" s="1077">
        <f t="shared" ref="J176:J184" si="48">I176*$J$146</f>
        <v>6.9920000000000009</v>
      </c>
      <c r="K176" s="1078">
        <f t="shared" ref="K176:K206" si="49">SUM(I176:J176)</f>
        <v>41.951999999999998</v>
      </c>
      <c r="L176" s="1126" t="s">
        <v>720</v>
      </c>
      <c r="M176" s="1127" t="s">
        <v>25</v>
      </c>
      <c r="N176" s="1972">
        <v>1</v>
      </c>
    </row>
    <row r="177" spans="1:14" s="7" customFormat="1" x14ac:dyDescent="0.25">
      <c r="A177" s="972">
        <v>43774</v>
      </c>
      <c r="B177" s="910" t="s">
        <v>742</v>
      </c>
      <c r="C177" s="1075"/>
      <c r="D177" s="967"/>
      <c r="E177" s="973">
        <v>0</v>
      </c>
      <c r="F177" s="973">
        <v>0</v>
      </c>
      <c r="G177" s="974">
        <v>34.96</v>
      </c>
      <c r="H177" s="974">
        <v>0</v>
      </c>
      <c r="I177" s="1076">
        <f t="shared" si="47"/>
        <v>34.96</v>
      </c>
      <c r="J177" s="1077">
        <f t="shared" si="48"/>
        <v>6.9920000000000009</v>
      </c>
      <c r="K177" s="1078">
        <f t="shared" si="49"/>
        <v>41.951999999999998</v>
      </c>
      <c r="L177" s="750" t="s">
        <v>741</v>
      </c>
      <c r="M177" s="800" t="s">
        <v>36</v>
      </c>
      <c r="N177" s="1791">
        <v>2</v>
      </c>
    </row>
    <row r="178" spans="1:14" s="7" customFormat="1" x14ac:dyDescent="0.25">
      <c r="A178" s="972">
        <v>43749</v>
      </c>
      <c r="B178" s="910" t="s">
        <v>749</v>
      </c>
      <c r="C178" s="1075"/>
      <c r="D178" s="967"/>
      <c r="E178" s="973">
        <v>0</v>
      </c>
      <c r="F178" s="973">
        <v>0</v>
      </c>
      <c r="G178" s="974">
        <v>34.96</v>
      </c>
      <c r="H178" s="974">
        <v>0</v>
      </c>
      <c r="I178" s="1076">
        <f t="shared" si="47"/>
        <v>34.96</v>
      </c>
      <c r="J178" s="1077">
        <f t="shared" si="48"/>
        <v>6.9920000000000009</v>
      </c>
      <c r="K178" s="1078">
        <f t="shared" si="49"/>
        <v>41.951999999999998</v>
      </c>
      <c r="L178" s="750" t="s">
        <v>748</v>
      </c>
      <c r="M178" s="800" t="s">
        <v>215</v>
      </c>
      <c r="N178" s="1791">
        <v>3</v>
      </c>
    </row>
    <row r="179" spans="1:14" s="7" customFormat="1" x14ac:dyDescent="0.25">
      <c r="A179" s="972">
        <v>43767</v>
      </c>
      <c r="B179" s="910" t="s">
        <v>754</v>
      </c>
      <c r="C179" s="1075"/>
      <c r="D179" s="967"/>
      <c r="E179" s="973">
        <v>0</v>
      </c>
      <c r="F179" s="973">
        <v>0</v>
      </c>
      <c r="G179" s="974">
        <v>34.96</v>
      </c>
      <c r="H179" s="974">
        <v>0</v>
      </c>
      <c r="I179" s="1076">
        <f t="shared" si="47"/>
        <v>34.96</v>
      </c>
      <c r="J179" s="1077">
        <f t="shared" si="48"/>
        <v>6.9920000000000009</v>
      </c>
      <c r="K179" s="1078">
        <f t="shared" si="49"/>
        <v>41.951999999999998</v>
      </c>
      <c r="L179" s="750" t="s">
        <v>753</v>
      </c>
      <c r="M179" s="800" t="s">
        <v>18</v>
      </c>
      <c r="N179" s="1791">
        <v>4</v>
      </c>
    </row>
    <row r="180" spans="1:14" s="7" customFormat="1" x14ac:dyDescent="0.25">
      <c r="A180" s="972">
        <v>43766</v>
      </c>
      <c r="B180" s="910" t="s">
        <v>757</v>
      </c>
      <c r="C180" s="1075"/>
      <c r="D180" s="967"/>
      <c r="E180" s="973">
        <v>0</v>
      </c>
      <c r="F180" s="973">
        <v>0</v>
      </c>
      <c r="G180" s="974">
        <v>34.96</v>
      </c>
      <c r="H180" s="974">
        <v>0</v>
      </c>
      <c r="I180" s="1076">
        <f t="shared" si="47"/>
        <v>34.96</v>
      </c>
      <c r="J180" s="1077">
        <f t="shared" si="48"/>
        <v>6.9920000000000009</v>
      </c>
      <c r="K180" s="1078">
        <f t="shared" si="49"/>
        <v>41.951999999999998</v>
      </c>
      <c r="L180" s="750" t="s">
        <v>756</v>
      </c>
      <c r="M180" s="800" t="s">
        <v>28</v>
      </c>
      <c r="N180" s="1791">
        <v>5</v>
      </c>
    </row>
    <row r="181" spans="1:14" s="7" customFormat="1" x14ac:dyDescent="0.25">
      <c r="A181" s="972">
        <v>43747</v>
      </c>
      <c r="B181" s="910" t="s">
        <v>805</v>
      </c>
      <c r="C181" s="1075"/>
      <c r="D181" s="967"/>
      <c r="E181" s="973">
        <v>0</v>
      </c>
      <c r="F181" s="973">
        <v>0</v>
      </c>
      <c r="G181" s="974">
        <v>34.96</v>
      </c>
      <c r="H181" s="974">
        <v>0</v>
      </c>
      <c r="I181" s="1076">
        <f t="shared" si="47"/>
        <v>34.96</v>
      </c>
      <c r="J181" s="1077">
        <f t="shared" si="48"/>
        <v>6.9920000000000009</v>
      </c>
      <c r="K181" s="1078">
        <f t="shared" si="49"/>
        <v>41.951999999999998</v>
      </c>
      <c r="L181" s="750" t="s">
        <v>804</v>
      </c>
      <c r="M181" s="800" t="s">
        <v>30</v>
      </c>
      <c r="N181" s="1791">
        <v>6</v>
      </c>
    </row>
    <row r="182" spans="1:14" s="7" customFormat="1" x14ac:dyDescent="0.25">
      <c r="A182" s="972">
        <v>43752</v>
      </c>
      <c r="B182" s="910" t="s">
        <v>822</v>
      </c>
      <c r="C182" s="1075"/>
      <c r="D182" s="967"/>
      <c r="E182" s="973">
        <v>0</v>
      </c>
      <c r="F182" s="973">
        <v>0</v>
      </c>
      <c r="G182" s="974">
        <v>34.96</v>
      </c>
      <c r="H182" s="974">
        <v>0</v>
      </c>
      <c r="I182" s="1076">
        <f t="shared" si="47"/>
        <v>34.96</v>
      </c>
      <c r="J182" s="1077">
        <f t="shared" si="48"/>
        <v>6.9920000000000009</v>
      </c>
      <c r="K182" s="1078">
        <f t="shared" si="49"/>
        <v>41.951999999999998</v>
      </c>
      <c r="L182" s="750" t="s">
        <v>823</v>
      </c>
      <c r="M182" s="800" t="s">
        <v>20</v>
      </c>
      <c r="N182" s="1791">
        <v>7</v>
      </c>
    </row>
    <row r="183" spans="1:14" s="7" customFormat="1" x14ac:dyDescent="0.25">
      <c r="A183" s="972">
        <v>43749</v>
      </c>
      <c r="B183" s="910" t="s">
        <v>826</v>
      </c>
      <c r="C183" s="1075"/>
      <c r="D183" s="967"/>
      <c r="E183" s="973">
        <v>0</v>
      </c>
      <c r="F183" s="973">
        <v>0</v>
      </c>
      <c r="G183" s="974">
        <v>34.96</v>
      </c>
      <c r="H183" s="974">
        <v>0</v>
      </c>
      <c r="I183" s="1076">
        <f t="shared" si="47"/>
        <v>34.96</v>
      </c>
      <c r="J183" s="1077">
        <f t="shared" si="48"/>
        <v>6.9920000000000009</v>
      </c>
      <c r="K183" s="1078">
        <f t="shared" si="49"/>
        <v>41.951999999999998</v>
      </c>
      <c r="L183" s="750" t="s">
        <v>825</v>
      </c>
      <c r="M183" s="800" t="s">
        <v>164</v>
      </c>
      <c r="N183" s="1791">
        <v>8</v>
      </c>
    </row>
    <row r="184" spans="1:14" s="7" customFormat="1" x14ac:dyDescent="0.25">
      <c r="A184" s="972">
        <v>43766</v>
      </c>
      <c r="B184" s="910" t="s">
        <v>828</v>
      </c>
      <c r="C184" s="1075"/>
      <c r="D184" s="967"/>
      <c r="E184" s="973">
        <v>0</v>
      </c>
      <c r="F184" s="973">
        <v>0</v>
      </c>
      <c r="G184" s="974">
        <v>34.96</v>
      </c>
      <c r="H184" s="974">
        <v>0</v>
      </c>
      <c r="I184" s="1076">
        <f t="shared" si="47"/>
        <v>34.96</v>
      </c>
      <c r="J184" s="1077">
        <f t="shared" si="48"/>
        <v>6.9920000000000009</v>
      </c>
      <c r="K184" s="1078">
        <f t="shared" si="49"/>
        <v>41.951999999999998</v>
      </c>
      <c r="L184" s="750" t="s">
        <v>829</v>
      </c>
      <c r="M184" s="800" t="s">
        <v>23</v>
      </c>
      <c r="N184" s="1791">
        <v>9</v>
      </c>
    </row>
    <row r="185" spans="1:14" s="7" customFormat="1" x14ac:dyDescent="0.25">
      <c r="A185" s="972">
        <v>43859</v>
      </c>
      <c r="B185" s="910" t="s">
        <v>1046</v>
      </c>
      <c r="C185" s="1075">
        <f>E185/D185</f>
        <v>1.0993939393939394</v>
      </c>
      <c r="D185" s="967">
        <v>16.5</v>
      </c>
      <c r="E185" s="973">
        <v>18.14</v>
      </c>
      <c r="F185" s="973">
        <v>108.86</v>
      </c>
      <c r="G185" s="974">
        <v>0</v>
      </c>
      <c r="H185" s="974">
        <v>0</v>
      </c>
      <c r="I185" s="1076">
        <f t="shared" si="47"/>
        <v>127</v>
      </c>
      <c r="J185" s="1077">
        <f>I185*$J$19</f>
        <v>25.400000000000002</v>
      </c>
      <c r="K185" s="1078">
        <f t="shared" si="49"/>
        <v>152.4</v>
      </c>
      <c r="L185" s="750" t="s">
        <v>979</v>
      </c>
      <c r="M185" s="800" t="s">
        <v>713</v>
      </c>
      <c r="N185" s="1791"/>
    </row>
    <row r="186" spans="1:14" s="7" customFormat="1" x14ac:dyDescent="0.25">
      <c r="A186" s="972">
        <v>43861</v>
      </c>
      <c r="B186" s="910" t="s">
        <v>1045</v>
      </c>
      <c r="C186" s="1075"/>
      <c r="D186" s="967"/>
      <c r="E186" s="973">
        <v>0</v>
      </c>
      <c r="F186" s="973">
        <v>0</v>
      </c>
      <c r="G186" s="974">
        <v>34.96</v>
      </c>
      <c r="H186" s="974">
        <v>0</v>
      </c>
      <c r="I186" s="1076">
        <f t="shared" si="47"/>
        <v>34.96</v>
      </c>
      <c r="J186" s="1077">
        <f>I186*$J$146</f>
        <v>6.9920000000000009</v>
      </c>
      <c r="K186" s="1078">
        <f t="shared" si="49"/>
        <v>41.951999999999998</v>
      </c>
      <c r="L186" s="750" t="s">
        <v>982</v>
      </c>
      <c r="M186" s="800" t="s">
        <v>713</v>
      </c>
      <c r="N186" s="1791">
        <v>10</v>
      </c>
    </row>
    <row r="187" spans="1:14" s="7" customFormat="1" x14ac:dyDescent="0.25">
      <c r="A187" s="972">
        <v>43861</v>
      </c>
      <c r="B187" s="910" t="s">
        <v>1047</v>
      </c>
      <c r="C187" s="1075">
        <f>E187/D187</f>
        <v>0.38787878787878788</v>
      </c>
      <c r="D187" s="967">
        <v>16.5</v>
      </c>
      <c r="E187" s="973">
        <f>0.6+2+1.3+2+0.5</f>
        <v>6.4</v>
      </c>
      <c r="F187" s="973">
        <v>0.4</v>
      </c>
      <c r="G187" s="974">
        <v>0</v>
      </c>
      <c r="H187" s="974">
        <v>0</v>
      </c>
      <c r="I187" s="1076">
        <f t="shared" si="47"/>
        <v>6.8000000000000007</v>
      </c>
      <c r="J187" s="1077">
        <f>I187*$J$19</f>
        <v>1.3600000000000003</v>
      </c>
      <c r="K187" s="1078">
        <f t="shared" si="49"/>
        <v>8.16</v>
      </c>
      <c r="L187" s="750" t="s">
        <v>984</v>
      </c>
      <c r="M187" s="800" t="s">
        <v>28</v>
      </c>
      <c r="N187" s="1791"/>
    </row>
    <row r="188" spans="1:14" s="7" customFormat="1" x14ac:dyDescent="0.25">
      <c r="A188" s="972">
        <v>43917</v>
      </c>
      <c r="B188" s="910" t="s">
        <v>1044</v>
      </c>
      <c r="C188" s="1075">
        <f>E188/D188</f>
        <v>2.0363636363636362</v>
      </c>
      <c r="D188" s="967">
        <v>16.5</v>
      </c>
      <c r="E188" s="973">
        <f>12+3.2+4+2.4+6+6</f>
        <v>33.599999999999994</v>
      </c>
      <c r="F188" s="973">
        <f>2.69+191.24+3.96</f>
        <v>197.89000000000001</v>
      </c>
      <c r="G188" s="974">
        <v>0</v>
      </c>
      <c r="H188" s="974">
        <v>0</v>
      </c>
      <c r="I188" s="1076">
        <f t="shared" si="47"/>
        <v>231.49</v>
      </c>
      <c r="J188" s="1077">
        <f>I188*$J$19</f>
        <v>46.298000000000002</v>
      </c>
      <c r="K188" s="1078">
        <f t="shared" si="49"/>
        <v>277.78800000000001</v>
      </c>
      <c r="L188" s="750" t="s">
        <v>1042</v>
      </c>
      <c r="M188" s="800" t="s">
        <v>713</v>
      </c>
      <c r="N188" s="1791"/>
    </row>
    <row r="189" spans="1:14" s="7" customFormat="1" ht="16.5" thickBot="1" x14ac:dyDescent="0.3">
      <c r="A189" s="972">
        <v>43917</v>
      </c>
      <c r="B189" s="910" t="s">
        <v>1050</v>
      </c>
      <c r="C189" s="1075">
        <f>E189/D189</f>
        <v>2.0363636363636362</v>
      </c>
      <c r="D189" s="967">
        <v>16.5</v>
      </c>
      <c r="E189" s="973">
        <f>12+3.2+4+2.4+6+6</f>
        <v>33.599999999999994</v>
      </c>
      <c r="F189" s="973">
        <f>2.69+3.96+291.84</f>
        <v>298.48999999999995</v>
      </c>
      <c r="G189" s="974">
        <v>0</v>
      </c>
      <c r="H189" s="974">
        <v>0</v>
      </c>
      <c r="I189" s="1076">
        <f t="shared" si="47"/>
        <v>332.08999999999992</v>
      </c>
      <c r="J189" s="1077">
        <f>I189*$J$19</f>
        <v>66.417999999999992</v>
      </c>
      <c r="K189" s="1078">
        <f t="shared" si="49"/>
        <v>398.50799999999992</v>
      </c>
      <c r="L189" s="750" t="s">
        <v>1048</v>
      </c>
      <c r="M189" s="800" t="s">
        <v>164</v>
      </c>
      <c r="N189" s="1791"/>
    </row>
    <row r="190" spans="1:14" s="7" customFormat="1" ht="16.5" thickTop="1" x14ac:dyDescent="0.25">
      <c r="A190" s="972">
        <v>43921</v>
      </c>
      <c r="B190" s="910" t="s">
        <v>1051</v>
      </c>
      <c r="C190" s="1075"/>
      <c r="D190" s="967"/>
      <c r="E190" s="973">
        <v>0</v>
      </c>
      <c r="F190" s="973">
        <v>0</v>
      </c>
      <c r="G190" s="974">
        <v>34.96</v>
      </c>
      <c r="H190" s="974">
        <v>0</v>
      </c>
      <c r="I190" s="1076">
        <f t="shared" si="47"/>
        <v>34.96</v>
      </c>
      <c r="J190" s="1077">
        <f t="shared" ref="J190:J197" si="50">I190*$J$146</f>
        <v>6.9920000000000009</v>
      </c>
      <c r="K190" s="1078">
        <f t="shared" si="49"/>
        <v>41.951999999999998</v>
      </c>
      <c r="L190" s="1126" t="s">
        <v>1052</v>
      </c>
      <c r="M190" s="1127" t="s">
        <v>23</v>
      </c>
      <c r="N190" s="1972">
        <v>1</v>
      </c>
    </row>
    <row r="191" spans="1:14" s="7" customFormat="1" x14ac:dyDescent="0.25">
      <c r="A191" s="972">
        <v>43923</v>
      </c>
      <c r="B191" s="910" t="s">
        <v>1054</v>
      </c>
      <c r="C191" s="1075"/>
      <c r="D191" s="967"/>
      <c r="E191" s="973">
        <v>0</v>
      </c>
      <c r="F191" s="973">
        <v>0</v>
      </c>
      <c r="G191" s="974">
        <v>34.96</v>
      </c>
      <c r="H191" s="974">
        <v>0</v>
      </c>
      <c r="I191" s="1076">
        <f t="shared" si="47"/>
        <v>34.96</v>
      </c>
      <c r="J191" s="1077">
        <f t="shared" si="50"/>
        <v>6.9920000000000009</v>
      </c>
      <c r="K191" s="1078">
        <f t="shared" si="49"/>
        <v>41.951999999999998</v>
      </c>
      <c r="L191" s="1416" t="s">
        <v>1055</v>
      </c>
      <c r="M191" s="1415" t="s">
        <v>36</v>
      </c>
      <c r="N191" s="1973">
        <v>2</v>
      </c>
    </row>
    <row r="192" spans="1:14" s="7" customFormat="1" x14ac:dyDescent="0.25">
      <c r="A192" s="972">
        <v>43930</v>
      </c>
      <c r="B192" s="910" t="s">
        <v>1060</v>
      </c>
      <c r="C192" s="1075"/>
      <c r="D192" s="967"/>
      <c r="E192" s="973">
        <v>0</v>
      </c>
      <c r="F192" s="973">
        <v>0</v>
      </c>
      <c r="G192" s="974">
        <v>34.96</v>
      </c>
      <c r="H192" s="974">
        <v>0</v>
      </c>
      <c r="I192" s="1076">
        <f t="shared" si="47"/>
        <v>34.96</v>
      </c>
      <c r="J192" s="1077">
        <f t="shared" si="50"/>
        <v>6.9920000000000009</v>
      </c>
      <c r="K192" s="1078">
        <f t="shared" si="49"/>
        <v>41.951999999999998</v>
      </c>
      <c r="L192" s="1416" t="s">
        <v>1061</v>
      </c>
      <c r="M192" s="1415" t="s">
        <v>30</v>
      </c>
      <c r="N192" s="1973">
        <v>3</v>
      </c>
    </row>
    <row r="193" spans="1:14" s="7" customFormat="1" x14ac:dyDescent="0.25">
      <c r="A193" s="972">
        <v>43942</v>
      </c>
      <c r="B193" s="910" t="s">
        <v>1064</v>
      </c>
      <c r="C193" s="1075"/>
      <c r="D193" s="967"/>
      <c r="E193" s="973">
        <v>0</v>
      </c>
      <c r="F193" s="973">
        <v>0</v>
      </c>
      <c r="G193" s="974">
        <v>34.96</v>
      </c>
      <c r="H193" s="974">
        <v>0</v>
      </c>
      <c r="I193" s="1076">
        <f t="shared" si="47"/>
        <v>34.96</v>
      </c>
      <c r="J193" s="1077">
        <f t="shared" si="50"/>
        <v>6.9920000000000009</v>
      </c>
      <c r="K193" s="1078">
        <f t="shared" si="49"/>
        <v>41.951999999999998</v>
      </c>
      <c r="L193" s="1416" t="s">
        <v>1065</v>
      </c>
      <c r="M193" s="1415" t="s">
        <v>28</v>
      </c>
      <c r="N193" s="1973">
        <v>4</v>
      </c>
    </row>
    <row r="194" spans="1:14" s="7" customFormat="1" x14ac:dyDescent="0.25">
      <c r="A194" s="972">
        <v>43938</v>
      </c>
      <c r="B194" s="910" t="s">
        <v>1067</v>
      </c>
      <c r="C194" s="1075"/>
      <c r="D194" s="967"/>
      <c r="E194" s="973">
        <v>0</v>
      </c>
      <c r="F194" s="973">
        <v>0</v>
      </c>
      <c r="G194" s="974">
        <v>34.96</v>
      </c>
      <c r="H194" s="974">
        <v>0</v>
      </c>
      <c r="I194" s="1076">
        <f t="shared" si="47"/>
        <v>34.96</v>
      </c>
      <c r="J194" s="1077">
        <f t="shared" si="50"/>
        <v>6.9920000000000009</v>
      </c>
      <c r="K194" s="1078">
        <f t="shared" si="49"/>
        <v>41.951999999999998</v>
      </c>
      <c r="L194" s="1416" t="s">
        <v>1068</v>
      </c>
      <c r="M194" s="1415" t="s">
        <v>164</v>
      </c>
      <c r="N194" s="1973">
        <v>5</v>
      </c>
    </row>
    <row r="195" spans="1:14" s="7" customFormat="1" x14ac:dyDescent="0.25">
      <c r="A195" s="972">
        <v>43935</v>
      </c>
      <c r="B195" s="910" t="s">
        <v>1070</v>
      </c>
      <c r="C195" s="1075"/>
      <c r="D195" s="967"/>
      <c r="E195" s="973">
        <v>0</v>
      </c>
      <c r="F195" s="973">
        <v>0</v>
      </c>
      <c r="G195" s="974">
        <v>34.96</v>
      </c>
      <c r="H195" s="974">
        <v>0</v>
      </c>
      <c r="I195" s="1076">
        <f t="shared" si="47"/>
        <v>34.96</v>
      </c>
      <c r="J195" s="1077">
        <f t="shared" si="50"/>
        <v>6.9920000000000009</v>
      </c>
      <c r="K195" s="1078">
        <f t="shared" si="49"/>
        <v>41.951999999999998</v>
      </c>
      <c r="L195" s="1416" t="s">
        <v>1071</v>
      </c>
      <c r="M195" s="1415" t="s">
        <v>713</v>
      </c>
      <c r="N195" s="1973">
        <v>6</v>
      </c>
    </row>
    <row r="196" spans="1:14" s="7" customFormat="1" x14ac:dyDescent="0.25">
      <c r="A196" s="972">
        <v>43928</v>
      </c>
      <c r="B196" s="910" t="s">
        <v>1073</v>
      </c>
      <c r="C196" s="1075"/>
      <c r="D196" s="967"/>
      <c r="E196" s="973">
        <v>0</v>
      </c>
      <c r="F196" s="973">
        <v>0</v>
      </c>
      <c r="G196" s="974">
        <v>34.96</v>
      </c>
      <c r="H196" s="974">
        <v>0</v>
      </c>
      <c r="I196" s="1076">
        <f t="shared" si="47"/>
        <v>34.96</v>
      </c>
      <c r="J196" s="1077">
        <f t="shared" si="50"/>
        <v>6.9920000000000009</v>
      </c>
      <c r="K196" s="1078">
        <f t="shared" si="49"/>
        <v>41.951999999999998</v>
      </c>
      <c r="L196" s="1416" t="s">
        <v>1074</v>
      </c>
      <c r="M196" s="1415" t="s">
        <v>25</v>
      </c>
      <c r="N196" s="1973">
        <v>7</v>
      </c>
    </row>
    <row r="197" spans="1:14" s="7" customFormat="1" x14ac:dyDescent="0.25">
      <c r="A197" s="972">
        <v>43937</v>
      </c>
      <c r="B197" s="910" t="s">
        <v>1076</v>
      </c>
      <c r="C197" s="1075"/>
      <c r="D197" s="967"/>
      <c r="E197" s="973">
        <v>0</v>
      </c>
      <c r="F197" s="973">
        <v>0</v>
      </c>
      <c r="G197" s="974">
        <v>34.96</v>
      </c>
      <c r="H197" s="974">
        <v>0</v>
      </c>
      <c r="I197" s="1076">
        <f t="shared" si="47"/>
        <v>34.96</v>
      </c>
      <c r="J197" s="1077">
        <f t="shared" si="50"/>
        <v>6.9920000000000009</v>
      </c>
      <c r="K197" s="1078">
        <f t="shared" si="49"/>
        <v>41.951999999999998</v>
      </c>
      <c r="L197" s="1416" t="s">
        <v>1077</v>
      </c>
      <c r="M197" s="1415" t="s">
        <v>215</v>
      </c>
      <c r="N197" s="1973">
        <v>8</v>
      </c>
    </row>
    <row r="198" spans="1:14" s="7" customFormat="1" x14ac:dyDescent="0.25">
      <c r="A198" s="972">
        <v>43923</v>
      </c>
      <c r="B198" s="910" t="s">
        <v>1080</v>
      </c>
      <c r="C198" s="1075">
        <f>(0.503+0.16+0.069+0.092)*3</f>
        <v>2.472</v>
      </c>
      <c r="D198" s="141">
        <f>E198/C198</f>
        <v>21.844660194174757</v>
      </c>
      <c r="E198" s="973">
        <f>33+10.5+4.5+6</f>
        <v>54</v>
      </c>
      <c r="F198" s="973">
        <v>2.16</v>
      </c>
      <c r="G198" s="974">
        <v>0</v>
      </c>
      <c r="H198" s="974">
        <v>0</v>
      </c>
      <c r="I198" s="1076">
        <f t="shared" si="47"/>
        <v>56.16</v>
      </c>
      <c r="J198" s="1077">
        <f>I198*$J$19</f>
        <v>11.231999999999999</v>
      </c>
      <c r="K198" s="1078">
        <f t="shared" si="49"/>
        <v>67.391999999999996</v>
      </c>
      <c r="L198" s="1417" t="s">
        <v>1081</v>
      </c>
      <c r="M198" s="1415" t="s">
        <v>1083</v>
      </c>
      <c r="N198" s="1973"/>
    </row>
    <row r="199" spans="1:14" s="600" customFormat="1" x14ac:dyDescent="0.25">
      <c r="A199" s="955">
        <v>43964</v>
      </c>
      <c r="B199" s="956" t="s">
        <v>1082</v>
      </c>
      <c r="C199" s="957">
        <f>0.55+0.228+0.113+0.092</f>
        <v>0.98299999999999998</v>
      </c>
      <c r="D199" s="925">
        <f>E199/C199</f>
        <v>21.871820956256357</v>
      </c>
      <c r="E199" s="958">
        <f>12+5+2.5+2</f>
        <v>21.5</v>
      </c>
      <c r="F199" s="958">
        <f>0.86+1.44</f>
        <v>2.2999999999999998</v>
      </c>
      <c r="G199" s="959">
        <v>0</v>
      </c>
      <c r="H199" s="959">
        <v>0</v>
      </c>
      <c r="I199" s="960">
        <f t="shared" si="47"/>
        <v>23.8</v>
      </c>
      <c r="J199" s="961">
        <f>I199*$J$19</f>
        <v>4.7600000000000007</v>
      </c>
      <c r="K199" s="962">
        <f t="shared" si="49"/>
        <v>28.560000000000002</v>
      </c>
      <c r="L199" s="1419" t="s">
        <v>1082</v>
      </c>
      <c r="M199" s="1420" t="s">
        <v>1084</v>
      </c>
      <c r="N199" s="1971"/>
    </row>
    <row r="200" spans="1:14" s="7" customFormat="1" x14ac:dyDescent="0.25">
      <c r="A200" s="972">
        <v>43944</v>
      </c>
      <c r="B200" s="910" t="s">
        <v>1120</v>
      </c>
      <c r="C200" s="1075"/>
      <c r="D200" s="967"/>
      <c r="E200" s="973">
        <v>0</v>
      </c>
      <c r="F200" s="973">
        <v>0</v>
      </c>
      <c r="G200" s="974">
        <v>34.96</v>
      </c>
      <c r="H200" s="974">
        <v>0</v>
      </c>
      <c r="I200" s="1076">
        <f t="shared" si="47"/>
        <v>34.96</v>
      </c>
      <c r="J200" s="1077">
        <f>I200*$J$146</f>
        <v>6.9920000000000009</v>
      </c>
      <c r="K200" s="1078">
        <f t="shared" si="49"/>
        <v>41.951999999999998</v>
      </c>
      <c r="L200" s="1416" t="s">
        <v>1121</v>
      </c>
      <c r="M200" s="1415" t="s">
        <v>40</v>
      </c>
      <c r="N200" s="1973">
        <v>9</v>
      </c>
    </row>
    <row r="201" spans="1:14" s="7" customFormat="1" x14ac:dyDescent="0.25">
      <c r="A201" s="972">
        <v>43944</v>
      </c>
      <c r="B201" s="910" t="s">
        <v>1123</v>
      </c>
      <c r="C201" s="1075"/>
      <c r="D201" s="967"/>
      <c r="E201" s="973">
        <v>0</v>
      </c>
      <c r="F201" s="973">
        <v>0</v>
      </c>
      <c r="G201" s="974">
        <v>34.96</v>
      </c>
      <c r="H201" s="974">
        <v>0</v>
      </c>
      <c r="I201" s="1076">
        <f t="shared" si="47"/>
        <v>34.96</v>
      </c>
      <c r="J201" s="1077">
        <f>I201*$J$146</f>
        <v>6.9920000000000009</v>
      </c>
      <c r="K201" s="1078">
        <f t="shared" si="49"/>
        <v>41.951999999999998</v>
      </c>
      <c r="L201" s="1416" t="s">
        <v>1124</v>
      </c>
      <c r="M201" s="1415" t="s">
        <v>20</v>
      </c>
      <c r="N201" s="1973">
        <v>10</v>
      </c>
    </row>
    <row r="202" spans="1:14" s="7" customFormat="1" ht="16.5" thickBot="1" x14ac:dyDescent="0.3">
      <c r="A202" s="972">
        <v>44004</v>
      </c>
      <c r="B202" s="910" t="s">
        <v>1171</v>
      </c>
      <c r="C202" s="1075"/>
      <c r="D202" s="967"/>
      <c r="E202" s="973">
        <v>0</v>
      </c>
      <c r="F202" s="973">
        <v>0</v>
      </c>
      <c r="G202" s="974">
        <v>34.96</v>
      </c>
      <c r="H202" s="974">
        <v>0</v>
      </c>
      <c r="I202" s="1076">
        <f t="shared" si="47"/>
        <v>34.96</v>
      </c>
      <c r="J202" s="1077">
        <f>I202*$J$146</f>
        <v>6.9920000000000009</v>
      </c>
      <c r="K202" s="1078">
        <f t="shared" si="49"/>
        <v>41.951999999999998</v>
      </c>
      <c r="L202" s="1473" t="s">
        <v>1172</v>
      </c>
      <c r="M202" s="1474" t="s">
        <v>36</v>
      </c>
      <c r="N202" s="1974">
        <v>11</v>
      </c>
    </row>
    <row r="203" spans="1:14" s="7" customFormat="1" ht="16.5" thickTop="1" x14ac:dyDescent="0.25">
      <c r="A203" s="972">
        <v>44032</v>
      </c>
      <c r="B203" s="910" t="s">
        <v>1197</v>
      </c>
      <c r="C203" s="1075"/>
      <c r="D203" s="967"/>
      <c r="E203" s="973">
        <v>0</v>
      </c>
      <c r="F203" s="973">
        <v>0</v>
      </c>
      <c r="G203" s="974">
        <v>19</v>
      </c>
      <c r="H203" s="974">
        <v>0</v>
      </c>
      <c r="I203" s="1076">
        <f t="shared" si="47"/>
        <v>19</v>
      </c>
      <c r="J203" s="1077">
        <f>I203*$J$146</f>
        <v>3.8000000000000003</v>
      </c>
      <c r="K203" s="1078">
        <f t="shared" si="49"/>
        <v>22.8</v>
      </c>
      <c r="L203" s="1126"/>
      <c r="M203" s="1127" t="s">
        <v>1300</v>
      </c>
      <c r="N203" s="1972" t="s">
        <v>1198</v>
      </c>
    </row>
    <row r="204" spans="1:14" s="7" customFormat="1" x14ac:dyDescent="0.25">
      <c r="A204" s="972">
        <v>44063</v>
      </c>
      <c r="B204" s="910" t="s">
        <v>1218</v>
      </c>
      <c r="C204" s="1075">
        <f>((0.548+0.114+0.091)*4)+(0.16*2)</f>
        <v>3.3319999999999999</v>
      </c>
      <c r="D204" s="141">
        <f>E204/C204</f>
        <v>21.908763505402163</v>
      </c>
      <c r="E204" s="973">
        <f>48+7+10+8</f>
        <v>73</v>
      </c>
      <c r="F204" s="973">
        <v>0.67</v>
      </c>
      <c r="G204" s="974">
        <v>0</v>
      </c>
      <c r="H204" s="974">
        <v>0</v>
      </c>
      <c r="I204" s="1076">
        <f t="shared" si="47"/>
        <v>73.67</v>
      </c>
      <c r="J204" s="1077">
        <f>I204*$J$19</f>
        <v>14.734000000000002</v>
      </c>
      <c r="K204" s="1078">
        <f t="shared" si="49"/>
        <v>88.403999999999996</v>
      </c>
      <c r="L204" s="1417"/>
      <c r="M204" s="1415" t="s">
        <v>1219</v>
      </c>
      <c r="N204" s="1973"/>
    </row>
    <row r="205" spans="1:14" s="7" customFormat="1" x14ac:dyDescent="0.25">
      <c r="A205" s="972">
        <v>44160</v>
      </c>
      <c r="B205" s="910" t="s">
        <v>1299</v>
      </c>
      <c r="C205" s="1075">
        <f>E205/D205</f>
        <v>0.27380211574362162</v>
      </c>
      <c r="D205" s="141">
        <v>16.07</v>
      </c>
      <c r="E205" s="973">
        <f>2+1.3+0.5+0.6</f>
        <v>4.3999999999999995</v>
      </c>
      <c r="F205" s="973">
        <f>7.34+0.18</f>
        <v>7.52</v>
      </c>
      <c r="G205" s="974">
        <v>0</v>
      </c>
      <c r="H205" s="974">
        <v>0</v>
      </c>
      <c r="I205" s="1076">
        <f t="shared" si="47"/>
        <v>11.919999999999998</v>
      </c>
      <c r="J205" s="1077">
        <f>I205*$J$19</f>
        <v>2.3839999999999999</v>
      </c>
      <c r="K205" s="1078">
        <f t="shared" si="49"/>
        <v>14.303999999999998</v>
      </c>
      <c r="L205" s="1417"/>
      <c r="M205" s="1415" t="s">
        <v>1300</v>
      </c>
      <c r="N205" s="1973"/>
    </row>
    <row r="206" spans="1:14" s="7" customFormat="1" x14ac:dyDescent="0.25">
      <c r="A206" s="972">
        <v>44123</v>
      </c>
      <c r="B206" s="910" t="s">
        <v>1301</v>
      </c>
      <c r="C206" s="1075"/>
      <c r="D206" s="967"/>
      <c r="E206" s="973">
        <v>0</v>
      </c>
      <c r="F206" s="973">
        <v>0</v>
      </c>
      <c r="G206" s="974">
        <v>34.96</v>
      </c>
      <c r="H206" s="974">
        <v>0</v>
      </c>
      <c r="I206" s="1076">
        <f t="shared" si="47"/>
        <v>34.96</v>
      </c>
      <c r="J206" s="1077">
        <f t="shared" ref="J206:J212" si="51">I206*$J$146</f>
        <v>6.9920000000000009</v>
      </c>
      <c r="K206" s="1078">
        <f t="shared" si="49"/>
        <v>41.951999999999998</v>
      </c>
      <c r="L206" s="1417" t="s">
        <v>1302</v>
      </c>
      <c r="M206" s="1415" t="s">
        <v>164</v>
      </c>
      <c r="N206" s="1973">
        <v>1</v>
      </c>
    </row>
    <row r="207" spans="1:14" s="7" customFormat="1" x14ac:dyDescent="0.25">
      <c r="A207" s="972">
        <v>44469</v>
      </c>
      <c r="B207" s="910" t="s">
        <v>1460</v>
      </c>
      <c r="C207" s="1075">
        <f>0.08+0.04</f>
        <v>0.12</v>
      </c>
      <c r="D207" s="141">
        <f>E207/C207</f>
        <v>25</v>
      </c>
      <c r="E207" s="973">
        <v>3</v>
      </c>
      <c r="F207" s="973">
        <v>18.73</v>
      </c>
      <c r="G207" s="974">
        <v>0</v>
      </c>
      <c r="H207" s="974">
        <v>0</v>
      </c>
      <c r="I207" s="1076">
        <f>SUM(E207:H207)</f>
        <v>21.73</v>
      </c>
      <c r="J207" s="1077">
        <f t="shared" si="51"/>
        <v>4.3460000000000001</v>
      </c>
      <c r="K207" s="1078">
        <f>SUM(I207:J207)</f>
        <v>26.076000000000001</v>
      </c>
      <c r="L207" s="1417" t="s">
        <v>1461</v>
      </c>
      <c r="M207" s="1415" t="s">
        <v>1300</v>
      </c>
      <c r="N207" s="1973"/>
    </row>
    <row r="208" spans="1:14" s="600" customFormat="1" x14ac:dyDescent="0.25">
      <c r="A208" s="955">
        <v>44530</v>
      </c>
      <c r="B208" s="956" t="s">
        <v>1488</v>
      </c>
      <c r="C208" s="957">
        <f>0.242+0.121+0.152+0.061+0.048</f>
        <v>0.62400000000000011</v>
      </c>
      <c r="D208" s="925">
        <f>E208/C208</f>
        <v>16.506410256410255</v>
      </c>
      <c r="E208" s="958">
        <f>4+2+2.5+1+0.8</f>
        <v>10.3</v>
      </c>
      <c r="F208" s="958">
        <v>0.96</v>
      </c>
      <c r="G208" s="959">
        <v>0</v>
      </c>
      <c r="H208" s="959">
        <v>0</v>
      </c>
      <c r="I208" s="960">
        <f>SUM(E208:H208)</f>
        <v>11.260000000000002</v>
      </c>
      <c r="J208" s="961">
        <f t="shared" si="51"/>
        <v>2.2520000000000002</v>
      </c>
      <c r="K208" s="962">
        <f>SUM(I208:J208)</f>
        <v>13.512000000000002</v>
      </c>
      <c r="L208" s="1419" t="s">
        <v>1488</v>
      </c>
      <c r="M208" s="1420" t="s">
        <v>11</v>
      </c>
      <c r="N208" s="1971"/>
    </row>
    <row r="209" spans="1:14" s="600" customFormat="1" x14ac:dyDescent="0.25">
      <c r="A209" s="955">
        <v>44530</v>
      </c>
      <c r="B209" s="956" t="s">
        <v>1486</v>
      </c>
      <c r="C209" s="957">
        <f>0.727+0.152+0.12</f>
        <v>0.999</v>
      </c>
      <c r="D209" s="925">
        <f>E209/C209</f>
        <v>16.516516516516518</v>
      </c>
      <c r="E209" s="958">
        <f>12+2.5+2</f>
        <v>16.5</v>
      </c>
      <c r="F209" s="958">
        <v>11.27</v>
      </c>
      <c r="G209" s="959">
        <v>0</v>
      </c>
      <c r="H209" s="959">
        <v>0</v>
      </c>
      <c r="I209" s="960">
        <f>SUM(E209:H209)</f>
        <v>27.77</v>
      </c>
      <c r="J209" s="961">
        <f t="shared" si="51"/>
        <v>5.5540000000000003</v>
      </c>
      <c r="K209" s="962">
        <f>SUM(I209:J209)</f>
        <v>33.323999999999998</v>
      </c>
      <c r="L209" s="1419" t="s">
        <v>1486</v>
      </c>
      <c r="M209" s="1420" t="s">
        <v>1219</v>
      </c>
      <c r="N209" s="1971"/>
    </row>
    <row r="210" spans="1:14" s="600" customFormat="1" x14ac:dyDescent="0.25">
      <c r="A210" s="955">
        <v>44530</v>
      </c>
      <c r="B210" s="956" t="s">
        <v>1491</v>
      </c>
      <c r="C210" s="957">
        <f>0.727+0.212+0.152+0.121</f>
        <v>1.212</v>
      </c>
      <c r="D210" s="925">
        <f>E210/C210</f>
        <v>16.501650165016503</v>
      </c>
      <c r="E210" s="958">
        <f>12+3.5+2.5+2</f>
        <v>20</v>
      </c>
      <c r="F210" s="958">
        <v>1.27</v>
      </c>
      <c r="G210" s="959">
        <v>0</v>
      </c>
      <c r="H210" s="959">
        <v>0</v>
      </c>
      <c r="I210" s="960">
        <f>SUM(E210:H210)</f>
        <v>21.27</v>
      </c>
      <c r="J210" s="961">
        <f t="shared" si="51"/>
        <v>4.2540000000000004</v>
      </c>
      <c r="K210" s="962">
        <f>SUM(I210:J210)</f>
        <v>25.524000000000001</v>
      </c>
      <c r="L210" s="1419" t="s">
        <v>1491</v>
      </c>
      <c r="M210" s="1420" t="s">
        <v>1219</v>
      </c>
      <c r="N210" s="1971"/>
    </row>
    <row r="211" spans="1:14" s="7" customFormat="1" x14ac:dyDescent="0.25">
      <c r="A211" s="972">
        <v>44524</v>
      </c>
      <c r="B211" s="910" t="s">
        <v>1499</v>
      </c>
      <c r="C211" s="1075"/>
      <c r="D211" s="967"/>
      <c r="E211" s="973">
        <v>0</v>
      </c>
      <c r="F211" s="973">
        <v>0</v>
      </c>
      <c r="G211" s="974">
        <v>34.96</v>
      </c>
      <c r="H211" s="974">
        <v>0</v>
      </c>
      <c r="I211" s="1076">
        <f t="shared" ref="I211" si="52">SUM(E211:H211)</f>
        <v>34.96</v>
      </c>
      <c r="J211" s="1077">
        <f t="shared" si="51"/>
        <v>6.9920000000000009</v>
      </c>
      <c r="K211" s="1078">
        <f t="shared" ref="K211" si="53">SUM(I211:J211)</f>
        <v>41.951999999999998</v>
      </c>
      <c r="L211" s="1417" t="s">
        <v>1507</v>
      </c>
      <c r="M211" s="1415" t="s">
        <v>1500</v>
      </c>
      <c r="N211" s="1973" t="s">
        <v>1501</v>
      </c>
    </row>
    <row r="212" spans="1:14" s="7" customFormat="1" x14ac:dyDescent="0.25">
      <c r="A212" s="972">
        <v>44518</v>
      </c>
      <c r="B212" s="910" t="s">
        <v>1505</v>
      </c>
      <c r="C212" s="1075"/>
      <c r="D212" s="967"/>
      <c r="E212" s="973">
        <v>0</v>
      </c>
      <c r="F212" s="973">
        <v>0</v>
      </c>
      <c r="G212" s="974">
        <v>34.96</v>
      </c>
      <c r="H212" s="974">
        <v>0</v>
      </c>
      <c r="I212" s="1076">
        <f t="shared" ref="I212" si="54">SUM(E212:H212)</f>
        <v>34.96</v>
      </c>
      <c r="J212" s="1077">
        <f t="shared" si="51"/>
        <v>6.9920000000000009</v>
      </c>
      <c r="K212" s="1078">
        <f t="shared" ref="K212" si="55">SUM(I212:J212)</f>
        <v>41.951999999999998</v>
      </c>
      <c r="L212" s="1417" t="s">
        <v>1507</v>
      </c>
      <c r="M212" s="1415" t="s">
        <v>215</v>
      </c>
      <c r="N212" s="1973" t="s">
        <v>1506</v>
      </c>
    </row>
    <row r="213" spans="1:14" s="7" customFormat="1" x14ac:dyDescent="0.25">
      <c r="A213" s="972">
        <v>44552</v>
      </c>
      <c r="B213" s="910" t="s">
        <v>1520</v>
      </c>
      <c r="C213" s="1075"/>
      <c r="D213" s="967"/>
      <c r="E213" s="973">
        <f>3.2+12+0.41+4.4</f>
        <v>20.009999999999998</v>
      </c>
      <c r="F213" s="973">
        <v>0</v>
      </c>
      <c r="G213" s="974">
        <v>237.36</v>
      </c>
      <c r="H213" s="974">
        <v>0</v>
      </c>
      <c r="I213" s="1076">
        <f t="shared" ref="I213" si="56">SUM(E213:H213)</f>
        <v>257.37</v>
      </c>
      <c r="J213" s="1077">
        <f t="shared" ref="J213:J214" si="57">I213*$J$146</f>
        <v>51.474000000000004</v>
      </c>
      <c r="K213" s="1078">
        <f t="shared" ref="K213" si="58">SUM(I213:J213)</f>
        <v>308.84399999999999</v>
      </c>
      <c r="L213" s="1417" t="s">
        <v>1521</v>
      </c>
      <c r="M213" s="1415" t="s">
        <v>18</v>
      </c>
      <c r="N213" s="1973"/>
    </row>
    <row r="214" spans="1:14" s="7" customFormat="1" x14ac:dyDescent="0.25">
      <c r="A214" s="972">
        <v>44552</v>
      </c>
      <c r="B214" s="910" t="s">
        <v>1531</v>
      </c>
      <c r="C214" s="1075"/>
      <c r="D214" s="967"/>
      <c r="E214" s="973">
        <v>0</v>
      </c>
      <c r="F214" s="973">
        <v>0</v>
      </c>
      <c r="G214" s="974">
        <v>34.96</v>
      </c>
      <c r="H214" s="974">
        <v>0</v>
      </c>
      <c r="I214" s="1076">
        <f t="shared" ref="I214" si="59">SUM(E214:H214)</f>
        <v>34.96</v>
      </c>
      <c r="J214" s="1077">
        <f t="shared" si="57"/>
        <v>6.9920000000000009</v>
      </c>
      <c r="K214" s="1078">
        <f t="shared" ref="K214" si="60">SUM(I214:J214)</f>
        <v>41.951999999999998</v>
      </c>
      <c r="L214" s="1417" t="s">
        <v>1507</v>
      </c>
      <c r="M214" s="1415" t="s">
        <v>1480</v>
      </c>
      <c r="N214" s="1973" t="s">
        <v>1532</v>
      </c>
    </row>
    <row r="215" spans="1:14" x14ac:dyDescent="0.25">
      <c r="A215" s="896" t="s">
        <v>269</v>
      </c>
      <c r="B215" s="911"/>
      <c r="C215" s="550"/>
      <c r="D215" s="907"/>
      <c r="E215" s="502"/>
      <c r="F215" s="502"/>
      <c r="G215" s="503"/>
      <c r="H215" s="503"/>
      <c r="I215" s="498"/>
      <c r="J215" s="482"/>
      <c r="K215" s="483"/>
      <c r="L215" s="1646"/>
      <c r="M215" s="1645"/>
      <c r="N215" s="1975"/>
    </row>
    <row r="216" spans="1:14" x14ac:dyDescent="0.25">
      <c r="C216" s="919"/>
      <c r="D216" s="8">
        <f>AVERAGE(D150:D215)</f>
        <v>17.553035721468547</v>
      </c>
      <c r="I216" s="919"/>
      <c r="J216" s="919"/>
      <c r="K216" s="919"/>
    </row>
  </sheetData>
  <mergeCells count="24">
    <mergeCell ref="K145:K146"/>
    <mergeCell ref="A147:B147"/>
    <mergeCell ref="A148:B148"/>
    <mergeCell ref="A149:B149"/>
    <mergeCell ref="A145:A146"/>
    <mergeCell ref="B145:B146"/>
    <mergeCell ref="C145:E145"/>
    <mergeCell ref="I145:I146"/>
    <mergeCell ref="K2:K3"/>
    <mergeCell ref="A4:B4"/>
    <mergeCell ref="A5:B5"/>
    <mergeCell ref="A6:B6"/>
    <mergeCell ref="A2:A3"/>
    <mergeCell ref="B2:B3"/>
    <mergeCell ref="C2:E2"/>
    <mergeCell ref="I2:I3"/>
    <mergeCell ref="K18:K19"/>
    <mergeCell ref="A20:B20"/>
    <mergeCell ref="A21:B21"/>
    <mergeCell ref="A22:B22"/>
    <mergeCell ref="A18:A19"/>
    <mergeCell ref="B18:B19"/>
    <mergeCell ref="C18:E18"/>
    <mergeCell ref="I18:I19"/>
  </mergeCells>
  <conditionalFormatting sqref="M5">
    <cfRule type="cellIs" dxfId="429" priority="21" operator="lessThan">
      <formula>-0.01</formula>
    </cfRule>
    <cfRule type="cellIs" dxfId="428" priority="22" operator="between">
      <formula>29</formula>
      <formula>0</formula>
    </cfRule>
    <cfRule type="cellIs" dxfId="427" priority="23" operator="between">
      <formula>89</formula>
      <formula>30</formula>
    </cfRule>
    <cfRule type="cellIs" dxfId="426" priority="24" operator="between">
      <formula>180</formula>
      <formula>90</formula>
    </cfRule>
  </conditionalFormatting>
  <conditionalFormatting sqref="M21">
    <cfRule type="cellIs" dxfId="425" priority="17" operator="lessThan">
      <formula>-0.01</formula>
    </cfRule>
    <cfRule type="cellIs" dxfId="424" priority="18" operator="between">
      <formula>29</formula>
      <formula>0</formula>
    </cfRule>
    <cfRule type="cellIs" dxfId="423" priority="19" operator="between">
      <formula>89</formula>
      <formula>30</formula>
    </cfRule>
    <cfRule type="cellIs" dxfId="422" priority="20" operator="between">
      <formula>180</formula>
      <formula>90</formula>
    </cfRule>
  </conditionalFormatting>
  <conditionalFormatting sqref="M148">
    <cfRule type="cellIs" dxfId="421" priority="13" operator="lessThan">
      <formula>-0.01</formula>
    </cfRule>
    <cfRule type="cellIs" dxfId="420" priority="14" operator="between">
      <formula>29</formula>
      <formula>0</formula>
    </cfRule>
    <cfRule type="cellIs" dxfId="419" priority="15" operator="between">
      <formula>89</formula>
      <formula>30</formula>
    </cfRule>
    <cfRule type="cellIs" dxfId="418" priority="16" operator="between">
      <formula>180</formula>
      <formula>90</formula>
    </cfRule>
  </conditionalFormatting>
  <conditionalFormatting sqref="Q21">
    <cfRule type="cellIs" dxfId="417" priority="11" operator="lessThan">
      <formula>$Q$20</formula>
    </cfRule>
    <cfRule type="cellIs" dxfId="416" priority="12" operator="greaterThan">
      <formula>$Q$20</formula>
    </cfRule>
  </conditionalFormatting>
  <conditionalFormatting sqref="Q20">
    <cfRule type="cellIs" dxfId="415" priority="9" operator="greaterThan">
      <formula>$Q$22</formula>
    </cfRule>
    <cfRule type="cellIs" dxfId="414" priority="10" operator="lessThan">
      <formula>$Q$22</formula>
    </cfRule>
  </conditionalFormatting>
  <conditionalFormatting sqref="Q5">
    <cfRule type="cellIs" dxfId="413" priority="7" operator="lessThan">
      <formula>$Q$4</formula>
    </cfRule>
    <cfRule type="cellIs" dxfId="412" priority="8" operator="greaterThan">
      <formula>$Q$4</formula>
    </cfRule>
  </conditionalFormatting>
  <conditionalFormatting sqref="Q4">
    <cfRule type="cellIs" dxfId="411" priority="5" operator="greaterThan">
      <formula>$Q$6</formula>
    </cfRule>
    <cfRule type="cellIs" dxfId="410" priority="6" operator="lessThan">
      <formula>$Q$6</formula>
    </cfRule>
  </conditionalFormatting>
  <conditionalFormatting sqref="Q148">
    <cfRule type="cellIs" dxfId="409" priority="3" operator="lessThan">
      <formula>$Q$147</formula>
    </cfRule>
    <cfRule type="cellIs" dxfId="408" priority="4" operator="greaterThan">
      <formula>$Q$7</formula>
    </cfRule>
  </conditionalFormatting>
  <conditionalFormatting sqref="Q147">
    <cfRule type="cellIs" dxfId="407" priority="1" operator="greaterThan">
      <formula>$Q$149</formula>
    </cfRule>
    <cfRule type="cellIs" dxfId="406" priority="2" operator="lessThan">
      <formula>$Q$149</formula>
    </cfRule>
  </conditionalFormatting>
  <printOptions horizontalCentered="1"/>
  <pageMargins left="0.39370078740157483" right="0.39370078740157483" top="0.39370078740157483" bottom="0.39370078740157483" header="0" footer="0"/>
  <pageSetup paperSize="9" scale="37" fitToHeight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N39"/>
  <sheetViews>
    <sheetView workbookViewId="0">
      <selection sqref="A1:L14"/>
    </sheetView>
  </sheetViews>
  <sheetFormatPr defaultRowHeight="15.75" x14ac:dyDescent="0.25"/>
  <cols>
    <col min="1" max="1" width="10.625" style="803" customWidth="1"/>
    <col min="2" max="2" width="8.625" style="803" customWidth="1"/>
    <col min="3" max="3" width="8.625" style="954" customWidth="1"/>
    <col min="4" max="4" width="8.625" style="1418" customWidth="1"/>
    <col min="5" max="7" width="8.625" style="803" customWidth="1"/>
    <col min="8" max="9" width="8.625" style="1093" customWidth="1"/>
    <col min="10" max="12" width="8.625" style="803" customWidth="1"/>
    <col min="13" max="13" width="10.625" style="803" customWidth="1"/>
    <col min="14" max="14" width="9.625" style="803" customWidth="1"/>
    <col min="15" max="16384" width="9" style="803"/>
  </cols>
  <sheetData>
    <row r="1" spans="1:14" x14ac:dyDescent="0.25">
      <c r="A1" s="2088" t="s">
        <v>433</v>
      </c>
      <c r="B1" s="2089"/>
      <c r="C1" s="2089"/>
      <c r="D1" s="2089"/>
      <c r="E1" s="2089"/>
      <c r="F1" s="2089"/>
      <c r="G1" s="2089"/>
      <c r="H1" s="2089"/>
      <c r="I1" s="2089"/>
      <c r="J1" s="2089"/>
      <c r="K1" s="2089"/>
      <c r="L1" s="2089"/>
      <c r="M1" s="2089"/>
      <c r="N1" s="806">
        <v>9</v>
      </c>
    </row>
    <row r="2" spans="1:14" ht="6" customHeight="1" x14ac:dyDescent="0.25">
      <c r="A2" s="2093"/>
      <c r="B2" s="2094"/>
      <c r="C2" s="2094"/>
      <c r="D2" s="2094"/>
      <c r="E2" s="2094"/>
      <c r="F2" s="2094"/>
      <c r="G2" s="2094"/>
      <c r="H2" s="2094"/>
      <c r="I2" s="2094"/>
      <c r="J2" s="2094"/>
      <c r="K2" s="2094"/>
      <c r="L2" s="2094"/>
      <c r="M2" s="2094"/>
      <c r="N2" s="2095"/>
    </row>
    <row r="3" spans="1:14" s="1463" customFormat="1" ht="23.25" x14ac:dyDescent="0.25">
      <c r="A3" s="1462" t="s">
        <v>434</v>
      </c>
      <c r="B3" s="2091" t="str">
        <f>VLOOKUP(N1,Prehľad!$A$1:$C$30,2,FALSE)</f>
        <v>KE791IT</v>
      </c>
      <c r="C3" s="2091"/>
      <c r="D3" s="2091"/>
      <c r="E3" s="2091"/>
      <c r="F3" s="2091" t="str">
        <f>VLOOKUP(N1,Prehľad!$A$1:$C$30,3,FALSE)</f>
        <v>ŠKODA - OCTAVIA combi 4x4</v>
      </c>
      <c r="G3" s="2091"/>
      <c r="H3" s="2091"/>
      <c r="I3" s="2091"/>
      <c r="J3" s="2091"/>
      <c r="K3" s="2091" t="str">
        <f>VLOOKUP(N1,Prehľad!$A$1:$BL$30,64,FALSE)</f>
        <v>STAŠKO Slavomír; Ing. (OLEXA Ján)</v>
      </c>
      <c r="L3" s="2091"/>
      <c r="M3" s="2091"/>
      <c r="N3" s="2092"/>
    </row>
    <row r="4" spans="1:14" s="805" customFormat="1" ht="6" customHeight="1" x14ac:dyDescent="0.25">
      <c r="A4" s="2093"/>
      <c r="B4" s="2094"/>
      <c r="C4" s="2094"/>
      <c r="D4" s="2094"/>
      <c r="E4" s="2094"/>
      <c r="F4" s="2094"/>
      <c r="G4" s="2094"/>
      <c r="H4" s="2094"/>
      <c r="I4" s="2094"/>
      <c r="J4" s="2094"/>
      <c r="K4" s="2094"/>
      <c r="L4" s="2094"/>
      <c r="M4" s="2094"/>
      <c r="N4" s="2095"/>
    </row>
    <row r="5" spans="1:14" s="249" customFormat="1" ht="12" x14ac:dyDescent="0.25">
      <c r="A5" s="824"/>
      <c r="B5" s="2090" t="s">
        <v>435</v>
      </c>
      <c r="C5" s="2090"/>
      <c r="D5" s="2090"/>
      <c r="E5" s="2090"/>
      <c r="F5" s="2090"/>
      <c r="G5" s="2090"/>
      <c r="H5" s="2090"/>
      <c r="I5" s="2090"/>
      <c r="J5" s="2090"/>
      <c r="K5" s="2090"/>
      <c r="L5" s="2090"/>
      <c r="M5" s="2090"/>
      <c r="N5" s="825"/>
    </row>
    <row r="6" spans="1:14" s="804" customFormat="1" ht="63.75" x14ac:dyDescent="0.25">
      <c r="A6" s="820" t="s">
        <v>436</v>
      </c>
      <c r="B6" s="821" t="s">
        <v>437</v>
      </c>
      <c r="C6" s="821" t="s">
        <v>1090</v>
      </c>
      <c r="D6" s="821" t="s">
        <v>1091</v>
      </c>
      <c r="E6" s="822" t="s">
        <v>438</v>
      </c>
      <c r="F6" s="822" t="s">
        <v>1354</v>
      </c>
      <c r="G6" s="823" t="s">
        <v>439</v>
      </c>
      <c r="H6" s="1097" t="s">
        <v>664</v>
      </c>
      <c r="I6" s="1094" t="s">
        <v>663</v>
      </c>
      <c r="J6" s="821" t="s">
        <v>440</v>
      </c>
      <c r="K6" s="822" t="s">
        <v>441</v>
      </c>
      <c r="L6" s="823" t="s">
        <v>442</v>
      </c>
      <c r="M6" s="820"/>
      <c r="N6" s="820"/>
    </row>
    <row r="7" spans="1:14" s="804" customFormat="1" ht="24" customHeight="1" x14ac:dyDescent="0.25">
      <c r="A7" s="812" t="s">
        <v>580</v>
      </c>
      <c r="B7" s="808"/>
      <c r="C7" s="808"/>
      <c r="D7" s="808"/>
      <c r="E7" s="807"/>
      <c r="F7" s="807"/>
      <c r="G7" s="816"/>
      <c r="H7" s="1095"/>
      <c r="I7" s="1096"/>
      <c r="J7" s="808"/>
      <c r="K7" s="807"/>
      <c r="L7" s="816"/>
      <c r="M7" s="812" t="s">
        <v>581</v>
      </c>
      <c r="N7" s="812" t="s">
        <v>581</v>
      </c>
    </row>
    <row r="8" spans="1:14" s="804" customFormat="1" ht="66" customHeight="1" x14ac:dyDescent="0.25">
      <c r="A8" s="812" t="s">
        <v>443</v>
      </c>
      <c r="B8" s="808" t="s">
        <v>444</v>
      </c>
      <c r="C8" s="807" t="s">
        <v>579</v>
      </c>
      <c r="D8" s="807" t="s">
        <v>665</v>
      </c>
      <c r="E8" s="807" t="s">
        <v>445</v>
      </c>
      <c r="F8" s="807" t="s">
        <v>1116</v>
      </c>
      <c r="G8" s="816" t="s">
        <v>665</v>
      </c>
      <c r="H8" s="1095" t="s">
        <v>665</v>
      </c>
      <c r="I8" s="1096" t="s">
        <v>665</v>
      </c>
      <c r="J8" s="808" t="s">
        <v>666</v>
      </c>
      <c r="K8" s="807" t="s">
        <v>667</v>
      </c>
      <c r="L8" s="816" t="s">
        <v>445</v>
      </c>
      <c r="M8" s="812" t="s">
        <v>446</v>
      </c>
      <c r="N8" s="812" t="s">
        <v>1126</v>
      </c>
    </row>
    <row r="9" spans="1:14" ht="30" customHeight="1" x14ac:dyDescent="0.25">
      <c r="A9" s="813"/>
      <c r="B9" s="809"/>
      <c r="C9" s="809"/>
      <c r="D9" s="809"/>
      <c r="E9" s="787"/>
      <c r="F9" s="787"/>
      <c r="G9" s="817"/>
      <c r="H9" s="471"/>
      <c r="I9" s="458"/>
      <c r="J9" s="809"/>
      <c r="K9" s="787"/>
      <c r="L9" s="817"/>
      <c r="M9" s="813"/>
      <c r="N9" s="813"/>
    </row>
    <row r="10" spans="1:14" ht="30" customHeight="1" x14ac:dyDescent="0.25">
      <c r="A10" s="814"/>
      <c r="B10" s="810"/>
      <c r="C10" s="810"/>
      <c r="D10" s="810"/>
      <c r="E10" s="778"/>
      <c r="F10" s="778"/>
      <c r="G10" s="818"/>
      <c r="H10" s="469"/>
      <c r="I10" s="465"/>
      <c r="J10" s="810"/>
      <c r="K10" s="778"/>
      <c r="L10" s="818"/>
      <c r="M10" s="814"/>
      <c r="N10" s="814"/>
    </row>
    <row r="11" spans="1:14" s="1093" customFormat="1" ht="30" customHeight="1" x14ac:dyDescent="0.25">
      <c r="A11" s="814"/>
      <c r="B11" s="810"/>
      <c r="C11" s="810"/>
      <c r="D11" s="810"/>
      <c r="E11" s="778"/>
      <c r="F11" s="778"/>
      <c r="G11" s="818"/>
      <c r="H11" s="469"/>
      <c r="I11" s="465"/>
      <c r="J11" s="810"/>
      <c r="K11" s="778"/>
      <c r="L11" s="818"/>
      <c r="M11" s="814"/>
      <c r="N11" s="814"/>
    </row>
    <row r="12" spans="1:14" s="1093" customFormat="1" ht="30" customHeight="1" x14ac:dyDescent="0.25">
      <c r="A12" s="814"/>
      <c r="B12" s="810"/>
      <c r="C12" s="810"/>
      <c r="D12" s="810"/>
      <c r="E12" s="778"/>
      <c r="F12" s="778"/>
      <c r="G12" s="818"/>
      <c r="H12" s="469"/>
      <c r="I12" s="465"/>
      <c r="J12" s="810"/>
      <c r="K12" s="778"/>
      <c r="L12" s="818"/>
      <c r="M12" s="814"/>
      <c r="N12" s="814"/>
    </row>
    <row r="13" spans="1:14" s="1461" customFormat="1" ht="30" customHeight="1" x14ac:dyDescent="0.25">
      <c r="A13" s="814"/>
      <c r="B13" s="810"/>
      <c r="C13" s="810"/>
      <c r="D13" s="810"/>
      <c r="E13" s="778"/>
      <c r="F13" s="778"/>
      <c r="G13" s="818"/>
      <c r="H13" s="469"/>
      <c r="I13" s="465"/>
      <c r="J13" s="810"/>
      <c r="K13" s="778"/>
      <c r="L13" s="818"/>
      <c r="M13" s="814"/>
      <c r="N13" s="814"/>
    </row>
    <row r="14" spans="1:14" s="1093" customFormat="1" ht="30" customHeight="1" x14ac:dyDescent="0.25">
      <c r="A14" s="814"/>
      <c r="B14" s="810"/>
      <c r="C14" s="810"/>
      <c r="D14" s="810"/>
      <c r="E14" s="778"/>
      <c r="F14" s="778"/>
      <c r="G14" s="818"/>
      <c r="H14" s="469"/>
      <c r="I14" s="465"/>
      <c r="J14" s="810"/>
      <c r="K14" s="778"/>
      <c r="L14" s="818"/>
      <c r="M14" s="814"/>
      <c r="N14" s="814"/>
    </row>
    <row r="15" spans="1:14" s="805" customFormat="1" ht="30" customHeight="1" x14ac:dyDescent="0.25">
      <c r="A15" s="814"/>
      <c r="B15" s="810"/>
      <c r="C15" s="810"/>
      <c r="D15" s="810"/>
      <c r="E15" s="778"/>
      <c r="F15" s="778"/>
      <c r="G15" s="818"/>
      <c r="H15" s="469"/>
      <c r="I15" s="465"/>
      <c r="J15" s="810"/>
      <c r="K15" s="778"/>
      <c r="L15" s="818"/>
      <c r="M15" s="814"/>
      <c r="N15" s="814"/>
    </row>
    <row r="16" spans="1:14" s="805" customFormat="1" ht="30" customHeight="1" x14ac:dyDescent="0.25">
      <c r="A16" s="814"/>
      <c r="B16" s="810"/>
      <c r="C16" s="810"/>
      <c r="D16" s="810"/>
      <c r="E16" s="778"/>
      <c r="F16" s="778"/>
      <c r="G16" s="818"/>
      <c r="H16" s="469"/>
      <c r="I16" s="465"/>
      <c r="J16" s="810"/>
      <c r="K16" s="778"/>
      <c r="L16" s="818"/>
      <c r="M16" s="814"/>
      <c r="N16" s="814"/>
    </row>
    <row r="17" spans="1:14" s="805" customFormat="1" ht="30" customHeight="1" x14ac:dyDescent="0.25">
      <c r="A17" s="814"/>
      <c r="B17" s="810"/>
      <c r="C17" s="810"/>
      <c r="D17" s="810"/>
      <c r="E17" s="778"/>
      <c r="F17" s="778"/>
      <c r="G17" s="818"/>
      <c r="H17" s="469"/>
      <c r="I17" s="465"/>
      <c r="J17" s="810"/>
      <c r="K17" s="778"/>
      <c r="L17" s="818"/>
      <c r="M17" s="814"/>
      <c r="N17" s="814"/>
    </row>
    <row r="18" spans="1:14" s="805" customFormat="1" ht="30" customHeight="1" x14ac:dyDescent="0.25">
      <c r="A18" s="814"/>
      <c r="B18" s="810"/>
      <c r="C18" s="810"/>
      <c r="D18" s="810"/>
      <c r="E18" s="778"/>
      <c r="F18" s="778"/>
      <c r="G18" s="818"/>
      <c r="H18" s="469"/>
      <c r="I18" s="465"/>
      <c r="J18" s="810"/>
      <c r="K18" s="778"/>
      <c r="L18" s="818"/>
      <c r="M18" s="814"/>
      <c r="N18" s="814"/>
    </row>
    <row r="19" spans="1:14" s="805" customFormat="1" ht="30" customHeight="1" x14ac:dyDescent="0.25">
      <c r="A19" s="814"/>
      <c r="B19" s="810"/>
      <c r="C19" s="810"/>
      <c r="D19" s="810"/>
      <c r="E19" s="778"/>
      <c r="F19" s="778"/>
      <c r="G19" s="818"/>
      <c r="H19" s="469"/>
      <c r="I19" s="465"/>
      <c r="J19" s="810"/>
      <c r="K19" s="778"/>
      <c r="L19" s="818"/>
      <c r="M19" s="814"/>
      <c r="N19" s="814"/>
    </row>
    <row r="20" spans="1:14" s="1418" customFormat="1" ht="30" customHeight="1" x14ac:dyDescent="0.25">
      <c r="A20" s="814"/>
      <c r="B20" s="810"/>
      <c r="C20" s="810"/>
      <c r="D20" s="810"/>
      <c r="E20" s="778"/>
      <c r="F20" s="778"/>
      <c r="G20" s="818"/>
      <c r="H20" s="469"/>
      <c r="I20" s="465"/>
      <c r="J20" s="810"/>
      <c r="K20" s="778"/>
      <c r="L20" s="818"/>
      <c r="M20" s="814"/>
      <c r="N20" s="814"/>
    </row>
    <row r="21" spans="1:14" s="1418" customFormat="1" ht="30" customHeight="1" x14ac:dyDescent="0.25">
      <c r="A21" s="814"/>
      <c r="B21" s="810"/>
      <c r="C21" s="810"/>
      <c r="D21" s="810"/>
      <c r="E21" s="778"/>
      <c r="F21" s="778"/>
      <c r="G21" s="818"/>
      <c r="H21" s="469"/>
      <c r="I21" s="465"/>
      <c r="J21" s="810"/>
      <c r="K21" s="778"/>
      <c r="L21" s="818"/>
      <c r="M21" s="814"/>
      <c r="N21" s="814"/>
    </row>
    <row r="22" spans="1:14" s="1418" customFormat="1" ht="30" customHeight="1" x14ac:dyDescent="0.25">
      <c r="A22" s="814"/>
      <c r="B22" s="810"/>
      <c r="C22" s="810"/>
      <c r="D22" s="810"/>
      <c r="E22" s="778"/>
      <c r="F22" s="778"/>
      <c r="G22" s="818"/>
      <c r="H22" s="469"/>
      <c r="I22" s="465"/>
      <c r="J22" s="810"/>
      <c r="K22" s="778"/>
      <c r="L22" s="818"/>
      <c r="M22" s="814"/>
      <c r="N22" s="814"/>
    </row>
    <row r="23" spans="1:14" s="805" customFormat="1" ht="30" customHeight="1" x14ac:dyDescent="0.25">
      <c r="A23" s="814"/>
      <c r="B23" s="810"/>
      <c r="C23" s="810"/>
      <c r="D23" s="810"/>
      <c r="E23" s="778"/>
      <c r="F23" s="778"/>
      <c r="G23" s="818"/>
      <c r="H23" s="469"/>
      <c r="I23" s="465"/>
      <c r="J23" s="810"/>
      <c r="K23" s="778"/>
      <c r="L23" s="818"/>
      <c r="M23" s="814"/>
      <c r="N23" s="814"/>
    </row>
    <row r="24" spans="1:14" s="805" customFormat="1" ht="30" customHeight="1" x14ac:dyDescent="0.25">
      <c r="A24" s="814"/>
      <c r="B24" s="810"/>
      <c r="C24" s="810"/>
      <c r="D24" s="810"/>
      <c r="E24" s="778"/>
      <c r="F24" s="778"/>
      <c r="G24" s="818"/>
      <c r="H24" s="469"/>
      <c r="I24" s="465"/>
      <c r="J24" s="810"/>
      <c r="K24" s="778"/>
      <c r="L24" s="818"/>
      <c r="M24" s="814"/>
      <c r="N24" s="814"/>
    </row>
    <row r="25" spans="1:14" s="805" customFormat="1" ht="30" customHeight="1" x14ac:dyDescent="0.25">
      <c r="A25" s="814"/>
      <c r="B25" s="810"/>
      <c r="C25" s="810"/>
      <c r="D25" s="810"/>
      <c r="E25" s="778"/>
      <c r="F25" s="778"/>
      <c r="G25" s="818"/>
      <c r="H25" s="469"/>
      <c r="I25" s="465"/>
      <c r="J25" s="810"/>
      <c r="K25" s="778"/>
      <c r="L25" s="818"/>
      <c r="M25" s="814"/>
      <c r="N25" s="814"/>
    </row>
    <row r="26" spans="1:14" s="805" customFormat="1" ht="30" customHeight="1" x14ac:dyDescent="0.25">
      <c r="A26" s="814"/>
      <c r="B26" s="810"/>
      <c r="C26" s="810"/>
      <c r="D26" s="810"/>
      <c r="E26" s="778"/>
      <c r="F26" s="778"/>
      <c r="G26" s="818"/>
      <c r="H26" s="469"/>
      <c r="I26" s="465"/>
      <c r="J26" s="810"/>
      <c r="K26" s="778"/>
      <c r="L26" s="818"/>
      <c r="M26" s="814"/>
      <c r="N26" s="814"/>
    </row>
    <row r="27" spans="1:14" s="805" customFormat="1" ht="30" customHeight="1" x14ac:dyDescent="0.25">
      <c r="A27" s="814"/>
      <c r="B27" s="810"/>
      <c r="C27" s="810"/>
      <c r="D27" s="810"/>
      <c r="E27" s="778"/>
      <c r="F27" s="778"/>
      <c r="G27" s="818"/>
      <c r="H27" s="469"/>
      <c r="I27" s="465"/>
      <c r="J27" s="810"/>
      <c r="K27" s="778"/>
      <c r="L27" s="818"/>
      <c r="M27" s="814"/>
      <c r="N27" s="814"/>
    </row>
    <row r="28" spans="1:14" s="805" customFormat="1" ht="30" customHeight="1" x14ac:dyDescent="0.25">
      <c r="A28" s="814"/>
      <c r="B28" s="810"/>
      <c r="C28" s="810"/>
      <c r="D28" s="810"/>
      <c r="E28" s="778"/>
      <c r="F28" s="778"/>
      <c r="G28" s="818"/>
      <c r="H28" s="469"/>
      <c r="I28" s="465"/>
      <c r="J28" s="810"/>
      <c r="K28" s="778"/>
      <c r="L28" s="818"/>
      <c r="M28" s="814"/>
      <c r="N28" s="814"/>
    </row>
    <row r="29" spans="1:14" s="805" customFormat="1" ht="30" customHeight="1" x14ac:dyDescent="0.25">
      <c r="A29" s="814"/>
      <c r="B29" s="810"/>
      <c r="C29" s="810"/>
      <c r="D29" s="810"/>
      <c r="E29" s="778"/>
      <c r="F29" s="778"/>
      <c r="G29" s="818"/>
      <c r="H29" s="469"/>
      <c r="I29" s="465"/>
      <c r="J29" s="810"/>
      <c r="K29" s="778"/>
      <c r="L29" s="818"/>
      <c r="M29" s="814"/>
      <c r="N29" s="814"/>
    </row>
    <row r="30" spans="1:14" s="805" customFormat="1" ht="30" customHeight="1" x14ac:dyDescent="0.25">
      <c r="A30" s="814"/>
      <c r="B30" s="810"/>
      <c r="C30" s="810"/>
      <c r="D30" s="810"/>
      <c r="E30" s="778"/>
      <c r="F30" s="778"/>
      <c r="G30" s="818"/>
      <c r="H30" s="469"/>
      <c r="I30" s="465"/>
      <c r="J30" s="810"/>
      <c r="K30" s="778"/>
      <c r="L30" s="818"/>
      <c r="M30" s="814"/>
      <c r="N30" s="814"/>
    </row>
    <row r="31" spans="1:14" s="1461" customFormat="1" ht="30" customHeight="1" x14ac:dyDescent="0.25">
      <c r="A31" s="814"/>
      <c r="B31" s="810"/>
      <c r="C31" s="810"/>
      <c r="D31" s="810"/>
      <c r="E31" s="778"/>
      <c r="F31" s="778"/>
      <c r="G31" s="818"/>
      <c r="H31" s="469"/>
      <c r="I31" s="465"/>
      <c r="J31" s="810"/>
      <c r="K31" s="778"/>
      <c r="L31" s="818"/>
      <c r="M31" s="814"/>
      <c r="N31" s="814"/>
    </row>
    <row r="32" spans="1:14" ht="30" customHeight="1" x14ac:dyDescent="0.25">
      <c r="A32" s="814"/>
      <c r="B32" s="810"/>
      <c r="C32" s="810"/>
      <c r="D32" s="810"/>
      <c r="E32" s="778"/>
      <c r="F32" s="778"/>
      <c r="G32" s="818"/>
      <c r="H32" s="469"/>
      <c r="I32" s="465"/>
      <c r="J32" s="810"/>
      <c r="K32" s="778"/>
      <c r="L32" s="818"/>
      <c r="M32" s="814"/>
      <c r="N32" s="814"/>
    </row>
    <row r="33" spans="1:14" ht="30" customHeight="1" x14ac:dyDescent="0.25">
      <c r="A33" s="814"/>
      <c r="B33" s="810"/>
      <c r="C33" s="810"/>
      <c r="D33" s="810"/>
      <c r="E33" s="778"/>
      <c r="F33" s="778"/>
      <c r="G33" s="818"/>
      <c r="H33" s="469"/>
      <c r="I33" s="465"/>
      <c r="J33" s="810"/>
      <c r="K33" s="778"/>
      <c r="L33" s="818"/>
      <c r="M33" s="814"/>
      <c r="N33" s="814"/>
    </row>
    <row r="34" spans="1:14" ht="30" customHeight="1" x14ac:dyDescent="0.25">
      <c r="A34" s="814"/>
      <c r="B34" s="810"/>
      <c r="C34" s="810"/>
      <c r="D34" s="810"/>
      <c r="E34" s="778"/>
      <c r="F34" s="778"/>
      <c r="G34" s="818"/>
      <c r="H34" s="469"/>
      <c r="I34" s="465"/>
      <c r="J34" s="810"/>
      <c r="K34" s="778"/>
      <c r="L34" s="818"/>
      <c r="M34" s="814"/>
      <c r="N34" s="814"/>
    </row>
    <row r="35" spans="1:14" ht="30" customHeight="1" x14ac:dyDescent="0.25">
      <c r="A35" s="814"/>
      <c r="B35" s="810"/>
      <c r="C35" s="810"/>
      <c r="D35" s="810"/>
      <c r="E35" s="778"/>
      <c r="F35" s="778"/>
      <c r="G35" s="818"/>
      <c r="H35" s="469"/>
      <c r="I35" s="465"/>
      <c r="J35" s="810"/>
      <c r="K35" s="778"/>
      <c r="L35" s="818"/>
      <c r="M35" s="814"/>
      <c r="N35" s="814"/>
    </row>
    <row r="36" spans="1:14" ht="30" customHeight="1" x14ac:dyDescent="0.25">
      <c r="A36" s="814"/>
      <c r="B36" s="810"/>
      <c r="C36" s="810"/>
      <c r="D36" s="810"/>
      <c r="E36" s="778"/>
      <c r="F36" s="778"/>
      <c r="G36" s="818"/>
      <c r="H36" s="469"/>
      <c r="I36" s="465"/>
      <c r="J36" s="810"/>
      <c r="K36" s="778"/>
      <c r="L36" s="818"/>
      <c r="M36" s="814"/>
      <c r="N36" s="814"/>
    </row>
    <row r="37" spans="1:14" ht="30" customHeight="1" x14ac:dyDescent="0.25">
      <c r="A37" s="814"/>
      <c r="B37" s="810"/>
      <c r="C37" s="810"/>
      <c r="D37" s="810"/>
      <c r="E37" s="778"/>
      <c r="F37" s="778"/>
      <c r="G37" s="818"/>
      <c r="H37" s="469"/>
      <c r="I37" s="465"/>
      <c r="J37" s="810"/>
      <c r="K37" s="778"/>
      <c r="L37" s="818"/>
      <c r="M37" s="814"/>
      <c r="N37" s="814"/>
    </row>
    <row r="38" spans="1:14" ht="30" customHeight="1" x14ac:dyDescent="0.25">
      <c r="A38" s="815"/>
      <c r="B38" s="811"/>
      <c r="C38" s="811"/>
      <c r="D38" s="811"/>
      <c r="E38" s="482"/>
      <c r="F38" s="482"/>
      <c r="G38" s="819"/>
      <c r="H38" s="498"/>
      <c r="I38" s="483"/>
      <c r="J38" s="811"/>
      <c r="K38" s="482"/>
      <c r="L38" s="819"/>
      <c r="M38" s="815"/>
      <c r="N38" s="815"/>
    </row>
    <row r="39" spans="1:14" x14ac:dyDescent="0.25">
      <c r="A39" s="2087" t="s">
        <v>450</v>
      </c>
      <c r="B39" s="2087"/>
      <c r="C39" s="2087"/>
      <c r="D39" s="2087"/>
      <c r="E39" s="2087"/>
      <c r="F39" s="2087"/>
      <c r="G39" s="2087"/>
      <c r="H39" s="2087"/>
      <c r="I39" s="2087"/>
      <c r="J39" s="2087"/>
      <c r="K39" s="2087"/>
      <c r="L39" s="2087"/>
      <c r="M39" s="2087"/>
      <c r="N39" s="2087"/>
    </row>
  </sheetData>
  <mergeCells count="8">
    <mergeCell ref="A39:N39"/>
    <mergeCell ref="A1:M1"/>
    <mergeCell ref="B5:M5"/>
    <mergeCell ref="B3:E3"/>
    <mergeCell ref="F3:J3"/>
    <mergeCell ref="K3:N3"/>
    <mergeCell ref="A2:N2"/>
    <mergeCell ref="A4:N4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41</vt:i4>
      </vt:variant>
      <vt:variant>
        <vt:lpstr>Pomenované rozsahy</vt:lpstr>
      </vt:variant>
      <vt:variant>
        <vt:i4>1</vt:i4>
      </vt:variant>
    </vt:vector>
  </HeadingPairs>
  <TitlesOfParts>
    <vt:vector size="42" baseType="lpstr">
      <vt:lpstr>HP</vt:lpstr>
      <vt:lpstr>Umývanie</vt:lpstr>
      <vt:lpstr>Poistenie</vt:lpstr>
      <vt:lpstr>Spotreby PHM</vt:lpstr>
      <vt:lpstr>Zoznam</vt:lpstr>
      <vt:lpstr>Plán obnovy</vt:lpstr>
      <vt:lpstr>Rozdiel spotrieb</vt:lpstr>
      <vt:lpstr>Faktúry-servis</vt:lpstr>
      <vt:lpstr>Karty</vt:lpstr>
      <vt:lpstr>Výber dodávateľa</vt:lpstr>
      <vt:lpstr>Autodoplnky</vt:lpstr>
      <vt:lpstr>Ubehnuté km</vt:lpstr>
      <vt:lpstr>Prehľad</vt:lpstr>
      <vt:lpstr>APZU</vt:lpstr>
      <vt:lpstr>KE021DO</vt:lpstr>
      <vt:lpstr>KE164JL</vt:lpstr>
      <vt:lpstr>KE298FP</vt:lpstr>
      <vt:lpstr>KE298YC</vt:lpstr>
      <vt:lpstr>KE490FJ</vt:lpstr>
      <vt:lpstr>KE502KB</vt:lpstr>
      <vt:lpstr>KE552HZ</vt:lpstr>
      <vt:lpstr>KE692FR</vt:lpstr>
      <vt:lpstr>KE747JX</vt:lpstr>
      <vt:lpstr>KE791IT</vt:lpstr>
      <vt:lpstr>KE956HU</vt:lpstr>
      <vt:lpstr>KE909KZ</vt:lpstr>
      <vt:lpstr>BL253RN</vt:lpstr>
      <vt:lpstr>KE344YO</vt:lpstr>
      <vt:lpstr>KE574LL</vt:lpstr>
      <vt:lpstr>BL028VG</vt:lpstr>
      <vt:lpstr>KE502GM</vt:lpstr>
      <vt:lpstr>KE270MZ</vt:lpstr>
      <vt:lpstr>KE574LL-Cenník</vt:lpstr>
      <vt:lpstr>Vyradené vozidlá</vt:lpstr>
      <vt:lpstr>KE169CK</vt:lpstr>
      <vt:lpstr>KE089BB</vt:lpstr>
      <vt:lpstr>KE643DF</vt:lpstr>
      <vt:lpstr>KE695DD</vt:lpstr>
      <vt:lpstr>KE297FP</vt:lpstr>
      <vt:lpstr>KE617ED</vt:lpstr>
      <vt:lpstr>KE319CP</vt:lpstr>
      <vt:lpstr>'KE574LL-Cenník'!Oblasť_tlače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maros.kvitkovsky</cp:lastModifiedBy>
  <cp:lastPrinted>2022-01-24T09:55:54Z</cp:lastPrinted>
  <dcterms:created xsi:type="dcterms:W3CDTF">2016-09-19T09:52:54Z</dcterms:created>
  <dcterms:modified xsi:type="dcterms:W3CDTF">2022-02-15T17:34:27Z</dcterms:modified>
</cp:coreProperties>
</file>