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Zaloha Lucanska\Moje Dokumenty\Dokumenty\Správy o hosp.a cerp\2022\VSoH\"/>
    </mc:Choice>
  </mc:AlternateContent>
  <bookViews>
    <workbookView xWindow="0" yWindow="0" windowWidth="28800" windowHeight="11700" tabRatio="895" firstSheet="10" activeTab="11"/>
  </bookViews>
  <sheets>
    <sheet name="T1-Dotácie podľa DZ" sheetId="23" r:id="rId1"/>
    <sheet name="T2-Ostatné dot mimo MŠ SR" sheetId="3" r:id="rId2"/>
    <sheet name="T3-Výnosy" sheetId="175" r:id="rId3"/>
    <sheet name="T4-Výnosy zo školného" sheetId="154" r:id="rId4"/>
    <sheet name="T5 - Analýza nákladov" sheetId="176" r:id="rId5"/>
    <sheet name="T6-Zamestnanci_a_mzdy" sheetId="172" r:id="rId6"/>
    <sheet name="T6a-Zamestnanci_a_mzdy (ženy)" sheetId="173" r:id="rId7"/>
    <sheet name="T7_Doktorandi " sheetId="159" r:id="rId8"/>
    <sheet name="T8-Soc_štipendiá" sheetId="109" r:id="rId9"/>
    <sheet name="T8a-Teh_štipendiá" sheetId="164" r:id="rId10"/>
    <sheet name="T9_ŠD " sheetId="116" r:id="rId11"/>
    <sheet name="T10-ŠJ " sheetId="174" r:id="rId12"/>
    <sheet name="T11-Zdroje KV" sheetId="90" r:id="rId13"/>
    <sheet name="T12-KV" sheetId="91" r:id="rId14"/>
    <sheet name="T13-Fondy" sheetId="145" r:id="rId15"/>
    <sheet name="T14-Príjmy VVŠ z POO" sheetId="166" r:id="rId16"/>
    <sheet name="T15-Príjmy VVŠ z RP_11UA" sheetId="168" r:id="rId17"/>
    <sheet name="T16 - Štruktúra hotovosti " sheetId="171" r:id="rId18"/>
    <sheet name="T17-Dotácie zo ŠF EU-nová" sheetId="160" r:id="rId19"/>
    <sheet name="T18-Ostatné dotácie z kap MŠ SR" sheetId="61" r:id="rId20"/>
    <sheet name="T19-Štip_ z vlastných " sheetId="144" r:id="rId21"/>
    <sheet name="T20a-štipendiá z POO" sheetId="167" r:id="rId22"/>
    <sheet name="T20_motivačné štipendiá" sheetId="157" r:id="rId23"/>
    <sheet name="T20b-štipendiá z RP_11UA" sheetId="169" r:id="rId24"/>
    <sheet name="T21-štruktúra_384" sheetId="97" r:id="rId25"/>
    <sheet name="T22_Výnosy_soc_oblasť" sheetId="133" r:id="rId26"/>
    <sheet name="T23_Náklady_soc_oblasť" sheetId="134" r:id="rId27"/>
    <sheet name="T24_čerpanie rozvoj" sheetId="170" r:id="rId28"/>
    <sheet name="T24__Aktíva" sheetId="135" state="hidden" r:id="rId29"/>
  </sheets>
  <externalReferences>
    <externalReference r:id="rId30"/>
  </externalReferences>
  <definedNames>
    <definedName name="_kmp1" localSheetId="11">#REF!</definedName>
    <definedName name="_kmp1" localSheetId="15">#REF!</definedName>
    <definedName name="_kmp1" localSheetId="17">#REF!</definedName>
    <definedName name="_kmp1" localSheetId="18">#REF!</definedName>
    <definedName name="_kmp1" localSheetId="21">#REF!</definedName>
    <definedName name="_kmp1" localSheetId="2">#REF!</definedName>
    <definedName name="_kmp1" localSheetId="4">#REF!</definedName>
    <definedName name="_kmp1" localSheetId="6">#REF!</definedName>
    <definedName name="_kmp1" localSheetId="5">#REF!</definedName>
    <definedName name="_kmp1" localSheetId="7">#REF!</definedName>
    <definedName name="_kmp1" localSheetId="9">#REF!</definedName>
    <definedName name="_kmp1">#REF!</definedName>
    <definedName name="_kmp2" localSheetId="11">#REF!</definedName>
    <definedName name="_kmp2" localSheetId="15">#REF!</definedName>
    <definedName name="_kmp2" localSheetId="17">#REF!</definedName>
    <definedName name="_kmp2" localSheetId="18">#REF!</definedName>
    <definedName name="_kmp2" localSheetId="21">#REF!</definedName>
    <definedName name="_kmp2" localSheetId="2">#REF!</definedName>
    <definedName name="_kmp2" localSheetId="4">#REF!</definedName>
    <definedName name="_kmp2" localSheetId="6">#REF!</definedName>
    <definedName name="_kmp2" localSheetId="5">#REF!</definedName>
    <definedName name="_kmp2" localSheetId="7">#REF!</definedName>
    <definedName name="_kmp2" localSheetId="9">#REF!</definedName>
    <definedName name="_kmp2">#REF!</definedName>
    <definedName name="_kmt1" localSheetId="11">#REF!</definedName>
    <definedName name="_kmt1" localSheetId="15">#REF!</definedName>
    <definedName name="_kmt1" localSheetId="17">#REF!</definedName>
    <definedName name="_kmt1" localSheetId="18">#REF!</definedName>
    <definedName name="_kmt1" localSheetId="21">#REF!</definedName>
    <definedName name="_kmt1" localSheetId="2">#REF!</definedName>
    <definedName name="_kmt1" localSheetId="4">#REF!</definedName>
    <definedName name="_kmt1" localSheetId="6">#REF!</definedName>
    <definedName name="_kmt1" localSheetId="5">#REF!</definedName>
    <definedName name="_kmt1" localSheetId="7">#REF!</definedName>
    <definedName name="_kmt1" localSheetId="9">#REF!</definedName>
    <definedName name="_kmt1">#REF!</definedName>
    <definedName name="_T1" localSheetId="11">#REF!</definedName>
    <definedName name="_T1" localSheetId="15">#REF!</definedName>
    <definedName name="_T1" localSheetId="17">#REF!</definedName>
    <definedName name="_T1" localSheetId="18">#REF!</definedName>
    <definedName name="_T1" localSheetId="21">#REF!</definedName>
    <definedName name="_T1" localSheetId="2">#REF!</definedName>
    <definedName name="_T1" localSheetId="4">#REF!</definedName>
    <definedName name="_T1" localSheetId="6">#REF!</definedName>
    <definedName name="_T1" localSheetId="5">#REF!</definedName>
    <definedName name="_T1" localSheetId="7">#REF!</definedName>
    <definedName name="_T1" localSheetId="9">#REF!</definedName>
    <definedName name="_T1">#REF!</definedName>
    <definedName name="_wd1" localSheetId="15">[1]vahy!$B$1</definedName>
    <definedName name="_wd1" localSheetId="22">[1]vahy!$B$1</definedName>
    <definedName name="_wd1">[1]vahy!$B$1</definedName>
    <definedName name="_wd3" localSheetId="15">[1]vahy!$B$3</definedName>
    <definedName name="_wd3" localSheetId="22">[1]vahy!$B$3</definedName>
    <definedName name="_wd3">[1]vahy!$B$3</definedName>
    <definedName name="_we1" localSheetId="15">[1]vahy!$B$2</definedName>
    <definedName name="_we1" localSheetId="22">[1]vahy!$B$2</definedName>
    <definedName name="_we1">[1]vahy!$B$2</definedName>
    <definedName name="_we3" localSheetId="15">[1]vahy!$B$4</definedName>
    <definedName name="_we3" localSheetId="22">[1]vahy!$B$4</definedName>
    <definedName name="_we3">[1]vahy!$B$4</definedName>
    <definedName name="aaa" hidden="1">3</definedName>
    <definedName name="denní" localSheetId="11">#REF!</definedName>
    <definedName name="denní" localSheetId="15">#REF!</definedName>
    <definedName name="denní" localSheetId="17">#REF!</definedName>
    <definedName name="denní" localSheetId="18">#REF!</definedName>
    <definedName name="denní" localSheetId="21">#REF!</definedName>
    <definedName name="denní" localSheetId="2">#REF!</definedName>
    <definedName name="denní" localSheetId="4">#REF!</definedName>
    <definedName name="denní" localSheetId="6">#REF!</definedName>
    <definedName name="denní" localSheetId="5">#REF!</definedName>
    <definedName name="denní" localSheetId="7">#REF!</definedName>
    <definedName name="denní" localSheetId="9">#REF!</definedName>
    <definedName name="denní">#REF!</definedName>
    <definedName name="dokpo" localSheetId="11">#REF!</definedName>
    <definedName name="dokpo" localSheetId="15">#REF!</definedName>
    <definedName name="dokpo" localSheetId="17">#REF!</definedName>
    <definedName name="dokpo" localSheetId="18">#REF!</definedName>
    <definedName name="dokpo" localSheetId="21">#REF!</definedName>
    <definedName name="dokpo" localSheetId="4">#REF!</definedName>
    <definedName name="dokpo" localSheetId="6">#REF!</definedName>
    <definedName name="dokpo" localSheetId="5">#REF!</definedName>
    <definedName name="dokpo" localSheetId="7">#REF!</definedName>
    <definedName name="dokpo" localSheetId="9">#REF!</definedName>
    <definedName name="dokpo">#REF!</definedName>
    <definedName name="dokpred" localSheetId="11">#REF!</definedName>
    <definedName name="dokpred" localSheetId="15">#REF!</definedName>
    <definedName name="dokpred" localSheetId="17">#REF!</definedName>
    <definedName name="dokpred" localSheetId="18">#REF!</definedName>
    <definedName name="dokpred" localSheetId="21">#REF!</definedName>
    <definedName name="dokpred" localSheetId="4">#REF!</definedName>
    <definedName name="dokpred" localSheetId="6">#REF!</definedName>
    <definedName name="dokpred" localSheetId="5">#REF!</definedName>
    <definedName name="dokpred" localSheetId="7">#REF!</definedName>
    <definedName name="dokpred" localSheetId="9">#REF!</definedName>
    <definedName name="dokpred">#REF!</definedName>
    <definedName name="druhý" localSheetId="11">#REF!</definedName>
    <definedName name="druhý" localSheetId="15">#REF!</definedName>
    <definedName name="druhý" localSheetId="17">#REF!</definedName>
    <definedName name="druhý" localSheetId="18">#REF!</definedName>
    <definedName name="druhý" localSheetId="21">#REF!</definedName>
    <definedName name="druhý" localSheetId="4">#REF!</definedName>
    <definedName name="druhý" localSheetId="6">#REF!</definedName>
    <definedName name="druhý" localSheetId="5">#REF!</definedName>
    <definedName name="druhý" localSheetId="7">#REF!</definedName>
    <definedName name="druhý" localSheetId="9">#REF!</definedName>
    <definedName name="druhý">#REF!</definedName>
    <definedName name="exterdruhý" localSheetId="11">#REF!</definedName>
    <definedName name="exterdruhý" localSheetId="15">#REF!</definedName>
    <definedName name="exterdruhý" localSheetId="17">#REF!</definedName>
    <definedName name="exterdruhý" localSheetId="18">#REF!</definedName>
    <definedName name="exterdruhý" localSheetId="21">#REF!</definedName>
    <definedName name="exterdruhý" localSheetId="4">#REF!</definedName>
    <definedName name="exterdruhý" localSheetId="6">#REF!</definedName>
    <definedName name="exterdruhý" localSheetId="5">#REF!</definedName>
    <definedName name="exterdruhý" localSheetId="7">#REF!</definedName>
    <definedName name="exterdruhý" localSheetId="9">#REF!</definedName>
    <definedName name="exterdruhý">#REF!</definedName>
    <definedName name="externeplat" localSheetId="11">#REF!</definedName>
    <definedName name="externeplat" localSheetId="15">#REF!</definedName>
    <definedName name="externeplat" localSheetId="17">#REF!</definedName>
    <definedName name="externeplat" localSheetId="18">#REF!</definedName>
    <definedName name="externeplat" localSheetId="21">#REF!</definedName>
    <definedName name="externeplat" localSheetId="4">#REF!</definedName>
    <definedName name="externeplat" localSheetId="6">#REF!</definedName>
    <definedName name="externeplat" localSheetId="5">#REF!</definedName>
    <definedName name="externeplat" localSheetId="7">#REF!</definedName>
    <definedName name="externeplat" localSheetId="9">#REF!</definedName>
    <definedName name="externeplat">#REF!</definedName>
    <definedName name="exterplat" localSheetId="11">#REF!</definedName>
    <definedName name="exterplat" localSheetId="15">#REF!</definedName>
    <definedName name="exterplat" localSheetId="17">#REF!</definedName>
    <definedName name="exterplat" localSheetId="18">#REF!</definedName>
    <definedName name="exterplat" localSheetId="21">#REF!</definedName>
    <definedName name="exterplat" localSheetId="2">#REF!</definedName>
    <definedName name="exterplat" localSheetId="4">#REF!</definedName>
    <definedName name="exterplat" localSheetId="6">#REF!</definedName>
    <definedName name="exterplat" localSheetId="5">#REF!</definedName>
    <definedName name="exterplat" localSheetId="7">#REF!</definedName>
    <definedName name="exterplat" localSheetId="9">#REF!</definedName>
    <definedName name="exterplat">#REF!</definedName>
    <definedName name="KKS_doc" localSheetId="11">#REF!</definedName>
    <definedName name="KKS_doc" localSheetId="15">#REF!</definedName>
    <definedName name="KKS_doc" localSheetId="17">#REF!</definedName>
    <definedName name="KKS_doc" localSheetId="18">#REF!</definedName>
    <definedName name="KKS_doc" localSheetId="21">#REF!</definedName>
    <definedName name="KKS_doc" localSheetId="2">#REF!</definedName>
    <definedName name="KKS_doc" localSheetId="4">#REF!</definedName>
    <definedName name="KKS_doc" localSheetId="6">#REF!</definedName>
    <definedName name="KKS_doc" localSheetId="5">#REF!</definedName>
    <definedName name="KKS_doc" localSheetId="7">#REF!</definedName>
    <definedName name="KKS_doc" localSheetId="9">#REF!</definedName>
    <definedName name="KKS_doc">#REF!</definedName>
    <definedName name="KKS_ost" localSheetId="11">#REF!</definedName>
    <definedName name="KKS_ost" localSheetId="15">#REF!</definedName>
    <definedName name="KKS_ost" localSheetId="17">#REF!</definedName>
    <definedName name="KKS_ost" localSheetId="18">#REF!</definedName>
    <definedName name="KKS_ost" localSheetId="21">#REF!</definedName>
    <definedName name="KKS_ost" localSheetId="2">#REF!</definedName>
    <definedName name="KKS_ost" localSheetId="4">#REF!</definedName>
    <definedName name="KKS_ost" localSheetId="6">#REF!</definedName>
    <definedName name="KKS_ost" localSheetId="5">#REF!</definedName>
    <definedName name="KKS_ost" localSheetId="7">#REF!</definedName>
    <definedName name="KKS_ost" localSheetId="9">#REF!</definedName>
    <definedName name="KKS_ost">#REF!</definedName>
    <definedName name="KKS_phd" localSheetId="11">#REF!</definedName>
    <definedName name="KKS_phd" localSheetId="15">#REF!</definedName>
    <definedName name="KKS_phd" localSheetId="17">#REF!</definedName>
    <definedName name="KKS_phd" localSheetId="18">#REF!</definedName>
    <definedName name="KKS_phd" localSheetId="21">#REF!</definedName>
    <definedName name="KKS_phd" localSheetId="2">#REF!</definedName>
    <definedName name="KKS_phd" localSheetId="4">#REF!</definedName>
    <definedName name="KKS_phd" localSheetId="6">#REF!</definedName>
    <definedName name="KKS_phd" localSheetId="5">#REF!</definedName>
    <definedName name="KKS_phd" localSheetId="7">#REF!</definedName>
    <definedName name="KKS_phd" localSheetId="9">#REF!</definedName>
    <definedName name="KKS_phd">#REF!</definedName>
    <definedName name="KKS_prof" localSheetId="11">#REF!</definedName>
    <definedName name="KKS_prof" localSheetId="15">#REF!</definedName>
    <definedName name="KKS_prof" localSheetId="17">#REF!</definedName>
    <definedName name="KKS_prof" localSheetId="18">#REF!</definedName>
    <definedName name="KKS_prof" localSheetId="21">#REF!</definedName>
    <definedName name="KKS_prof" localSheetId="2">#REF!</definedName>
    <definedName name="KKS_prof" localSheetId="4">#REF!</definedName>
    <definedName name="KKS_prof" localSheetId="6">#REF!</definedName>
    <definedName name="KKS_prof" localSheetId="5">#REF!</definedName>
    <definedName name="KKS_prof" localSheetId="7">#REF!</definedName>
    <definedName name="KKS_prof" localSheetId="9">#REF!</definedName>
    <definedName name="KKS_prof">#REF!</definedName>
    <definedName name="koef_gm_mzdy" localSheetId="11">#REF!</definedName>
    <definedName name="koef_gm_mzdy" localSheetId="15">#REF!</definedName>
    <definedName name="koef_gm_mzdy" localSheetId="17">#REF!</definedName>
    <definedName name="koef_gm_mzdy" localSheetId="18">#REF!</definedName>
    <definedName name="koef_gm_mzdy" localSheetId="21">#REF!</definedName>
    <definedName name="koef_gm_mzdy" localSheetId="2">#REF!</definedName>
    <definedName name="koef_gm_mzdy" localSheetId="4">#REF!</definedName>
    <definedName name="koef_gm_mzdy" localSheetId="6">#REF!</definedName>
    <definedName name="koef_gm_mzdy" localSheetId="5">#REF!</definedName>
    <definedName name="koef_gm_mzdy" localSheetId="7">#REF!</definedName>
    <definedName name="koef_gm_mzdy" localSheetId="9">#REF!</definedName>
    <definedName name="koef_gm_mzdy">#REF!</definedName>
    <definedName name="koef_kpn" localSheetId="11">#REF!</definedName>
    <definedName name="koef_kpn" localSheetId="15">#REF!</definedName>
    <definedName name="koef_kpn" localSheetId="17">#REF!</definedName>
    <definedName name="koef_kpn" localSheetId="18">#REF!</definedName>
    <definedName name="koef_kpn" localSheetId="21">#REF!</definedName>
    <definedName name="koef_kpn" localSheetId="2">#REF!</definedName>
    <definedName name="koef_kpn" localSheetId="4">#REF!</definedName>
    <definedName name="koef_kpn" localSheetId="6">#REF!</definedName>
    <definedName name="koef_kpn" localSheetId="5">#REF!</definedName>
    <definedName name="koef_kpn" localSheetId="7">#REF!</definedName>
    <definedName name="koef_kpn" localSheetId="9">#REF!</definedName>
    <definedName name="koef_kpn">#REF!</definedName>
    <definedName name="koef_prer_nad_gm_mzdy" localSheetId="11">#REF!</definedName>
    <definedName name="koef_prer_nad_gm_mzdy" localSheetId="15">#REF!</definedName>
    <definedName name="koef_prer_nad_gm_mzdy" localSheetId="17">#REF!</definedName>
    <definedName name="koef_prer_nad_gm_mzdy" localSheetId="18">#REF!</definedName>
    <definedName name="koef_prer_nad_gm_mzdy" localSheetId="21">#REF!</definedName>
    <definedName name="koef_prer_nad_gm_mzdy" localSheetId="2">#REF!</definedName>
    <definedName name="koef_prer_nad_gm_mzdy" localSheetId="4">#REF!</definedName>
    <definedName name="koef_prer_nad_gm_mzdy" localSheetId="6">#REF!</definedName>
    <definedName name="koef_prer_nad_gm_mzdy" localSheetId="5">#REF!</definedName>
    <definedName name="koef_prer_nad_gm_mzdy" localSheetId="7">#REF!</definedName>
    <definedName name="koef_prer_nad_gm_mzdy" localSheetId="9">#REF!</definedName>
    <definedName name="koef_prer_nad_gm_mzdy">#REF!</definedName>
    <definedName name="koef_PV" localSheetId="11">#REF!</definedName>
    <definedName name="koef_PV" localSheetId="15">#REF!</definedName>
    <definedName name="koef_PV" localSheetId="17">#REF!</definedName>
    <definedName name="koef_PV" localSheetId="18">#REF!</definedName>
    <definedName name="koef_PV" localSheetId="21">#REF!</definedName>
    <definedName name="koef_PV" localSheetId="2">#REF!</definedName>
    <definedName name="koef_PV" localSheetId="4">#REF!</definedName>
    <definedName name="koef_PV" localSheetId="6">#REF!</definedName>
    <definedName name="koef_PV" localSheetId="5">#REF!</definedName>
    <definedName name="koef_PV" localSheetId="7">#REF!</definedName>
    <definedName name="koef_PV" localSheetId="9">#REF!</definedName>
    <definedName name="koef_PV">#REF!</definedName>
    <definedName name="koef_udr_kat1" localSheetId="11">#REF!</definedName>
    <definedName name="koef_udr_kat1" localSheetId="15">#REF!</definedName>
    <definedName name="koef_udr_kat1" localSheetId="17">#REF!</definedName>
    <definedName name="koef_udr_kat1" localSheetId="18">#REF!</definedName>
    <definedName name="koef_udr_kat1" localSheetId="21">#REF!</definedName>
    <definedName name="koef_udr_kat1" localSheetId="2">#REF!</definedName>
    <definedName name="koef_udr_kat1" localSheetId="4">#REF!</definedName>
    <definedName name="koef_udr_kat1" localSheetId="6">#REF!</definedName>
    <definedName name="koef_udr_kat1" localSheetId="5">#REF!</definedName>
    <definedName name="koef_udr_kat1" localSheetId="7">#REF!</definedName>
    <definedName name="koef_udr_kat1" localSheetId="9">#REF!</definedName>
    <definedName name="koef_udr_kat1">#REF!</definedName>
    <definedName name="koef_udr_kat2" localSheetId="11">#REF!</definedName>
    <definedName name="koef_udr_kat2" localSheetId="15">#REF!</definedName>
    <definedName name="koef_udr_kat2" localSheetId="17">#REF!</definedName>
    <definedName name="koef_udr_kat2" localSheetId="18">#REF!</definedName>
    <definedName name="koef_udr_kat2" localSheetId="21">#REF!</definedName>
    <definedName name="koef_udr_kat2" localSheetId="2">#REF!</definedName>
    <definedName name="koef_udr_kat2" localSheetId="4">#REF!</definedName>
    <definedName name="koef_udr_kat2" localSheetId="6">#REF!</definedName>
    <definedName name="koef_udr_kat2" localSheetId="5">#REF!</definedName>
    <definedName name="koef_udr_kat2" localSheetId="7">#REF!</definedName>
    <definedName name="koef_udr_kat2" localSheetId="9">#REF!</definedName>
    <definedName name="koef_udr_kat2">#REF!</definedName>
    <definedName name="koef_udr_kat3" localSheetId="11">#REF!</definedName>
    <definedName name="koef_udr_kat3" localSheetId="15">#REF!</definedName>
    <definedName name="koef_udr_kat3" localSheetId="17">#REF!</definedName>
    <definedName name="koef_udr_kat3" localSheetId="18">#REF!</definedName>
    <definedName name="koef_udr_kat3" localSheetId="21">#REF!</definedName>
    <definedName name="koef_udr_kat3" localSheetId="2">#REF!</definedName>
    <definedName name="koef_udr_kat3" localSheetId="4">#REF!</definedName>
    <definedName name="koef_udr_kat3" localSheetId="6">#REF!</definedName>
    <definedName name="koef_udr_kat3" localSheetId="5">#REF!</definedName>
    <definedName name="koef_udr_kat3" localSheetId="7">#REF!</definedName>
    <definedName name="koef_udr_kat3" localSheetId="9">#REF!</definedName>
    <definedName name="koef_udr_kat3">#REF!</definedName>
    <definedName name="koef_VV" localSheetId="11">#REF!</definedName>
    <definedName name="koef_VV" localSheetId="15">#REF!</definedName>
    <definedName name="koef_VV" localSheetId="17">#REF!</definedName>
    <definedName name="koef_VV" localSheetId="18">#REF!</definedName>
    <definedName name="koef_VV" localSheetId="21">#REF!</definedName>
    <definedName name="koef_VV" localSheetId="2">#REF!</definedName>
    <definedName name="koef_VV" localSheetId="4">#REF!</definedName>
    <definedName name="koef_VV" localSheetId="6">#REF!</definedName>
    <definedName name="koef_VV" localSheetId="5">#REF!</definedName>
    <definedName name="koef_VV" localSheetId="7">#REF!</definedName>
    <definedName name="koef_VV" localSheetId="9">#REF!</definedName>
    <definedName name="koef_VV">#REF!</definedName>
    <definedName name="kpn_ca_do" localSheetId="11">#REF!</definedName>
    <definedName name="kpn_ca_do" localSheetId="15">#REF!</definedName>
    <definedName name="kpn_ca_do" localSheetId="17">#REF!</definedName>
    <definedName name="kpn_ca_do" localSheetId="18">#REF!</definedName>
    <definedName name="kpn_ca_do" localSheetId="21">#REF!</definedName>
    <definedName name="kpn_ca_do" localSheetId="2">#REF!</definedName>
    <definedName name="kpn_ca_do" localSheetId="4">#REF!</definedName>
    <definedName name="kpn_ca_do" localSheetId="6">#REF!</definedName>
    <definedName name="kpn_ca_do" localSheetId="5">#REF!</definedName>
    <definedName name="kpn_ca_do" localSheetId="7">#REF!</definedName>
    <definedName name="kpn_ca_do" localSheetId="9">#REF!</definedName>
    <definedName name="kpn_ca_do">#REF!</definedName>
    <definedName name="kpn_ca_nad" localSheetId="11">#REF!</definedName>
    <definedName name="kpn_ca_nad" localSheetId="15">#REF!</definedName>
    <definedName name="kpn_ca_nad" localSheetId="17">#REF!</definedName>
    <definedName name="kpn_ca_nad" localSheetId="18">#REF!</definedName>
    <definedName name="kpn_ca_nad" localSheetId="21">#REF!</definedName>
    <definedName name="kpn_ca_nad" localSheetId="2">#REF!</definedName>
    <definedName name="kpn_ca_nad" localSheetId="4">#REF!</definedName>
    <definedName name="kpn_ca_nad" localSheetId="6">#REF!</definedName>
    <definedName name="kpn_ca_nad" localSheetId="5">#REF!</definedName>
    <definedName name="kpn_ca_nad" localSheetId="7">#REF!</definedName>
    <definedName name="kpn_ca_nad" localSheetId="9">#REF!</definedName>
    <definedName name="kpn_ca_nad">#REF!</definedName>
    <definedName name="kzk" localSheetId="11">#REF!</definedName>
    <definedName name="kzk" localSheetId="15">#REF!</definedName>
    <definedName name="kzk" localSheetId="17">#REF!</definedName>
    <definedName name="kzk" localSheetId="18">#REF!</definedName>
    <definedName name="kzk" localSheetId="21">#REF!</definedName>
    <definedName name="kzk" localSheetId="2">#REF!</definedName>
    <definedName name="kzk" localSheetId="4">#REF!</definedName>
    <definedName name="kzk" localSheetId="6">#REF!</definedName>
    <definedName name="kzk" localSheetId="5">#REF!</definedName>
    <definedName name="kzk" localSheetId="7">#REF!</definedName>
    <definedName name="kzk" localSheetId="9">#REF!</definedName>
    <definedName name="kzk">#REF!</definedName>
    <definedName name="kzspp" localSheetId="11">#REF!</definedName>
    <definedName name="kzspp" localSheetId="15">#REF!</definedName>
    <definedName name="kzspp" localSheetId="17">#REF!</definedName>
    <definedName name="kzspp" localSheetId="18">#REF!</definedName>
    <definedName name="kzspp" localSheetId="21">#REF!</definedName>
    <definedName name="kzspp" localSheetId="2">#REF!</definedName>
    <definedName name="kzspp" localSheetId="4">#REF!</definedName>
    <definedName name="kzspp" localSheetId="6">#REF!</definedName>
    <definedName name="kzspp" localSheetId="5">#REF!</definedName>
    <definedName name="kzspp" localSheetId="7">#REF!</definedName>
    <definedName name="kzspp" localSheetId="9">#REF!</definedName>
    <definedName name="kzspp">#REF!</definedName>
    <definedName name="nefinanc">1</definedName>
    <definedName name="_xlnm.Print_Area" localSheetId="11">'T10-ŠJ '!$A$1:$D$23</definedName>
    <definedName name="_xlnm.Print_Area" localSheetId="12">'T11-Zdroje KV'!$A$1:$D$23</definedName>
    <definedName name="_xlnm.Print_Area" localSheetId="13">'T12-KV'!$A$1:$I$23</definedName>
    <definedName name="_xlnm.Print_Area" localSheetId="14">'T13-Fondy'!$A$1:$N$18</definedName>
    <definedName name="_xlnm.Print_Area" localSheetId="15">'T14-Príjmy VVŠ z POO'!$A$1:$E$22</definedName>
    <definedName name="_xlnm.Print_Area" localSheetId="16">'T15-Príjmy VVŠ z RP_11UA'!$A$1:$E$6</definedName>
    <definedName name="_xlnm.Print_Area" localSheetId="17">'T16 - Štruktúra hotovosti '!$A$1:$D$24</definedName>
    <definedName name="_xlnm.Print_Area" localSheetId="18">'T17-Dotácie zo ŠF EU-nová'!$A$1:$H$35</definedName>
    <definedName name="_xlnm.Print_Area" localSheetId="19">'T18-Ostatné dotácie z kap MŠ SR'!$A$1:$E$18</definedName>
    <definedName name="_xlnm.Print_Area" localSheetId="20">'T19-Štip_ z vlastných '!$A$1:$F$29</definedName>
    <definedName name="_xlnm.Print_Area" localSheetId="0">'T1-Dotácie podľa DZ'!$A$1:$E$20</definedName>
    <definedName name="_xlnm.Print_Area" localSheetId="22">'T20_motivačné štipendiá'!$A$1:$F$14</definedName>
    <definedName name="_xlnm.Print_Area" localSheetId="21">'T20a-štipendiá z POO'!$A$1:$F$14</definedName>
    <definedName name="_xlnm.Print_Area" localSheetId="23">'T20b-štipendiá z RP_11UA'!$A$1:$F$15</definedName>
    <definedName name="_xlnm.Print_Area" localSheetId="24">'T21-štruktúra_384'!$A$1:$M$6</definedName>
    <definedName name="_xlnm.Print_Area" localSheetId="25">T22_Výnosy_soc_oblasť!$A$1:$F$44</definedName>
    <definedName name="_xlnm.Print_Area" localSheetId="26">T23_Náklady_soc_oblasť!$A$1:$F$42</definedName>
    <definedName name="_xlnm.Print_Area" localSheetId="1">'T2-Ostatné dot mimo MŠ SR'!$A$1:$E$43</definedName>
    <definedName name="_xlnm.Print_Area" localSheetId="2">'T3-Výnosy'!$A$1:$H$74</definedName>
    <definedName name="_xlnm.Print_Area" localSheetId="3">'T4-Výnosy zo školného'!$A$1:$D$18</definedName>
    <definedName name="_xlnm.Print_Area" localSheetId="4">'T5 - Analýza nákladov'!$A$1:$H$104</definedName>
    <definedName name="_xlnm.Print_Area" localSheetId="6">'T6a-Zamestnanci_a_mzdy (ženy)'!$A$1:$O$33</definedName>
    <definedName name="_xlnm.Print_Area" localSheetId="5">'T6-Zamestnanci_a_mzdy'!$A$1:$N$30</definedName>
    <definedName name="_xlnm.Print_Area" localSheetId="7">'T7_Doktorandi '!$A$1:$E$9</definedName>
    <definedName name="_xlnm.Print_Area" localSheetId="9">'T8a-Teh_štipendiá'!$A$1:$F$12</definedName>
    <definedName name="_xlnm.Print_Area" localSheetId="8">'T8-Soc_štipendiá'!$A$1:$F$15</definedName>
    <definedName name="_xlnm.Print_Area" localSheetId="10">'T9_ŠD '!$A$1:$F$21</definedName>
    <definedName name="pocet_jedal" localSheetId="11">#REF!</definedName>
    <definedName name="pocet_jedal" localSheetId="15">#REF!</definedName>
    <definedName name="pocet_jedal" localSheetId="17">#REF!</definedName>
    <definedName name="pocet_jedal" localSheetId="18">#REF!</definedName>
    <definedName name="pocet_jedal" localSheetId="21">#REF!</definedName>
    <definedName name="pocet_jedal" localSheetId="2">#REF!</definedName>
    <definedName name="pocet_jedal" localSheetId="4">#REF!</definedName>
    <definedName name="pocet_jedal" localSheetId="6">#REF!</definedName>
    <definedName name="pocet_jedal" localSheetId="5">#REF!</definedName>
    <definedName name="pocet_jedal" localSheetId="7">#REF!</definedName>
    <definedName name="pocet_jedal" localSheetId="9">#REF!</definedName>
    <definedName name="pocet_jedal">#REF!</definedName>
    <definedName name="podiel" localSheetId="11">#REF!</definedName>
    <definedName name="podiel" localSheetId="15">#REF!</definedName>
    <definedName name="podiel" localSheetId="17">#REF!</definedName>
    <definedName name="podiel" localSheetId="18">#REF!</definedName>
    <definedName name="podiel" localSheetId="21">#REF!</definedName>
    <definedName name="podiel" localSheetId="2">#REF!</definedName>
    <definedName name="podiel" localSheetId="4">#REF!</definedName>
    <definedName name="podiel" localSheetId="6">#REF!</definedName>
    <definedName name="podiel" localSheetId="5">#REF!</definedName>
    <definedName name="podiel" localSheetId="7">#REF!</definedName>
    <definedName name="podiel" localSheetId="9">#REF!</definedName>
    <definedName name="podiel">#REF!</definedName>
    <definedName name="poistné" localSheetId="11">#REF!</definedName>
    <definedName name="poistné" localSheetId="15">#REF!</definedName>
    <definedName name="poistné" localSheetId="17">#REF!</definedName>
    <definedName name="poistné" localSheetId="18">#REF!</definedName>
    <definedName name="poistné" localSheetId="21">#REF!</definedName>
    <definedName name="poistné" localSheetId="2">#REF!</definedName>
    <definedName name="poistné" localSheetId="4">#REF!</definedName>
    <definedName name="poistné" localSheetId="6">#REF!</definedName>
    <definedName name="poistné" localSheetId="5">#REF!</definedName>
    <definedName name="poistné" localSheetId="7">#REF!</definedName>
    <definedName name="poistné" localSheetId="9">#REF!</definedName>
    <definedName name="poistné">#REF!</definedName>
    <definedName name="Pp_DrŠ_exist" localSheetId="11">#REF!</definedName>
    <definedName name="Pp_DrŠ_exist" localSheetId="15">#REF!</definedName>
    <definedName name="Pp_DrŠ_exist" localSheetId="17">#REF!</definedName>
    <definedName name="Pp_DrŠ_exist" localSheetId="18">#REF!</definedName>
    <definedName name="Pp_DrŠ_exist" localSheetId="21">#REF!</definedName>
    <definedName name="Pp_DrŠ_exist" localSheetId="2">#REF!</definedName>
    <definedName name="Pp_DrŠ_exist" localSheetId="4">#REF!</definedName>
    <definedName name="Pp_DrŠ_exist" localSheetId="6">#REF!</definedName>
    <definedName name="Pp_DrŠ_exist" localSheetId="5">#REF!</definedName>
    <definedName name="Pp_DrŠ_exist" localSheetId="7">#REF!</definedName>
    <definedName name="Pp_DrŠ_exist" localSheetId="9">#REF!</definedName>
    <definedName name="Pp_DrŠ_exist">#REF!</definedName>
    <definedName name="Pp_DrŠ_noví" localSheetId="11">#REF!</definedName>
    <definedName name="Pp_DrŠ_noví" localSheetId="15">#REF!</definedName>
    <definedName name="Pp_DrŠ_noví" localSheetId="17">#REF!</definedName>
    <definedName name="Pp_DrŠ_noví" localSheetId="18">#REF!</definedName>
    <definedName name="Pp_DrŠ_noví" localSheetId="21">#REF!</definedName>
    <definedName name="Pp_DrŠ_noví" localSheetId="2">#REF!</definedName>
    <definedName name="Pp_DrŠ_noví" localSheetId="4">#REF!</definedName>
    <definedName name="Pp_DrŠ_noví" localSheetId="6">#REF!</definedName>
    <definedName name="Pp_DrŠ_noví" localSheetId="5">#REF!</definedName>
    <definedName name="Pp_DrŠ_noví" localSheetId="7">#REF!</definedName>
    <definedName name="Pp_DrŠ_noví" localSheetId="9">#REF!</definedName>
    <definedName name="Pp_DrŠ_noví">#REF!</definedName>
    <definedName name="Pp_DrŠ_spolu" localSheetId="11">#REF!</definedName>
    <definedName name="Pp_DrŠ_spolu" localSheetId="15">#REF!</definedName>
    <definedName name="Pp_DrŠ_spolu" localSheetId="17">#REF!</definedName>
    <definedName name="Pp_DrŠ_spolu" localSheetId="18">#REF!</definedName>
    <definedName name="Pp_DrŠ_spolu" localSheetId="21">#REF!</definedName>
    <definedName name="Pp_DrŠ_spolu" localSheetId="2">#REF!</definedName>
    <definedName name="Pp_DrŠ_spolu" localSheetId="4">#REF!</definedName>
    <definedName name="Pp_DrŠ_spolu" localSheetId="6">#REF!</definedName>
    <definedName name="Pp_DrŠ_spolu" localSheetId="5">#REF!</definedName>
    <definedName name="Pp_DrŠ_spolu" localSheetId="7">#REF!</definedName>
    <definedName name="Pp_DrŠ_spolu" localSheetId="9">#REF!</definedName>
    <definedName name="Pp_DrŠ_spolu">#REF!</definedName>
    <definedName name="Pp_klinické_TaS" localSheetId="11">#REF!</definedName>
    <definedName name="Pp_klinické_TaS" localSheetId="15">#REF!</definedName>
    <definedName name="Pp_klinické_TaS" localSheetId="17">#REF!</definedName>
    <definedName name="Pp_klinické_TaS" localSheetId="18">#REF!</definedName>
    <definedName name="Pp_klinické_TaS" localSheetId="21">#REF!</definedName>
    <definedName name="Pp_klinické_TaS" localSheetId="2">#REF!</definedName>
    <definedName name="Pp_klinické_TaS" localSheetId="4">#REF!</definedName>
    <definedName name="Pp_klinické_TaS" localSheetId="6">#REF!</definedName>
    <definedName name="Pp_klinické_TaS" localSheetId="5">#REF!</definedName>
    <definedName name="Pp_klinické_TaS" localSheetId="7">#REF!</definedName>
    <definedName name="Pp_klinické_TaS" localSheetId="9">#REF!</definedName>
    <definedName name="Pp_klinické_TaS">#REF!</definedName>
    <definedName name="Pp_klinické_TaS_rozpísaný" localSheetId="11">#REF!</definedName>
    <definedName name="Pp_klinické_TaS_rozpísaný" localSheetId="15">#REF!</definedName>
    <definedName name="Pp_klinické_TaS_rozpísaný" localSheetId="17">#REF!</definedName>
    <definedName name="Pp_klinické_TaS_rozpísaný" localSheetId="18">#REF!</definedName>
    <definedName name="Pp_klinické_TaS_rozpísaný" localSheetId="21">#REF!</definedName>
    <definedName name="Pp_klinické_TaS_rozpísaný" localSheetId="2">#REF!</definedName>
    <definedName name="Pp_klinické_TaS_rozpísaný" localSheetId="4">#REF!</definedName>
    <definedName name="Pp_klinické_TaS_rozpísaný" localSheetId="6">#REF!</definedName>
    <definedName name="Pp_klinické_TaS_rozpísaný" localSheetId="5">#REF!</definedName>
    <definedName name="Pp_klinické_TaS_rozpísaný" localSheetId="7">#REF!</definedName>
    <definedName name="Pp_klinické_TaS_rozpísaný" localSheetId="9">#REF!</definedName>
    <definedName name="Pp_klinické_TaS_rozpísaný">#REF!</definedName>
    <definedName name="Pp_Rozvoj_BD" localSheetId="11">#REF!</definedName>
    <definedName name="Pp_Rozvoj_BD" localSheetId="15">#REF!</definedName>
    <definedName name="Pp_Rozvoj_BD" localSheetId="17">#REF!</definedName>
    <definedName name="Pp_Rozvoj_BD" localSheetId="18">#REF!</definedName>
    <definedName name="Pp_Rozvoj_BD" localSheetId="21">#REF!</definedName>
    <definedName name="Pp_Rozvoj_BD" localSheetId="2">#REF!</definedName>
    <definedName name="Pp_Rozvoj_BD" localSheetId="4">#REF!</definedName>
    <definedName name="Pp_Rozvoj_BD" localSheetId="6">#REF!</definedName>
    <definedName name="Pp_Rozvoj_BD" localSheetId="5">#REF!</definedName>
    <definedName name="Pp_Rozvoj_BD" localSheetId="7">#REF!</definedName>
    <definedName name="Pp_Rozvoj_BD" localSheetId="9">#REF!</definedName>
    <definedName name="Pp_Rozvoj_BD">#REF!</definedName>
    <definedName name="Pp_Soc_BD" localSheetId="11">#REF!</definedName>
    <definedName name="Pp_Soc_BD" localSheetId="15">#REF!</definedName>
    <definedName name="Pp_Soc_BD" localSheetId="17">#REF!</definedName>
    <definedName name="Pp_Soc_BD" localSheetId="18">#REF!</definedName>
    <definedName name="Pp_Soc_BD" localSheetId="21">#REF!</definedName>
    <definedName name="Pp_Soc_BD" localSheetId="2">#REF!</definedName>
    <definedName name="Pp_Soc_BD" localSheetId="4">#REF!</definedName>
    <definedName name="Pp_Soc_BD" localSheetId="6">#REF!</definedName>
    <definedName name="Pp_Soc_BD" localSheetId="5">#REF!</definedName>
    <definedName name="Pp_Soc_BD" localSheetId="7">#REF!</definedName>
    <definedName name="Pp_Soc_BD" localSheetId="9">#REF!</definedName>
    <definedName name="Pp_Soc_BD">#REF!</definedName>
    <definedName name="Pp_VaT_BD" localSheetId="11">#REF!</definedName>
    <definedName name="Pp_VaT_BD" localSheetId="15">#REF!</definedName>
    <definedName name="Pp_VaT_BD" localSheetId="17">#REF!</definedName>
    <definedName name="Pp_VaT_BD" localSheetId="18">#REF!</definedName>
    <definedName name="Pp_VaT_BD" localSheetId="21">#REF!</definedName>
    <definedName name="Pp_VaT_BD" localSheetId="2">#REF!</definedName>
    <definedName name="Pp_VaT_BD" localSheetId="4">#REF!</definedName>
    <definedName name="Pp_VaT_BD" localSheetId="6">#REF!</definedName>
    <definedName name="Pp_VaT_BD" localSheetId="5">#REF!</definedName>
    <definedName name="Pp_VaT_BD" localSheetId="7">#REF!</definedName>
    <definedName name="Pp_VaT_BD" localSheetId="9">#REF!</definedName>
    <definedName name="Pp_VaT_BD">#REF!</definedName>
    <definedName name="Pp_VaT_mzdy" localSheetId="11">#REF!</definedName>
    <definedName name="Pp_VaT_mzdy" localSheetId="15">#REF!</definedName>
    <definedName name="Pp_VaT_mzdy" localSheetId="17">#REF!</definedName>
    <definedName name="Pp_VaT_mzdy" localSheetId="18">#REF!</definedName>
    <definedName name="Pp_VaT_mzdy" localSheetId="21">#REF!</definedName>
    <definedName name="Pp_VaT_mzdy" localSheetId="2">#REF!</definedName>
    <definedName name="Pp_VaT_mzdy" localSheetId="4">#REF!</definedName>
    <definedName name="Pp_VaT_mzdy" localSheetId="6">#REF!</definedName>
    <definedName name="Pp_VaT_mzdy" localSheetId="5">#REF!</definedName>
    <definedName name="Pp_VaT_mzdy" localSheetId="7">#REF!</definedName>
    <definedName name="Pp_VaT_mzdy" localSheetId="9">#REF!</definedName>
    <definedName name="Pp_VaT_mzdy">#REF!</definedName>
    <definedName name="Pp_VaT_mzdy_rezerva" localSheetId="11">#REF!</definedName>
    <definedName name="Pp_VaT_mzdy_rezerva" localSheetId="15">#REF!</definedName>
    <definedName name="Pp_VaT_mzdy_rezerva" localSheetId="17">#REF!</definedName>
    <definedName name="Pp_VaT_mzdy_rezerva" localSheetId="18">#REF!</definedName>
    <definedName name="Pp_VaT_mzdy_rezerva" localSheetId="21">#REF!</definedName>
    <definedName name="Pp_VaT_mzdy_rezerva" localSheetId="2">#REF!</definedName>
    <definedName name="Pp_VaT_mzdy_rezerva" localSheetId="4">#REF!</definedName>
    <definedName name="Pp_VaT_mzdy_rezerva" localSheetId="6">#REF!</definedName>
    <definedName name="Pp_VaT_mzdy_rezerva" localSheetId="5">#REF!</definedName>
    <definedName name="Pp_VaT_mzdy_rezerva" localSheetId="7">#REF!</definedName>
    <definedName name="Pp_VaT_mzdy_rezerva" localSheetId="9">#REF!</definedName>
    <definedName name="Pp_VaT_mzdy_rezerva">#REF!</definedName>
    <definedName name="Pp_VaT_mzdy_zac_roka" localSheetId="11">#REF!</definedName>
    <definedName name="Pp_VaT_mzdy_zac_roka" localSheetId="15">#REF!</definedName>
    <definedName name="Pp_VaT_mzdy_zac_roka" localSheetId="17">#REF!</definedName>
    <definedName name="Pp_VaT_mzdy_zac_roka" localSheetId="18">#REF!</definedName>
    <definedName name="Pp_VaT_mzdy_zac_roka" localSheetId="21">#REF!</definedName>
    <definedName name="Pp_VaT_mzdy_zac_roka" localSheetId="2">#REF!</definedName>
    <definedName name="Pp_VaT_mzdy_zac_roka" localSheetId="4">#REF!</definedName>
    <definedName name="Pp_VaT_mzdy_zac_roka" localSheetId="6">#REF!</definedName>
    <definedName name="Pp_VaT_mzdy_zac_roka" localSheetId="5">#REF!</definedName>
    <definedName name="Pp_VaT_mzdy_zac_roka" localSheetId="7">#REF!</definedName>
    <definedName name="Pp_VaT_mzdy_zac_roka" localSheetId="9">#REF!</definedName>
    <definedName name="Pp_VaT_mzdy_zac_roka">#REF!</definedName>
    <definedName name="Pp_Vzdel_BD" localSheetId="11">#REF!</definedName>
    <definedName name="Pp_Vzdel_BD" localSheetId="15">#REF!</definedName>
    <definedName name="Pp_Vzdel_BD" localSheetId="17">#REF!</definedName>
    <definedName name="Pp_Vzdel_BD" localSheetId="18">#REF!</definedName>
    <definedName name="Pp_Vzdel_BD" localSheetId="21">#REF!</definedName>
    <definedName name="Pp_Vzdel_BD" localSheetId="2">#REF!</definedName>
    <definedName name="Pp_Vzdel_BD" localSheetId="4">#REF!</definedName>
    <definedName name="Pp_Vzdel_BD" localSheetId="6">#REF!</definedName>
    <definedName name="Pp_Vzdel_BD" localSheetId="5">#REF!</definedName>
    <definedName name="Pp_Vzdel_BD" localSheetId="7">#REF!</definedName>
    <definedName name="Pp_Vzdel_BD" localSheetId="9">#REF!</definedName>
    <definedName name="Pp_Vzdel_BD">#REF!</definedName>
    <definedName name="Pp_Vzdel_mzdy" localSheetId="11">#REF!</definedName>
    <definedName name="Pp_Vzdel_mzdy" localSheetId="15">#REF!</definedName>
    <definedName name="Pp_Vzdel_mzdy" localSheetId="17">#REF!</definedName>
    <definedName name="Pp_Vzdel_mzdy" localSheetId="18">#REF!</definedName>
    <definedName name="Pp_Vzdel_mzdy" localSheetId="21">#REF!</definedName>
    <definedName name="Pp_Vzdel_mzdy" localSheetId="2">#REF!</definedName>
    <definedName name="Pp_Vzdel_mzdy" localSheetId="4">#REF!</definedName>
    <definedName name="Pp_Vzdel_mzdy" localSheetId="6">#REF!</definedName>
    <definedName name="Pp_Vzdel_mzdy" localSheetId="5">#REF!</definedName>
    <definedName name="Pp_Vzdel_mzdy" localSheetId="7">#REF!</definedName>
    <definedName name="Pp_Vzdel_mzdy" localSheetId="9">#REF!</definedName>
    <definedName name="Pp_Vzdel_mzdy">#REF!</definedName>
    <definedName name="Pp_Vzdel_mzdy_kontr" localSheetId="11">#REF!</definedName>
    <definedName name="Pp_Vzdel_mzdy_kontr" localSheetId="15">#REF!</definedName>
    <definedName name="Pp_Vzdel_mzdy_kontr" localSheetId="17">#REF!</definedName>
    <definedName name="Pp_Vzdel_mzdy_kontr" localSheetId="18">#REF!</definedName>
    <definedName name="Pp_Vzdel_mzdy_kontr" localSheetId="21">#REF!</definedName>
    <definedName name="Pp_Vzdel_mzdy_kontr" localSheetId="2">#REF!</definedName>
    <definedName name="Pp_Vzdel_mzdy_kontr" localSheetId="4">#REF!</definedName>
    <definedName name="Pp_Vzdel_mzdy_kontr" localSheetId="6">#REF!</definedName>
    <definedName name="Pp_Vzdel_mzdy_kontr" localSheetId="5">#REF!</definedName>
    <definedName name="Pp_Vzdel_mzdy_kontr" localSheetId="7">#REF!</definedName>
    <definedName name="Pp_Vzdel_mzdy_kontr" localSheetId="9">#REF!</definedName>
    <definedName name="Pp_Vzdel_mzdy_kontr">#REF!</definedName>
    <definedName name="Pp_Vzdel_mzdy_na_prer_modif" localSheetId="11">#REF!</definedName>
    <definedName name="Pp_Vzdel_mzdy_na_prer_modif" localSheetId="15">#REF!</definedName>
    <definedName name="Pp_Vzdel_mzdy_na_prer_modif" localSheetId="17">#REF!</definedName>
    <definedName name="Pp_Vzdel_mzdy_na_prer_modif" localSheetId="18">#REF!</definedName>
    <definedName name="Pp_Vzdel_mzdy_na_prer_modif" localSheetId="21">#REF!</definedName>
    <definedName name="Pp_Vzdel_mzdy_na_prer_modif" localSheetId="2">#REF!</definedName>
    <definedName name="Pp_Vzdel_mzdy_na_prer_modif" localSheetId="4">#REF!</definedName>
    <definedName name="Pp_Vzdel_mzdy_na_prer_modif" localSheetId="6">#REF!</definedName>
    <definedName name="Pp_Vzdel_mzdy_na_prer_modif" localSheetId="5">#REF!</definedName>
    <definedName name="Pp_Vzdel_mzdy_na_prer_modif" localSheetId="7">#REF!</definedName>
    <definedName name="Pp_Vzdel_mzdy_na_prer_modif" localSheetId="9">#REF!</definedName>
    <definedName name="Pp_Vzdel_mzdy_na_prer_modif">#REF!</definedName>
    <definedName name="Pp_Vzdel_mzdy_na_prer_nemodif" localSheetId="11">#REF!</definedName>
    <definedName name="Pp_Vzdel_mzdy_na_prer_nemodif" localSheetId="15">#REF!</definedName>
    <definedName name="Pp_Vzdel_mzdy_na_prer_nemodif" localSheetId="17">#REF!</definedName>
    <definedName name="Pp_Vzdel_mzdy_na_prer_nemodif" localSheetId="18">#REF!</definedName>
    <definedName name="Pp_Vzdel_mzdy_na_prer_nemodif" localSheetId="21">#REF!</definedName>
    <definedName name="Pp_Vzdel_mzdy_na_prer_nemodif" localSheetId="2">#REF!</definedName>
    <definedName name="Pp_Vzdel_mzdy_na_prer_nemodif" localSheetId="4">#REF!</definedName>
    <definedName name="Pp_Vzdel_mzdy_na_prer_nemodif" localSheetId="6">#REF!</definedName>
    <definedName name="Pp_Vzdel_mzdy_na_prer_nemodif" localSheetId="5">#REF!</definedName>
    <definedName name="Pp_Vzdel_mzdy_na_prer_nemodif" localSheetId="7">#REF!</definedName>
    <definedName name="Pp_Vzdel_mzdy_na_prer_nemodif" localSheetId="9">#REF!</definedName>
    <definedName name="Pp_Vzdel_mzdy_na_prer_nemodif">#REF!</definedName>
    <definedName name="Pp_Vzdel_mzdy_prevádz" localSheetId="11">#REF!</definedName>
    <definedName name="Pp_Vzdel_mzdy_prevádz" localSheetId="15">#REF!</definedName>
    <definedName name="Pp_Vzdel_mzdy_prevádz" localSheetId="17">#REF!</definedName>
    <definedName name="Pp_Vzdel_mzdy_prevádz" localSheetId="18">#REF!</definedName>
    <definedName name="Pp_Vzdel_mzdy_prevádz" localSheetId="21">#REF!</definedName>
    <definedName name="Pp_Vzdel_mzdy_prevádz" localSheetId="2">#REF!</definedName>
    <definedName name="Pp_Vzdel_mzdy_prevádz" localSheetId="4">#REF!</definedName>
    <definedName name="Pp_Vzdel_mzdy_prevádz" localSheetId="6">#REF!</definedName>
    <definedName name="Pp_Vzdel_mzdy_prevádz" localSheetId="5">#REF!</definedName>
    <definedName name="Pp_Vzdel_mzdy_prevádz" localSheetId="7">#REF!</definedName>
    <definedName name="Pp_Vzdel_mzdy_prevádz" localSheetId="9">#REF!</definedName>
    <definedName name="Pp_Vzdel_mzdy_prevádz">#REF!</definedName>
    <definedName name="Pp_Vzdel_mzdy_rezerva" localSheetId="11">#REF!</definedName>
    <definedName name="Pp_Vzdel_mzdy_rezerva" localSheetId="15">#REF!</definedName>
    <definedName name="Pp_Vzdel_mzdy_rezerva" localSheetId="17">#REF!</definedName>
    <definedName name="Pp_Vzdel_mzdy_rezerva" localSheetId="18">#REF!</definedName>
    <definedName name="Pp_Vzdel_mzdy_rezerva" localSheetId="21">#REF!</definedName>
    <definedName name="Pp_Vzdel_mzdy_rezerva" localSheetId="2">#REF!</definedName>
    <definedName name="Pp_Vzdel_mzdy_rezerva" localSheetId="4">#REF!</definedName>
    <definedName name="Pp_Vzdel_mzdy_rezerva" localSheetId="6">#REF!</definedName>
    <definedName name="Pp_Vzdel_mzdy_rezerva" localSheetId="5">#REF!</definedName>
    <definedName name="Pp_Vzdel_mzdy_rezerva" localSheetId="7">#REF!</definedName>
    <definedName name="Pp_Vzdel_mzdy_rezerva" localSheetId="9">#REF!</definedName>
    <definedName name="Pp_Vzdel_mzdy_rezerva">#REF!</definedName>
    <definedName name="Pp_Vzdel_mzdy_spec" localSheetId="11">#REF!</definedName>
    <definedName name="Pp_Vzdel_mzdy_spec" localSheetId="15">#REF!</definedName>
    <definedName name="Pp_Vzdel_mzdy_spec" localSheetId="17">#REF!</definedName>
    <definedName name="Pp_Vzdel_mzdy_spec" localSheetId="18">#REF!</definedName>
    <definedName name="Pp_Vzdel_mzdy_spec" localSheetId="21">#REF!</definedName>
    <definedName name="Pp_Vzdel_mzdy_spec" localSheetId="2">#REF!</definedName>
    <definedName name="Pp_Vzdel_mzdy_spec" localSheetId="4">#REF!</definedName>
    <definedName name="Pp_Vzdel_mzdy_spec" localSheetId="6">#REF!</definedName>
    <definedName name="Pp_Vzdel_mzdy_spec" localSheetId="5">#REF!</definedName>
    <definedName name="Pp_Vzdel_mzdy_spec" localSheetId="7">#REF!</definedName>
    <definedName name="Pp_Vzdel_mzdy_spec" localSheetId="9">#REF!</definedName>
    <definedName name="Pp_Vzdel_mzdy_spec">#REF!</definedName>
    <definedName name="Pp_Vzdel_mzdy_výkon" localSheetId="11">#REF!</definedName>
    <definedName name="Pp_Vzdel_mzdy_výkon" localSheetId="15">#REF!</definedName>
    <definedName name="Pp_Vzdel_mzdy_výkon" localSheetId="17">#REF!</definedName>
    <definedName name="Pp_Vzdel_mzdy_výkon" localSheetId="18">#REF!</definedName>
    <definedName name="Pp_Vzdel_mzdy_výkon" localSheetId="21">#REF!</definedName>
    <definedName name="Pp_Vzdel_mzdy_výkon" localSheetId="2">#REF!</definedName>
    <definedName name="Pp_Vzdel_mzdy_výkon" localSheetId="4">#REF!</definedName>
    <definedName name="Pp_Vzdel_mzdy_výkon" localSheetId="6">#REF!</definedName>
    <definedName name="Pp_Vzdel_mzdy_výkon" localSheetId="5">#REF!</definedName>
    <definedName name="Pp_Vzdel_mzdy_výkon" localSheetId="7">#REF!</definedName>
    <definedName name="Pp_Vzdel_mzdy_výkon" localSheetId="9">#REF!</definedName>
    <definedName name="Pp_Vzdel_mzdy_výkon">#REF!</definedName>
    <definedName name="Pp_Vzdel_mzdy_výkon_PV" localSheetId="11">#REF!</definedName>
    <definedName name="Pp_Vzdel_mzdy_výkon_PV" localSheetId="15">#REF!</definedName>
    <definedName name="Pp_Vzdel_mzdy_výkon_PV" localSheetId="17">#REF!</definedName>
    <definedName name="Pp_Vzdel_mzdy_výkon_PV" localSheetId="18">#REF!</definedName>
    <definedName name="Pp_Vzdel_mzdy_výkon_PV" localSheetId="21">#REF!</definedName>
    <definedName name="Pp_Vzdel_mzdy_výkon_PV" localSheetId="2">#REF!</definedName>
    <definedName name="Pp_Vzdel_mzdy_výkon_PV" localSheetId="4">#REF!</definedName>
    <definedName name="Pp_Vzdel_mzdy_výkon_PV" localSheetId="6">#REF!</definedName>
    <definedName name="Pp_Vzdel_mzdy_výkon_PV" localSheetId="5">#REF!</definedName>
    <definedName name="Pp_Vzdel_mzdy_výkon_PV" localSheetId="7">#REF!</definedName>
    <definedName name="Pp_Vzdel_mzdy_výkon_PV" localSheetId="9">#REF!</definedName>
    <definedName name="Pp_Vzdel_mzdy_výkon_PV">#REF!</definedName>
    <definedName name="Pp_Vzdel_mzdy_výkon_PV_bez" localSheetId="11">#REF!</definedName>
    <definedName name="Pp_Vzdel_mzdy_výkon_PV_bez" localSheetId="15">#REF!</definedName>
    <definedName name="Pp_Vzdel_mzdy_výkon_PV_bez" localSheetId="17">#REF!</definedName>
    <definedName name="Pp_Vzdel_mzdy_výkon_PV_bez" localSheetId="18">#REF!</definedName>
    <definedName name="Pp_Vzdel_mzdy_výkon_PV_bez" localSheetId="21">#REF!</definedName>
    <definedName name="Pp_Vzdel_mzdy_výkon_PV_bez" localSheetId="2">#REF!</definedName>
    <definedName name="Pp_Vzdel_mzdy_výkon_PV_bez" localSheetId="4">#REF!</definedName>
    <definedName name="Pp_Vzdel_mzdy_výkon_PV_bez" localSheetId="6">#REF!</definedName>
    <definedName name="Pp_Vzdel_mzdy_výkon_PV_bez" localSheetId="5">#REF!</definedName>
    <definedName name="Pp_Vzdel_mzdy_výkon_PV_bez" localSheetId="7">#REF!</definedName>
    <definedName name="Pp_Vzdel_mzdy_výkon_PV_bez" localSheetId="9">#REF!</definedName>
    <definedName name="Pp_Vzdel_mzdy_výkon_PV_bez">#REF!</definedName>
    <definedName name="Pp_Vzdel_mzdy_výkon_PV_um" localSheetId="11">#REF!</definedName>
    <definedName name="Pp_Vzdel_mzdy_výkon_PV_um" localSheetId="15">#REF!</definedName>
    <definedName name="Pp_Vzdel_mzdy_výkon_PV_um" localSheetId="17">#REF!</definedName>
    <definedName name="Pp_Vzdel_mzdy_výkon_PV_um" localSheetId="18">#REF!</definedName>
    <definedName name="Pp_Vzdel_mzdy_výkon_PV_um" localSheetId="21">#REF!</definedName>
    <definedName name="Pp_Vzdel_mzdy_výkon_PV_um" localSheetId="2">#REF!</definedName>
    <definedName name="Pp_Vzdel_mzdy_výkon_PV_um" localSheetId="4">#REF!</definedName>
    <definedName name="Pp_Vzdel_mzdy_výkon_PV_um" localSheetId="6">#REF!</definedName>
    <definedName name="Pp_Vzdel_mzdy_výkon_PV_um" localSheetId="5">#REF!</definedName>
    <definedName name="Pp_Vzdel_mzdy_výkon_PV_um" localSheetId="7">#REF!</definedName>
    <definedName name="Pp_Vzdel_mzdy_výkon_PV_um" localSheetId="9">#REF!</definedName>
    <definedName name="Pp_Vzdel_mzdy_výkon_PV_um">#REF!</definedName>
    <definedName name="Pp_Vzdel_mzdy_výkon_VV" localSheetId="11">#REF!</definedName>
    <definedName name="Pp_Vzdel_mzdy_výkon_VV" localSheetId="15">#REF!</definedName>
    <definedName name="Pp_Vzdel_mzdy_výkon_VV" localSheetId="17">#REF!</definedName>
    <definedName name="Pp_Vzdel_mzdy_výkon_VV" localSheetId="18">#REF!</definedName>
    <definedName name="Pp_Vzdel_mzdy_výkon_VV" localSheetId="21">#REF!</definedName>
    <definedName name="Pp_Vzdel_mzdy_výkon_VV" localSheetId="2">#REF!</definedName>
    <definedName name="Pp_Vzdel_mzdy_výkon_VV" localSheetId="4">#REF!</definedName>
    <definedName name="Pp_Vzdel_mzdy_výkon_VV" localSheetId="6">#REF!</definedName>
    <definedName name="Pp_Vzdel_mzdy_výkon_VV" localSheetId="5">#REF!</definedName>
    <definedName name="Pp_Vzdel_mzdy_výkon_VV" localSheetId="7">#REF!</definedName>
    <definedName name="Pp_Vzdel_mzdy_výkon_VV" localSheetId="9">#REF!</definedName>
    <definedName name="Pp_Vzdel_mzdy_výkon_VV">#REF!</definedName>
    <definedName name="Pp_Vzdel_mzdy_výkon_VV_bez" localSheetId="11">#REF!</definedName>
    <definedName name="Pp_Vzdel_mzdy_výkon_VV_bez" localSheetId="15">#REF!</definedName>
    <definedName name="Pp_Vzdel_mzdy_výkon_VV_bez" localSheetId="17">#REF!</definedName>
    <definedName name="Pp_Vzdel_mzdy_výkon_VV_bez" localSheetId="18">#REF!</definedName>
    <definedName name="Pp_Vzdel_mzdy_výkon_VV_bez" localSheetId="21">#REF!</definedName>
    <definedName name="Pp_Vzdel_mzdy_výkon_VV_bez" localSheetId="2">#REF!</definedName>
    <definedName name="Pp_Vzdel_mzdy_výkon_VV_bez" localSheetId="4">#REF!</definedName>
    <definedName name="Pp_Vzdel_mzdy_výkon_VV_bez" localSheetId="6">#REF!</definedName>
    <definedName name="Pp_Vzdel_mzdy_výkon_VV_bez" localSheetId="5">#REF!</definedName>
    <definedName name="Pp_Vzdel_mzdy_výkon_VV_bez" localSheetId="7">#REF!</definedName>
    <definedName name="Pp_Vzdel_mzdy_výkon_VV_bez" localSheetId="9">#REF!</definedName>
    <definedName name="Pp_Vzdel_mzdy_výkon_VV_bez">#REF!</definedName>
    <definedName name="Pp_Vzdel_mzdy_výkon_VV_um" localSheetId="11">#REF!</definedName>
    <definedName name="Pp_Vzdel_mzdy_výkon_VV_um" localSheetId="15">#REF!</definedName>
    <definedName name="Pp_Vzdel_mzdy_výkon_VV_um" localSheetId="17">#REF!</definedName>
    <definedName name="Pp_Vzdel_mzdy_výkon_VV_um" localSheetId="18">#REF!</definedName>
    <definedName name="Pp_Vzdel_mzdy_výkon_VV_um" localSheetId="21">#REF!</definedName>
    <definedName name="Pp_Vzdel_mzdy_výkon_VV_um" localSheetId="2">#REF!</definedName>
    <definedName name="Pp_Vzdel_mzdy_výkon_VV_um" localSheetId="4">#REF!</definedName>
    <definedName name="Pp_Vzdel_mzdy_výkon_VV_um" localSheetId="6">#REF!</definedName>
    <definedName name="Pp_Vzdel_mzdy_výkon_VV_um" localSheetId="5">#REF!</definedName>
    <definedName name="Pp_Vzdel_mzdy_výkon_VV_um" localSheetId="7">#REF!</definedName>
    <definedName name="Pp_Vzdel_mzdy_výkon_VV_um" localSheetId="9">#REF!</definedName>
    <definedName name="Pp_Vzdel_mzdy_výkon_VV_um">#REF!</definedName>
    <definedName name="Pp_Vzdel_spec_prax" localSheetId="11">#REF!</definedName>
    <definedName name="Pp_Vzdel_spec_prax" localSheetId="15">#REF!</definedName>
    <definedName name="Pp_Vzdel_spec_prax" localSheetId="17">#REF!</definedName>
    <definedName name="Pp_Vzdel_spec_prax" localSheetId="18">#REF!</definedName>
    <definedName name="Pp_Vzdel_spec_prax" localSheetId="21">#REF!</definedName>
    <definedName name="Pp_Vzdel_spec_prax" localSheetId="2">#REF!</definedName>
    <definedName name="Pp_Vzdel_spec_prax" localSheetId="4">#REF!</definedName>
    <definedName name="Pp_Vzdel_spec_prax" localSheetId="6">#REF!</definedName>
    <definedName name="Pp_Vzdel_spec_prax" localSheetId="5">#REF!</definedName>
    <definedName name="Pp_Vzdel_spec_prax" localSheetId="7">#REF!</definedName>
    <definedName name="Pp_Vzdel_spec_prax" localSheetId="9">#REF!</definedName>
    <definedName name="Pp_Vzdel_spec_prax">#REF!</definedName>
    <definedName name="Pp_Vzdel_TaS" localSheetId="11">#REF!</definedName>
    <definedName name="Pp_Vzdel_TaS" localSheetId="15">#REF!</definedName>
    <definedName name="Pp_Vzdel_TaS" localSheetId="17">#REF!</definedName>
    <definedName name="Pp_Vzdel_TaS" localSheetId="18">#REF!</definedName>
    <definedName name="Pp_Vzdel_TaS" localSheetId="21">#REF!</definedName>
    <definedName name="Pp_Vzdel_TaS" localSheetId="2">#REF!</definedName>
    <definedName name="Pp_Vzdel_TaS" localSheetId="4">#REF!</definedName>
    <definedName name="Pp_Vzdel_TaS" localSheetId="6">#REF!</definedName>
    <definedName name="Pp_Vzdel_TaS" localSheetId="5">#REF!</definedName>
    <definedName name="Pp_Vzdel_TaS" localSheetId="7">#REF!</definedName>
    <definedName name="Pp_Vzdel_TaS" localSheetId="9">#REF!</definedName>
    <definedName name="Pp_Vzdel_TaS">#REF!</definedName>
    <definedName name="Pp_Vzdel_TaS_rezerva" localSheetId="11">#REF!</definedName>
    <definedName name="Pp_Vzdel_TaS_rezerva" localSheetId="15">#REF!</definedName>
    <definedName name="Pp_Vzdel_TaS_rezerva" localSheetId="17">#REF!</definedName>
    <definedName name="Pp_Vzdel_TaS_rezerva" localSheetId="18">#REF!</definedName>
    <definedName name="Pp_Vzdel_TaS_rezerva" localSheetId="21">#REF!</definedName>
    <definedName name="Pp_Vzdel_TaS_rezerva" localSheetId="4">#REF!</definedName>
    <definedName name="Pp_Vzdel_TaS_rezerva" localSheetId="6">#REF!</definedName>
    <definedName name="Pp_Vzdel_TaS_rezerva" localSheetId="5">#REF!</definedName>
    <definedName name="Pp_Vzdel_TaS_rezerva" localSheetId="7">#REF!</definedName>
    <definedName name="Pp_Vzdel_TaS_rezerva" localSheetId="9">#REF!</definedName>
    <definedName name="Pp_Vzdel_TaS_rezerva">#REF!</definedName>
    <definedName name="Pp_Vzdel_TaS_spec" localSheetId="11">#REF!</definedName>
    <definedName name="Pp_Vzdel_TaS_spec" localSheetId="15">#REF!</definedName>
    <definedName name="Pp_Vzdel_TaS_spec" localSheetId="17">#REF!</definedName>
    <definedName name="Pp_Vzdel_TaS_spec" localSheetId="18">#REF!</definedName>
    <definedName name="Pp_Vzdel_TaS_spec" localSheetId="21">#REF!</definedName>
    <definedName name="Pp_Vzdel_TaS_spec" localSheetId="4">#REF!</definedName>
    <definedName name="Pp_Vzdel_TaS_spec" localSheetId="6">#REF!</definedName>
    <definedName name="Pp_Vzdel_TaS_spec" localSheetId="5">#REF!</definedName>
    <definedName name="Pp_Vzdel_TaS_spec" localSheetId="7">#REF!</definedName>
    <definedName name="Pp_Vzdel_TaS_spec" localSheetId="9">#REF!</definedName>
    <definedName name="Pp_Vzdel_TaS_spec">#REF!</definedName>
    <definedName name="Pp_Vzdel_TaS_stav" localSheetId="11">#REF!</definedName>
    <definedName name="Pp_Vzdel_TaS_stav" localSheetId="15">#REF!</definedName>
    <definedName name="Pp_Vzdel_TaS_stav" localSheetId="17">#REF!</definedName>
    <definedName name="Pp_Vzdel_TaS_stav" localSheetId="18">#REF!</definedName>
    <definedName name="Pp_Vzdel_TaS_stav" localSheetId="21">#REF!</definedName>
    <definedName name="Pp_Vzdel_TaS_stav" localSheetId="4">#REF!</definedName>
    <definedName name="Pp_Vzdel_TaS_stav" localSheetId="6">#REF!</definedName>
    <definedName name="Pp_Vzdel_TaS_stav" localSheetId="5">#REF!</definedName>
    <definedName name="Pp_Vzdel_TaS_stav" localSheetId="7">#REF!</definedName>
    <definedName name="Pp_Vzdel_TaS_stav" localSheetId="9">#REF!</definedName>
    <definedName name="Pp_Vzdel_TaS_stav">#REF!</definedName>
    <definedName name="Pp_Vzdel_TaS_výkon" localSheetId="11">#REF!</definedName>
    <definedName name="Pp_Vzdel_TaS_výkon" localSheetId="15">#REF!</definedName>
    <definedName name="Pp_Vzdel_TaS_výkon" localSheetId="17">#REF!</definedName>
    <definedName name="Pp_Vzdel_TaS_výkon" localSheetId="18">#REF!</definedName>
    <definedName name="Pp_Vzdel_TaS_výkon" localSheetId="21">#REF!</definedName>
    <definedName name="Pp_Vzdel_TaS_výkon" localSheetId="4">#REF!</definedName>
    <definedName name="Pp_Vzdel_TaS_výkon" localSheetId="6">#REF!</definedName>
    <definedName name="Pp_Vzdel_TaS_výkon" localSheetId="5">#REF!</definedName>
    <definedName name="Pp_Vzdel_TaS_výkon" localSheetId="7">#REF!</definedName>
    <definedName name="Pp_Vzdel_TaS_výkon" localSheetId="9">#REF!</definedName>
    <definedName name="Pp_Vzdel_TaS_výkon">#REF!</definedName>
    <definedName name="Pp_Vzdel_TaS_výkon_PPŠ" localSheetId="11">#REF!</definedName>
    <definedName name="Pp_Vzdel_TaS_výkon_PPŠ" localSheetId="15">#REF!</definedName>
    <definedName name="Pp_Vzdel_TaS_výkon_PPŠ" localSheetId="17">#REF!</definedName>
    <definedName name="Pp_Vzdel_TaS_výkon_PPŠ" localSheetId="18">#REF!</definedName>
    <definedName name="Pp_Vzdel_TaS_výkon_PPŠ" localSheetId="21">#REF!</definedName>
    <definedName name="Pp_Vzdel_TaS_výkon_PPŠ" localSheetId="4">#REF!</definedName>
    <definedName name="Pp_Vzdel_TaS_výkon_PPŠ" localSheetId="6">#REF!</definedName>
    <definedName name="Pp_Vzdel_TaS_výkon_PPŠ" localSheetId="5">#REF!</definedName>
    <definedName name="Pp_Vzdel_TaS_výkon_PPŠ" localSheetId="7">#REF!</definedName>
    <definedName name="Pp_Vzdel_TaS_výkon_PPŠ" localSheetId="9">#REF!</definedName>
    <definedName name="Pp_Vzdel_TaS_výkon_PPŠ">#REF!</definedName>
    <definedName name="Pp_Vzdel_TaS_výkon_PPŠ_a_zákl" localSheetId="11">#REF!</definedName>
    <definedName name="Pp_Vzdel_TaS_výkon_PPŠ_a_zákl" localSheetId="15">#REF!</definedName>
    <definedName name="Pp_Vzdel_TaS_výkon_PPŠ_a_zákl" localSheetId="17">#REF!</definedName>
    <definedName name="Pp_Vzdel_TaS_výkon_PPŠ_a_zákl" localSheetId="18">#REF!</definedName>
    <definedName name="Pp_Vzdel_TaS_výkon_PPŠ_a_zákl" localSheetId="21">#REF!</definedName>
    <definedName name="Pp_Vzdel_TaS_výkon_PPŠ_a_zákl" localSheetId="4">#REF!</definedName>
    <definedName name="Pp_Vzdel_TaS_výkon_PPŠ_a_zákl" localSheetId="6">#REF!</definedName>
    <definedName name="Pp_Vzdel_TaS_výkon_PPŠ_a_zákl" localSheetId="5">#REF!</definedName>
    <definedName name="Pp_Vzdel_TaS_výkon_PPŠ_a_zákl" localSheetId="7">#REF!</definedName>
    <definedName name="Pp_Vzdel_TaS_výkon_PPŠ_a_zákl" localSheetId="9">#REF!</definedName>
    <definedName name="Pp_Vzdel_TaS_výkon_PPŠ_a_zákl">#REF!</definedName>
    <definedName name="Pp_Vzdel_TaS_výkon_PPŠ_KEN" localSheetId="11">#REF!</definedName>
    <definedName name="Pp_Vzdel_TaS_výkon_PPŠ_KEN" localSheetId="15">#REF!</definedName>
    <definedName name="Pp_Vzdel_TaS_výkon_PPŠ_KEN" localSheetId="17">#REF!</definedName>
    <definedName name="Pp_Vzdel_TaS_výkon_PPŠ_KEN" localSheetId="18">#REF!</definedName>
    <definedName name="Pp_Vzdel_TaS_výkon_PPŠ_KEN" localSheetId="21">#REF!</definedName>
    <definedName name="Pp_Vzdel_TaS_výkon_PPŠ_KEN" localSheetId="4">#REF!</definedName>
    <definedName name="Pp_Vzdel_TaS_výkon_PPŠ_KEN" localSheetId="6">#REF!</definedName>
    <definedName name="Pp_Vzdel_TaS_výkon_PPŠ_KEN" localSheetId="5">#REF!</definedName>
    <definedName name="Pp_Vzdel_TaS_výkon_PPŠ_KEN" localSheetId="7">#REF!</definedName>
    <definedName name="Pp_Vzdel_TaS_výkon_PPŠ_KEN" localSheetId="9">#REF!</definedName>
    <definedName name="Pp_Vzdel_TaS_výkon_PPŠ_KEN">#REF!</definedName>
    <definedName name="Pp_Vzdel_TaS_zahr_granty" localSheetId="11">#REF!</definedName>
    <definedName name="Pp_Vzdel_TaS_zahr_granty" localSheetId="15">#REF!</definedName>
    <definedName name="Pp_Vzdel_TaS_zahr_granty" localSheetId="17">#REF!</definedName>
    <definedName name="Pp_Vzdel_TaS_zahr_granty" localSheetId="18">#REF!</definedName>
    <definedName name="Pp_Vzdel_TaS_zahr_granty" localSheetId="21">#REF!</definedName>
    <definedName name="Pp_Vzdel_TaS_zahr_granty" localSheetId="4">#REF!</definedName>
    <definedName name="Pp_Vzdel_TaS_zahr_granty" localSheetId="6">#REF!</definedName>
    <definedName name="Pp_Vzdel_TaS_zahr_granty" localSheetId="5">#REF!</definedName>
    <definedName name="Pp_Vzdel_TaS_zahr_granty" localSheetId="7">#REF!</definedName>
    <definedName name="Pp_Vzdel_TaS_zahr_granty" localSheetId="9">#REF!</definedName>
    <definedName name="Pp_Vzdel_TaS_zahr_granty">#REF!</definedName>
    <definedName name="Pp_Vzdel_TaS_zákl" localSheetId="11">#REF!</definedName>
    <definedName name="Pp_Vzdel_TaS_zákl" localSheetId="15">#REF!</definedName>
    <definedName name="Pp_Vzdel_TaS_zákl" localSheetId="17">#REF!</definedName>
    <definedName name="Pp_Vzdel_TaS_zákl" localSheetId="18">#REF!</definedName>
    <definedName name="Pp_Vzdel_TaS_zákl" localSheetId="21">#REF!</definedName>
    <definedName name="Pp_Vzdel_TaS_zákl" localSheetId="4">#REF!</definedName>
    <definedName name="Pp_Vzdel_TaS_zákl" localSheetId="6">#REF!</definedName>
    <definedName name="Pp_Vzdel_TaS_zákl" localSheetId="5">#REF!</definedName>
    <definedName name="Pp_Vzdel_TaS_zákl" localSheetId="7">#REF!</definedName>
    <definedName name="Pp_Vzdel_TaS_zákl" localSheetId="9">#REF!</definedName>
    <definedName name="Pp_Vzdel_TaS_zákl">#REF!</definedName>
    <definedName name="Pr_AV_BD" localSheetId="11">#REF!</definedName>
    <definedName name="Pr_AV_BD" localSheetId="15">#REF!</definedName>
    <definedName name="Pr_AV_BD" localSheetId="17">#REF!</definedName>
    <definedName name="Pr_AV_BD" localSheetId="18">#REF!</definedName>
    <definedName name="Pr_AV_BD" localSheetId="21">#REF!</definedName>
    <definedName name="Pr_AV_BD" localSheetId="4">#REF!</definedName>
    <definedName name="Pr_AV_BD" localSheetId="6">#REF!</definedName>
    <definedName name="Pr_AV_BD" localSheetId="5">#REF!</definedName>
    <definedName name="Pr_AV_BD" localSheetId="7">#REF!</definedName>
    <definedName name="Pr_AV_BD" localSheetId="9">#REF!</definedName>
    <definedName name="Pr_AV_BD">#REF!</definedName>
    <definedName name="Pr_IV_BD" localSheetId="11">#REF!</definedName>
    <definedName name="Pr_IV_BD" localSheetId="15">#REF!</definedName>
    <definedName name="Pr_IV_BD" localSheetId="17">#REF!</definedName>
    <definedName name="Pr_IV_BD" localSheetId="18">#REF!</definedName>
    <definedName name="Pr_IV_BD" localSheetId="21">#REF!</definedName>
    <definedName name="Pr_IV_BD" localSheetId="4">#REF!</definedName>
    <definedName name="Pr_IV_BD" localSheetId="6">#REF!</definedName>
    <definedName name="Pr_IV_BD" localSheetId="5">#REF!</definedName>
    <definedName name="Pr_IV_BD" localSheetId="7">#REF!</definedName>
    <definedName name="Pr_IV_BD" localSheetId="9">#REF!</definedName>
    <definedName name="Pr_IV_BD">#REF!</definedName>
    <definedName name="Pr_IV_KV" localSheetId="11">#REF!</definedName>
    <definedName name="Pr_IV_KV" localSheetId="15">#REF!</definedName>
    <definedName name="Pr_IV_KV" localSheetId="17">#REF!</definedName>
    <definedName name="Pr_IV_KV" localSheetId="18">#REF!</definedName>
    <definedName name="Pr_IV_KV" localSheetId="21">#REF!</definedName>
    <definedName name="Pr_IV_KV" localSheetId="4">#REF!</definedName>
    <definedName name="Pr_IV_KV" localSheetId="6">#REF!</definedName>
    <definedName name="Pr_IV_KV" localSheetId="5">#REF!</definedName>
    <definedName name="Pr_IV_KV" localSheetId="7">#REF!</definedName>
    <definedName name="Pr_IV_KV" localSheetId="9">#REF!</definedName>
    <definedName name="Pr_IV_KV">#REF!</definedName>
    <definedName name="Pr_IV_KV_rezerva" localSheetId="11">#REF!</definedName>
    <definedName name="Pr_IV_KV_rezerva" localSheetId="15">#REF!</definedName>
    <definedName name="Pr_IV_KV_rezerva" localSheetId="17">#REF!</definedName>
    <definedName name="Pr_IV_KV_rezerva" localSheetId="18">#REF!</definedName>
    <definedName name="Pr_IV_KV_rezerva" localSheetId="21">#REF!</definedName>
    <definedName name="Pr_IV_KV_rezerva" localSheetId="4">#REF!</definedName>
    <definedName name="Pr_IV_KV_rezerva" localSheetId="6">#REF!</definedName>
    <definedName name="Pr_IV_KV_rezerva" localSheetId="5">#REF!</definedName>
    <definedName name="Pr_IV_KV_rezerva" localSheetId="7">#REF!</definedName>
    <definedName name="Pr_IV_KV_rezerva" localSheetId="9">#REF!</definedName>
    <definedName name="Pr_IV_KV_rezerva">#REF!</definedName>
    <definedName name="Pr_KEGA_BD" localSheetId="11">#REF!</definedName>
    <definedName name="Pr_KEGA_BD" localSheetId="15">#REF!</definedName>
    <definedName name="Pr_KEGA_BD" localSheetId="17">#REF!</definedName>
    <definedName name="Pr_KEGA_BD" localSheetId="18">#REF!</definedName>
    <definedName name="Pr_KEGA_BD" localSheetId="21">#REF!</definedName>
    <definedName name="Pr_KEGA_BD" localSheetId="4">#REF!</definedName>
    <definedName name="Pr_KEGA_BD" localSheetId="6">#REF!</definedName>
    <definedName name="Pr_KEGA_BD" localSheetId="5">#REF!</definedName>
    <definedName name="Pr_KEGA_BD" localSheetId="7">#REF!</definedName>
    <definedName name="Pr_KEGA_BD" localSheetId="9">#REF!</definedName>
    <definedName name="Pr_KEGA_BD">#REF!</definedName>
    <definedName name="Pr_klinické" localSheetId="11">#REF!</definedName>
    <definedName name="Pr_klinické" localSheetId="15">#REF!</definedName>
    <definedName name="Pr_klinické" localSheetId="17">#REF!</definedName>
    <definedName name="Pr_klinické" localSheetId="18">#REF!</definedName>
    <definedName name="Pr_klinické" localSheetId="21">#REF!</definedName>
    <definedName name="Pr_klinické" localSheetId="4">#REF!</definedName>
    <definedName name="Pr_klinické" localSheetId="6">#REF!</definedName>
    <definedName name="Pr_klinické" localSheetId="5">#REF!</definedName>
    <definedName name="Pr_klinické" localSheetId="7">#REF!</definedName>
    <definedName name="Pr_klinické" localSheetId="9">#REF!</definedName>
    <definedName name="Pr_klinické">#REF!</definedName>
    <definedName name="Pr_KŠ" localSheetId="11">#REF!</definedName>
    <definedName name="Pr_KŠ" localSheetId="15">#REF!</definedName>
    <definedName name="Pr_KŠ" localSheetId="17">#REF!</definedName>
    <definedName name="Pr_KŠ" localSheetId="18">#REF!</definedName>
    <definedName name="Pr_KŠ" localSheetId="21">#REF!</definedName>
    <definedName name="Pr_KŠ" localSheetId="4">#REF!</definedName>
    <definedName name="Pr_KŠ" localSheetId="6">#REF!</definedName>
    <definedName name="Pr_KŠ" localSheetId="5">#REF!</definedName>
    <definedName name="Pr_KŠ" localSheetId="7">#REF!</definedName>
    <definedName name="Pr_KŠ" localSheetId="9">#REF!</definedName>
    <definedName name="Pr_KŠ">#REF!</definedName>
    <definedName name="Pr_motštip_BD" localSheetId="11">#REF!</definedName>
    <definedName name="Pr_motštip_BD" localSheetId="15">#REF!</definedName>
    <definedName name="Pr_motštip_BD" localSheetId="17">#REF!</definedName>
    <definedName name="Pr_motštip_BD" localSheetId="18">#REF!</definedName>
    <definedName name="Pr_motštip_BD" localSheetId="21">#REF!</definedName>
    <definedName name="Pr_motštip_BD" localSheetId="4">#REF!</definedName>
    <definedName name="Pr_motštip_BD" localSheetId="6">#REF!</definedName>
    <definedName name="Pr_motštip_BD" localSheetId="5">#REF!</definedName>
    <definedName name="Pr_motštip_BD" localSheetId="7">#REF!</definedName>
    <definedName name="Pr_motštip_BD" localSheetId="9">#REF!</definedName>
    <definedName name="Pr_motštip_BD">#REF!</definedName>
    <definedName name="Pr_MVTS_BD" localSheetId="11">#REF!</definedName>
    <definedName name="Pr_MVTS_BD" localSheetId="15">#REF!</definedName>
    <definedName name="Pr_MVTS_BD" localSheetId="17">#REF!</definedName>
    <definedName name="Pr_MVTS_BD" localSheetId="18">#REF!</definedName>
    <definedName name="Pr_MVTS_BD" localSheetId="21">#REF!</definedName>
    <definedName name="Pr_MVTS_BD" localSheetId="4">#REF!</definedName>
    <definedName name="Pr_MVTS_BD" localSheetId="6">#REF!</definedName>
    <definedName name="Pr_MVTS_BD" localSheetId="5">#REF!</definedName>
    <definedName name="Pr_MVTS_BD" localSheetId="7">#REF!</definedName>
    <definedName name="Pr_MVTS_BD" localSheetId="9">#REF!</definedName>
    <definedName name="Pr_MVTS_BD">#REF!</definedName>
    <definedName name="Pr_socštip_BD" localSheetId="11">#REF!</definedName>
    <definedName name="Pr_socštip_BD" localSheetId="15">#REF!</definedName>
    <definedName name="Pr_socštip_BD" localSheetId="17">#REF!</definedName>
    <definedName name="Pr_socštip_BD" localSheetId="18">#REF!</definedName>
    <definedName name="Pr_socštip_BD" localSheetId="21">#REF!</definedName>
    <definedName name="Pr_socštip_BD" localSheetId="4">#REF!</definedName>
    <definedName name="Pr_socštip_BD" localSheetId="6">#REF!</definedName>
    <definedName name="Pr_socštip_BD" localSheetId="5">#REF!</definedName>
    <definedName name="Pr_socštip_BD" localSheetId="7">#REF!</definedName>
    <definedName name="Pr_socštip_BD" localSheetId="9">#REF!</definedName>
    <definedName name="Pr_socštip_BD">#REF!</definedName>
    <definedName name="Pr_ŠD" localSheetId="11">#REF!</definedName>
    <definedName name="Pr_ŠD" localSheetId="15">#REF!</definedName>
    <definedName name="Pr_ŠD" localSheetId="17">#REF!</definedName>
    <definedName name="Pr_ŠD" localSheetId="18">#REF!</definedName>
    <definedName name="Pr_ŠD" localSheetId="21">#REF!</definedName>
    <definedName name="Pr_ŠD" localSheetId="4">#REF!</definedName>
    <definedName name="Pr_ŠD" localSheetId="6">#REF!</definedName>
    <definedName name="Pr_ŠD" localSheetId="5">#REF!</definedName>
    <definedName name="Pr_ŠD" localSheetId="7">#REF!</definedName>
    <definedName name="Pr_ŠD" localSheetId="9">#REF!</definedName>
    <definedName name="Pr_ŠD">#REF!</definedName>
    <definedName name="Pr_ŠDaJKŠPC_BD" localSheetId="11">#REF!</definedName>
    <definedName name="Pr_ŠDaJKŠPC_BD" localSheetId="15">#REF!</definedName>
    <definedName name="Pr_ŠDaJKŠPC_BD" localSheetId="17">#REF!</definedName>
    <definedName name="Pr_ŠDaJKŠPC_BD" localSheetId="18">#REF!</definedName>
    <definedName name="Pr_ŠDaJKŠPC_BD" localSheetId="21">#REF!</definedName>
    <definedName name="Pr_ŠDaJKŠPC_BD" localSheetId="4">#REF!</definedName>
    <definedName name="Pr_ŠDaJKŠPC_BD" localSheetId="6">#REF!</definedName>
    <definedName name="Pr_ŠDaJKŠPC_BD" localSheetId="5">#REF!</definedName>
    <definedName name="Pr_ŠDaJKŠPC_BD" localSheetId="7">#REF!</definedName>
    <definedName name="Pr_ŠDaJKŠPC_BD" localSheetId="9">#REF!</definedName>
    <definedName name="Pr_ŠDaJKŠPC_BD">#REF!</definedName>
    <definedName name="Pr_VaT_KV_zac_roka" localSheetId="11">#REF!</definedName>
    <definedName name="Pr_VaT_KV_zac_roka" localSheetId="15">#REF!</definedName>
    <definedName name="Pr_VaT_KV_zac_roka" localSheetId="17">#REF!</definedName>
    <definedName name="Pr_VaT_KV_zac_roka" localSheetId="18">#REF!</definedName>
    <definedName name="Pr_VaT_KV_zac_roka" localSheetId="21">#REF!</definedName>
    <definedName name="Pr_VaT_KV_zac_roka" localSheetId="4">#REF!</definedName>
    <definedName name="Pr_VaT_KV_zac_roka" localSheetId="6">#REF!</definedName>
    <definedName name="Pr_VaT_KV_zac_roka" localSheetId="5">#REF!</definedName>
    <definedName name="Pr_VaT_KV_zac_roka" localSheetId="7">#REF!</definedName>
    <definedName name="Pr_VaT_KV_zac_roka" localSheetId="9">#REF!</definedName>
    <definedName name="Pr_VaT_KV_zac_roka">#REF!</definedName>
    <definedName name="Pr_VaT_TaS" localSheetId="11">#REF!</definedName>
    <definedName name="Pr_VaT_TaS" localSheetId="15">#REF!</definedName>
    <definedName name="Pr_VaT_TaS" localSheetId="17">#REF!</definedName>
    <definedName name="Pr_VaT_TaS" localSheetId="18">#REF!</definedName>
    <definedName name="Pr_VaT_TaS" localSheetId="21">#REF!</definedName>
    <definedName name="Pr_VaT_TaS" localSheetId="4">#REF!</definedName>
    <definedName name="Pr_VaT_TaS" localSheetId="6">#REF!</definedName>
    <definedName name="Pr_VaT_TaS" localSheetId="5">#REF!</definedName>
    <definedName name="Pr_VaT_TaS" localSheetId="7">#REF!</definedName>
    <definedName name="Pr_VaT_TaS" localSheetId="9">#REF!</definedName>
    <definedName name="Pr_VaT_TaS">#REF!</definedName>
    <definedName name="Pr_VaT_TaS_rezerva" localSheetId="11">#REF!</definedName>
    <definedName name="Pr_VaT_TaS_rezerva" localSheetId="15">#REF!</definedName>
    <definedName name="Pr_VaT_TaS_rezerva" localSheetId="17">#REF!</definedName>
    <definedName name="Pr_VaT_TaS_rezerva" localSheetId="18">#REF!</definedName>
    <definedName name="Pr_VaT_TaS_rezerva" localSheetId="21">#REF!</definedName>
    <definedName name="Pr_VaT_TaS_rezerva" localSheetId="4">#REF!</definedName>
    <definedName name="Pr_VaT_TaS_rezerva" localSheetId="6">#REF!</definedName>
    <definedName name="Pr_VaT_TaS_rezerva" localSheetId="5">#REF!</definedName>
    <definedName name="Pr_VaT_TaS_rezerva" localSheetId="7">#REF!</definedName>
    <definedName name="Pr_VaT_TaS_rezerva" localSheetId="9">#REF!</definedName>
    <definedName name="Pr_VaT_TaS_rezerva">#REF!</definedName>
    <definedName name="Pr_VaT_TaS_zac_roka" localSheetId="11">#REF!</definedName>
    <definedName name="Pr_VaT_TaS_zac_roka" localSheetId="15">#REF!</definedName>
    <definedName name="Pr_VaT_TaS_zac_roka" localSheetId="17">#REF!</definedName>
    <definedName name="Pr_VaT_TaS_zac_roka" localSheetId="18">#REF!</definedName>
    <definedName name="Pr_VaT_TaS_zac_roka" localSheetId="21">#REF!</definedName>
    <definedName name="Pr_VaT_TaS_zac_roka" localSheetId="4">#REF!</definedName>
    <definedName name="Pr_VaT_TaS_zac_roka" localSheetId="6">#REF!</definedName>
    <definedName name="Pr_VaT_TaS_zac_roka" localSheetId="5">#REF!</definedName>
    <definedName name="Pr_VaT_TaS_zac_roka" localSheetId="7">#REF!</definedName>
    <definedName name="Pr_VaT_TaS_zac_roka" localSheetId="9">#REF!</definedName>
    <definedName name="Pr_VaT_TaS_zac_roka">#REF!</definedName>
    <definedName name="Pr_VEGA_BD" localSheetId="11">#REF!</definedName>
    <definedName name="Pr_VEGA_BD" localSheetId="15">#REF!</definedName>
    <definedName name="Pr_VEGA_BD" localSheetId="17">#REF!</definedName>
    <definedName name="Pr_VEGA_BD" localSheetId="18">#REF!</definedName>
    <definedName name="Pr_VEGA_BD" localSheetId="21">#REF!</definedName>
    <definedName name="Pr_VEGA_BD" localSheetId="4">#REF!</definedName>
    <definedName name="Pr_VEGA_BD" localSheetId="6">#REF!</definedName>
    <definedName name="Pr_VEGA_BD" localSheetId="5">#REF!</definedName>
    <definedName name="Pr_VEGA_BD" localSheetId="7">#REF!</definedName>
    <definedName name="Pr_VEGA_BD" localSheetId="9">#REF!</definedName>
    <definedName name="Pr_VEGA_BD">#REF!</definedName>
    <definedName name="predmety" localSheetId="11">#REF!</definedName>
    <definedName name="predmety" localSheetId="15">#REF!</definedName>
    <definedName name="predmety" localSheetId="17">#REF!</definedName>
    <definedName name="predmety" localSheetId="18">#REF!</definedName>
    <definedName name="predmety" localSheetId="21">#REF!</definedName>
    <definedName name="predmety" localSheetId="4">#REF!</definedName>
    <definedName name="predmety" localSheetId="6">#REF!</definedName>
    <definedName name="predmety" localSheetId="5">#REF!</definedName>
    <definedName name="predmety" localSheetId="7">#REF!</definedName>
    <definedName name="predmety" localSheetId="9">#REF!</definedName>
    <definedName name="predmety">#REF!</definedName>
    <definedName name="prisp_na_1_jedlo" localSheetId="11">#REF!</definedName>
    <definedName name="prisp_na_1_jedlo" localSheetId="15">#REF!</definedName>
    <definedName name="prisp_na_1_jedlo" localSheetId="17">#REF!</definedName>
    <definedName name="prisp_na_1_jedlo" localSheetId="18">#REF!</definedName>
    <definedName name="prisp_na_1_jedlo" localSheetId="21">#REF!</definedName>
    <definedName name="prisp_na_1_jedlo" localSheetId="4">#REF!</definedName>
    <definedName name="prisp_na_1_jedlo" localSheetId="6">#REF!</definedName>
    <definedName name="prisp_na_1_jedlo" localSheetId="5">#REF!</definedName>
    <definedName name="prisp_na_1_jedlo" localSheetId="7">#REF!</definedName>
    <definedName name="prisp_na_1_jedlo" localSheetId="9">#REF!</definedName>
    <definedName name="prisp_na_1_jedlo">#REF!</definedName>
    <definedName name="prisp_na_ubyt_stud_SD" localSheetId="11">#REF!</definedName>
    <definedName name="prisp_na_ubyt_stud_SD" localSheetId="15">#REF!</definedName>
    <definedName name="prisp_na_ubyt_stud_SD" localSheetId="17">#REF!</definedName>
    <definedName name="prisp_na_ubyt_stud_SD" localSheetId="18">#REF!</definedName>
    <definedName name="prisp_na_ubyt_stud_SD" localSheetId="21">#REF!</definedName>
    <definedName name="prisp_na_ubyt_stud_SD" localSheetId="4">#REF!</definedName>
    <definedName name="prisp_na_ubyt_stud_SD" localSheetId="6">#REF!</definedName>
    <definedName name="prisp_na_ubyt_stud_SD" localSheetId="5">#REF!</definedName>
    <definedName name="prisp_na_ubyt_stud_SD" localSheetId="7">#REF!</definedName>
    <definedName name="prisp_na_ubyt_stud_SD" localSheetId="9">#REF!</definedName>
    <definedName name="prisp_na_ubyt_stud_SD">#REF!</definedName>
    <definedName name="prisp_na_ubyt_stud_ZZ" localSheetId="11">#REF!</definedName>
    <definedName name="prisp_na_ubyt_stud_ZZ" localSheetId="15">#REF!</definedName>
    <definedName name="prisp_na_ubyt_stud_ZZ" localSheetId="17">#REF!</definedName>
    <definedName name="prisp_na_ubyt_stud_ZZ" localSheetId="18">#REF!</definedName>
    <definedName name="prisp_na_ubyt_stud_ZZ" localSheetId="21">#REF!</definedName>
    <definedName name="prisp_na_ubyt_stud_ZZ" localSheetId="4">#REF!</definedName>
    <definedName name="prisp_na_ubyt_stud_ZZ" localSheetId="6">#REF!</definedName>
    <definedName name="prisp_na_ubyt_stud_ZZ" localSheetId="5">#REF!</definedName>
    <definedName name="prisp_na_ubyt_stud_ZZ" localSheetId="7">#REF!</definedName>
    <definedName name="prisp_na_ubyt_stud_ZZ" localSheetId="9">#REF!</definedName>
    <definedName name="prisp_na_ubyt_stud_ZZ">#REF!</definedName>
    <definedName name="prísp_zákl_prev" localSheetId="11">#REF!</definedName>
    <definedName name="prísp_zákl_prev" localSheetId="15">#REF!</definedName>
    <definedName name="prísp_zákl_prev" localSheetId="17">#REF!</definedName>
    <definedName name="prísp_zákl_prev" localSheetId="18">#REF!</definedName>
    <definedName name="prísp_zákl_prev" localSheetId="21">#REF!</definedName>
    <definedName name="prísp_zákl_prev" localSheetId="4">#REF!</definedName>
    <definedName name="prísp_zákl_prev" localSheetId="6">#REF!</definedName>
    <definedName name="prísp_zákl_prev" localSheetId="5">#REF!</definedName>
    <definedName name="prísp_zákl_prev" localSheetId="7">#REF!</definedName>
    <definedName name="prísp_zákl_prev" localSheetId="9">#REF!</definedName>
    <definedName name="prísp_zákl_prev">#REF!</definedName>
    <definedName name="R_vvs" localSheetId="11">#REF!</definedName>
    <definedName name="R_vvs" localSheetId="15">#REF!</definedName>
    <definedName name="R_vvs" localSheetId="17">#REF!</definedName>
    <definedName name="R_vvs" localSheetId="18">#REF!</definedName>
    <definedName name="R_vvs" localSheetId="21">#REF!</definedName>
    <definedName name="R_vvs" localSheetId="4">#REF!</definedName>
    <definedName name="R_vvs" localSheetId="6">#REF!</definedName>
    <definedName name="R_vvs" localSheetId="5">#REF!</definedName>
    <definedName name="R_vvs" localSheetId="7">#REF!</definedName>
    <definedName name="R_vvs" localSheetId="9">#REF!</definedName>
    <definedName name="R_vvs">#REF!</definedName>
    <definedName name="R_vvs_BD" localSheetId="11">#REF!</definedName>
    <definedName name="R_vvs_BD" localSheetId="15">#REF!</definedName>
    <definedName name="R_vvs_BD" localSheetId="17">#REF!</definedName>
    <definedName name="R_vvs_BD" localSheetId="18">#REF!</definedName>
    <definedName name="R_vvs_BD" localSheetId="21">#REF!</definedName>
    <definedName name="R_vvs_BD" localSheetId="4">#REF!</definedName>
    <definedName name="R_vvs_BD" localSheetId="6">#REF!</definedName>
    <definedName name="R_vvs_BD" localSheetId="5">#REF!</definedName>
    <definedName name="R_vvs_BD" localSheetId="7">#REF!</definedName>
    <definedName name="R_vvs_BD" localSheetId="9">#REF!</definedName>
    <definedName name="R_vvs_BD">#REF!</definedName>
    <definedName name="R_vvs_VaT_BD" localSheetId="11">#REF!</definedName>
    <definedName name="R_vvs_VaT_BD" localSheetId="15">#REF!</definedName>
    <definedName name="R_vvs_VaT_BD" localSheetId="17">#REF!</definedName>
    <definedName name="R_vvs_VaT_BD" localSheetId="18">#REF!</definedName>
    <definedName name="R_vvs_VaT_BD" localSheetId="21">#REF!</definedName>
    <definedName name="R_vvs_VaT_BD" localSheetId="4">#REF!</definedName>
    <definedName name="R_vvs_VaT_BD" localSheetId="6">#REF!</definedName>
    <definedName name="R_vvs_VaT_BD" localSheetId="5">#REF!</definedName>
    <definedName name="R_vvs_VaT_BD" localSheetId="7">#REF!</definedName>
    <definedName name="R_vvs_VaT_BD" localSheetId="9">#REF!</definedName>
    <definedName name="R_vvs_VaT_BD">#REF!</definedName>
    <definedName name="Sanet" localSheetId="11">#REF!</definedName>
    <definedName name="Sanet" localSheetId="15">#REF!</definedName>
    <definedName name="Sanet" localSheetId="17">#REF!</definedName>
    <definedName name="Sanet" localSheetId="18">#REF!</definedName>
    <definedName name="Sanet" localSheetId="21">#REF!</definedName>
    <definedName name="Sanet" localSheetId="4">#REF!</definedName>
    <definedName name="Sanet" localSheetId="6">#REF!</definedName>
    <definedName name="Sanet" localSheetId="5">#REF!</definedName>
    <definedName name="Sanet" localSheetId="7">#REF!</definedName>
    <definedName name="Sanet" localSheetId="9">#REF!</definedName>
    <definedName name="Sanet">#REF!</definedName>
    <definedName name="SAPBEXrevision" hidden="1">7</definedName>
    <definedName name="SAPBEXsysID" hidden="1">"BS1"</definedName>
    <definedName name="SAPBEXwbID" hidden="1">"3TG3S316PX9BHXMQEBSXSYZZO"</definedName>
    <definedName name="stavba_ucelova" localSheetId="11">#REF!</definedName>
    <definedName name="stavba_ucelova" localSheetId="15">#REF!</definedName>
    <definedName name="stavba_ucelova" localSheetId="17">#REF!</definedName>
    <definedName name="stavba_ucelova" localSheetId="18">#REF!</definedName>
    <definedName name="stavba_ucelova" localSheetId="21">#REF!</definedName>
    <definedName name="stavba_ucelova" localSheetId="2">#REF!</definedName>
    <definedName name="stavba_ucelova" localSheetId="4">#REF!</definedName>
    <definedName name="stavba_ucelova" localSheetId="6">#REF!</definedName>
    <definedName name="stavba_ucelova" localSheetId="5">#REF!</definedName>
    <definedName name="stavba_ucelova" localSheetId="7">#REF!</definedName>
    <definedName name="stavba_ucelova" localSheetId="9">#REF!</definedName>
    <definedName name="stavba_ucelova">#REF!</definedName>
    <definedName name="studenti_vstup" localSheetId="11">#REF!</definedName>
    <definedName name="studenti_vstup" localSheetId="15">#REF!</definedName>
    <definedName name="studenti_vstup" localSheetId="17">#REF!</definedName>
    <definedName name="studenti_vstup" localSheetId="18">#REF!</definedName>
    <definedName name="studenti_vstup" localSheetId="21">#REF!</definedName>
    <definedName name="studenti_vstup" localSheetId="4">#REF!</definedName>
    <definedName name="studenti_vstup" localSheetId="6">#REF!</definedName>
    <definedName name="studenti_vstup" localSheetId="5">#REF!</definedName>
    <definedName name="studenti_vstup" localSheetId="7">#REF!</definedName>
    <definedName name="studenti_vstup" localSheetId="9">#REF!</definedName>
    <definedName name="studenti_vstup">#REF!</definedName>
    <definedName name="sustava" localSheetId="11">#REF!</definedName>
    <definedName name="sustava" localSheetId="15">#REF!</definedName>
    <definedName name="sustava" localSheetId="17">#REF!</definedName>
    <definedName name="sustava" localSheetId="18">#REF!</definedName>
    <definedName name="sustava" localSheetId="21">#REF!</definedName>
    <definedName name="sustava" localSheetId="4">#REF!</definedName>
    <definedName name="sustava" localSheetId="6">#REF!</definedName>
    <definedName name="sustava" localSheetId="5">#REF!</definedName>
    <definedName name="sustava" localSheetId="7">#REF!</definedName>
    <definedName name="sustava" localSheetId="9">#REF!</definedName>
    <definedName name="sustava">#REF!</definedName>
    <definedName name="T_1" localSheetId="11">#REF!</definedName>
    <definedName name="T_1" localSheetId="15">#REF!</definedName>
    <definedName name="T_1" localSheetId="17">#REF!</definedName>
    <definedName name="T_1" localSheetId="18">#REF!</definedName>
    <definedName name="T_1" localSheetId="21">#REF!</definedName>
    <definedName name="T_1" localSheetId="4">#REF!</definedName>
    <definedName name="T_1" localSheetId="6">#REF!</definedName>
    <definedName name="T_1" localSheetId="5">#REF!</definedName>
    <definedName name="T_1" localSheetId="7">#REF!</definedName>
    <definedName name="T_1" localSheetId="9">#REF!</definedName>
    <definedName name="T_1">#REF!</definedName>
    <definedName name="T_25_so_štip_2007" localSheetId="11">#REF!</definedName>
    <definedName name="T_25_so_štip_2007" localSheetId="15">#REF!</definedName>
    <definedName name="T_25_so_štip_2007" localSheetId="17">#REF!</definedName>
    <definedName name="T_25_so_štip_2007" localSheetId="18">#REF!</definedName>
    <definedName name="T_25_so_štip_2007" localSheetId="21">#REF!</definedName>
    <definedName name="T_25_so_štip_2007" localSheetId="4">#REF!</definedName>
    <definedName name="T_25_so_štip_2007" localSheetId="6">#REF!</definedName>
    <definedName name="T_25_so_štip_2007" localSheetId="5">#REF!</definedName>
    <definedName name="T_25_so_štip_2007" localSheetId="7">#REF!</definedName>
    <definedName name="T_25_so_štip_2007" localSheetId="9">#REF!</definedName>
    <definedName name="T_25_so_štip_2007">#REF!</definedName>
    <definedName name="T_M" localSheetId="11">#REF!</definedName>
    <definedName name="T_M" localSheetId="15">#REF!</definedName>
    <definedName name="T_M" localSheetId="17">#REF!</definedName>
    <definedName name="T_M" localSheetId="18">#REF!</definedName>
    <definedName name="T_M" localSheetId="21">#REF!</definedName>
    <definedName name="T_M" localSheetId="4">#REF!</definedName>
    <definedName name="T_M" localSheetId="6">#REF!</definedName>
    <definedName name="T_M" localSheetId="5">#REF!</definedName>
    <definedName name="T_M" localSheetId="7">#REF!</definedName>
    <definedName name="T_M" localSheetId="9">#REF!</definedName>
    <definedName name="T_M">#REF!</definedName>
    <definedName name="váha_absDrš" localSheetId="11">#REF!</definedName>
    <definedName name="váha_absDrš" localSheetId="15">#REF!</definedName>
    <definedName name="váha_absDrš" localSheetId="17">#REF!</definedName>
    <definedName name="váha_absDrš" localSheetId="18">#REF!</definedName>
    <definedName name="váha_absDrš" localSheetId="21">#REF!</definedName>
    <definedName name="váha_absDrš" localSheetId="4">#REF!</definedName>
    <definedName name="váha_absDrš" localSheetId="6">#REF!</definedName>
    <definedName name="váha_absDrš" localSheetId="5">#REF!</definedName>
    <definedName name="váha_absDrš" localSheetId="7">#REF!</definedName>
    <definedName name="váha_absDrš" localSheetId="9">#REF!</definedName>
    <definedName name="váha_absDrš">#REF!</definedName>
    <definedName name="váha_DG" localSheetId="11">#REF!</definedName>
    <definedName name="váha_DG" localSheetId="15">#REF!</definedName>
    <definedName name="váha_DG" localSheetId="17">#REF!</definedName>
    <definedName name="váha_DG" localSheetId="18">#REF!</definedName>
    <definedName name="váha_DG" localSheetId="21">#REF!</definedName>
    <definedName name="váha_DG" localSheetId="4">#REF!</definedName>
    <definedName name="váha_DG" localSheetId="6">#REF!</definedName>
    <definedName name="váha_DG" localSheetId="5">#REF!</definedName>
    <definedName name="váha_DG" localSheetId="7">#REF!</definedName>
    <definedName name="váha_DG" localSheetId="9">#REF!</definedName>
    <definedName name="váha_DG">#REF!</definedName>
    <definedName name="váha_poDs" localSheetId="11">#REF!</definedName>
    <definedName name="váha_poDs" localSheetId="15">#REF!</definedName>
    <definedName name="váha_poDs" localSheetId="17">#REF!</definedName>
    <definedName name="váha_poDs" localSheetId="18">#REF!</definedName>
    <definedName name="váha_poDs" localSheetId="21">#REF!</definedName>
    <definedName name="váha_poDs" localSheetId="4">#REF!</definedName>
    <definedName name="váha_poDs" localSheetId="6">#REF!</definedName>
    <definedName name="váha_poDs" localSheetId="5">#REF!</definedName>
    <definedName name="váha_poDs" localSheetId="7">#REF!</definedName>
    <definedName name="váha_poDs" localSheetId="9">#REF!</definedName>
    <definedName name="váha_poDs">#REF!</definedName>
    <definedName name="váha_Pub" localSheetId="11">#REF!</definedName>
    <definedName name="váha_Pub" localSheetId="15">#REF!</definedName>
    <definedName name="váha_Pub" localSheetId="17">#REF!</definedName>
    <definedName name="váha_Pub" localSheetId="18">#REF!</definedName>
    <definedName name="váha_Pub" localSheetId="21">#REF!</definedName>
    <definedName name="váha_Pub" localSheetId="4">#REF!</definedName>
    <definedName name="váha_Pub" localSheetId="6">#REF!</definedName>
    <definedName name="váha_Pub" localSheetId="5">#REF!</definedName>
    <definedName name="váha_Pub" localSheetId="7">#REF!</definedName>
    <definedName name="váha_Pub" localSheetId="9">#REF!</definedName>
    <definedName name="váha_Pub">#REF!</definedName>
    <definedName name="váha_ZG" localSheetId="11">#REF!</definedName>
    <definedName name="váha_ZG" localSheetId="15">#REF!</definedName>
    <definedName name="váha_ZG" localSheetId="17">#REF!</definedName>
    <definedName name="váha_ZG" localSheetId="18">#REF!</definedName>
    <definedName name="váha_ZG" localSheetId="21">#REF!</definedName>
    <definedName name="váha_ZG" localSheetId="4">#REF!</definedName>
    <definedName name="váha_ZG" localSheetId="6">#REF!</definedName>
    <definedName name="váha_ZG" localSheetId="5">#REF!</definedName>
    <definedName name="váha_ZG" localSheetId="7">#REF!</definedName>
    <definedName name="váha_ZG" localSheetId="9">#REF!</definedName>
    <definedName name="váha_ZG">#REF!</definedName>
    <definedName name="výkon_um" localSheetId="11">#REF!</definedName>
    <definedName name="výkon_um" localSheetId="15">#REF!</definedName>
    <definedName name="výkon_um" localSheetId="17">#REF!</definedName>
    <definedName name="výkon_um" localSheetId="18">#REF!</definedName>
    <definedName name="výkon_um" localSheetId="21">#REF!</definedName>
    <definedName name="výkon_um" localSheetId="4">#REF!</definedName>
    <definedName name="výkon_um" localSheetId="6">#REF!</definedName>
    <definedName name="výkon_um" localSheetId="5">#REF!</definedName>
    <definedName name="výkon_um" localSheetId="7">#REF!</definedName>
    <definedName name="výkon_um" localSheetId="9">#REF!</definedName>
    <definedName name="výkon_um">#REF!</definedName>
    <definedName name="x" localSheetId="11">#REF!</definedName>
    <definedName name="x" localSheetId="15">#REF!</definedName>
    <definedName name="x" localSheetId="17">#REF!</definedName>
    <definedName name="x" localSheetId="18">#REF!</definedName>
    <definedName name="x" localSheetId="21">#REF!</definedName>
    <definedName name="x" localSheetId="4">#REF!</definedName>
    <definedName name="x" localSheetId="6">#REF!</definedName>
    <definedName name="x" localSheetId="5">#REF!</definedName>
    <definedName name="x" localSheetId="7">#REF!</definedName>
    <definedName name="x" localSheetId="9">#REF!</definedName>
    <definedName name="x">#REF!</definedName>
    <definedName name="xxx" hidden="1">"3TGMUFSSIAIMK2KTNC9DELQD0"</definedName>
    <definedName name="zakl_prisp_na_prev_SD" localSheetId="11">#REF!</definedName>
    <definedName name="zakl_prisp_na_prev_SD" localSheetId="15">#REF!</definedName>
    <definedName name="zakl_prisp_na_prev_SD" localSheetId="17">#REF!</definedName>
    <definedName name="zakl_prisp_na_prev_SD" localSheetId="18">#REF!</definedName>
    <definedName name="zakl_prisp_na_prev_SD" localSheetId="21">#REF!</definedName>
    <definedName name="zakl_prisp_na_prev_SD" localSheetId="4">#REF!</definedName>
    <definedName name="zakl_prisp_na_prev_SD" localSheetId="6">#REF!</definedName>
    <definedName name="zakl_prisp_na_prev_SD" localSheetId="5">#REF!</definedName>
    <definedName name="zakl_prisp_na_prev_SD" localSheetId="7">#REF!</definedName>
    <definedName name="zakl_prisp_na_prev_SD" localSheetId="9">#REF!</definedName>
    <definedName name="zakl_prisp_na_prev_SD">#REF!</definedName>
    <definedName name="záloha" localSheetId="11">#REF!</definedName>
    <definedName name="záloha" localSheetId="15">#REF!</definedName>
    <definedName name="záloha" localSheetId="17">#REF!</definedName>
    <definedName name="záloha" localSheetId="18">#REF!</definedName>
    <definedName name="záloha" localSheetId="21">#REF!</definedName>
    <definedName name="záloha" localSheetId="4">#REF!</definedName>
    <definedName name="záloha" localSheetId="6">#REF!</definedName>
    <definedName name="záloha" localSheetId="5">#REF!</definedName>
    <definedName name="záloha" localSheetId="7">#REF!</definedName>
    <definedName name="záloha" localSheetId="9">#REF!</definedName>
    <definedName name="záloha">#REF!</definedName>
  </definedNames>
  <calcPr calcId="162913"/>
</workbook>
</file>

<file path=xl/calcChain.xml><?xml version="1.0" encoding="utf-8"?>
<calcChain xmlns="http://schemas.openxmlformats.org/spreadsheetml/2006/main">
  <c r="C5" i="23" l="1"/>
  <c r="E19" i="145" l="1"/>
  <c r="C17" i="23" l="1"/>
  <c r="H13" i="145" l="1"/>
  <c r="E11" i="144" l="1"/>
  <c r="D25" i="144" l="1"/>
  <c r="E39" i="133" l="1"/>
  <c r="E34" i="134"/>
  <c r="D11" i="134"/>
  <c r="E30" i="133"/>
  <c r="E23" i="133"/>
  <c r="D24" i="133" l="1"/>
  <c r="J6" i="97" l="1"/>
  <c r="H6" i="97"/>
  <c r="D11" i="116" l="1"/>
  <c r="L6" i="97"/>
  <c r="D16" i="90"/>
  <c r="D15" i="90"/>
  <c r="D19" i="90"/>
  <c r="K6" i="97"/>
  <c r="I6" i="97"/>
  <c r="F6" i="97"/>
  <c r="E6" i="97"/>
  <c r="D6" i="97"/>
  <c r="C6" i="97"/>
  <c r="B6" i="97"/>
  <c r="D9" i="90" l="1"/>
  <c r="C19" i="90"/>
  <c r="C9" i="90"/>
  <c r="H103" i="176" l="1"/>
  <c r="G103" i="176"/>
  <c r="H102" i="176"/>
  <c r="G102" i="176"/>
  <c r="H101" i="176"/>
  <c r="G101" i="176"/>
  <c r="H100" i="176"/>
  <c r="G100" i="176"/>
  <c r="H99" i="176"/>
  <c r="G99" i="176"/>
  <c r="H98" i="176"/>
  <c r="G98" i="176"/>
  <c r="H97" i="176"/>
  <c r="G97" i="176"/>
  <c r="H96" i="176"/>
  <c r="G96" i="176"/>
  <c r="H95" i="176"/>
  <c r="G95" i="176"/>
  <c r="H94" i="176"/>
  <c r="G94" i="176"/>
  <c r="H93" i="176"/>
  <c r="G93" i="176"/>
  <c r="H92" i="176"/>
  <c r="G92" i="176"/>
  <c r="H91" i="176"/>
  <c r="G91" i="176"/>
  <c r="F90" i="176"/>
  <c r="E90" i="176"/>
  <c r="D90" i="176"/>
  <c r="H90" i="176" s="1"/>
  <c r="C90" i="176"/>
  <c r="H89" i="176"/>
  <c r="G89" i="176"/>
  <c r="H88" i="176"/>
  <c r="G88" i="176"/>
  <c r="H87" i="176"/>
  <c r="G87" i="176"/>
  <c r="H86" i="176"/>
  <c r="G86" i="176"/>
  <c r="H85" i="176"/>
  <c r="G85" i="176"/>
  <c r="H84" i="176"/>
  <c r="G84" i="176"/>
  <c r="H83" i="176"/>
  <c r="G83" i="176"/>
  <c r="H82" i="176"/>
  <c r="G82" i="176"/>
  <c r="F81" i="176"/>
  <c r="E81" i="176"/>
  <c r="E79" i="176" s="1"/>
  <c r="D81" i="176"/>
  <c r="C81" i="176"/>
  <c r="C79" i="176" s="1"/>
  <c r="H80" i="176"/>
  <c r="G80" i="176"/>
  <c r="D79" i="176"/>
  <c r="H78" i="176"/>
  <c r="G78" i="176"/>
  <c r="H77" i="176"/>
  <c r="G77" i="176"/>
  <c r="H76" i="176"/>
  <c r="G76" i="176"/>
  <c r="H75" i="176"/>
  <c r="G75" i="176"/>
  <c r="H74" i="176"/>
  <c r="G74" i="176"/>
  <c r="H73" i="176"/>
  <c r="G73" i="176"/>
  <c r="H72" i="176"/>
  <c r="G72" i="176"/>
  <c r="H71" i="176"/>
  <c r="G71" i="176"/>
  <c r="H70" i="176"/>
  <c r="G70" i="176"/>
  <c r="H69" i="176"/>
  <c r="G69" i="176"/>
  <c r="F68" i="176"/>
  <c r="E68" i="176"/>
  <c r="D68" i="176"/>
  <c r="C68" i="176"/>
  <c r="H67" i="176"/>
  <c r="G67" i="176"/>
  <c r="H66" i="176"/>
  <c r="G66" i="176"/>
  <c r="H65" i="176"/>
  <c r="G65" i="176"/>
  <c r="H64" i="176"/>
  <c r="G64" i="176"/>
  <c r="H63" i="176"/>
  <c r="G63" i="176"/>
  <c r="F62" i="176"/>
  <c r="E62" i="176"/>
  <c r="D62" i="176"/>
  <c r="D60" i="176" s="1"/>
  <c r="C62" i="176"/>
  <c r="G62" i="176" s="1"/>
  <c r="H61" i="176"/>
  <c r="G61" i="176"/>
  <c r="F60" i="176"/>
  <c r="H60" i="176" s="1"/>
  <c r="E60" i="176"/>
  <c r="H59" i="176"/>
  <c r="G59" i="176"/>
  <c r="H58" i="176"/>
  <c r="G58" i="176"/>
  <c r="H57" i="176"/>
  <c r="G57" i="176"/>
  <c r="H56" i="176"/>
  <c r="G56" i="176"/>
  <c r="H55" i="176"/>
  <c r="G55" i="176"/>
  <c r="H54" i="176"/>
  <c r="G54" i="176"/>
  <c r="H53" i="176"/>
  <c r="G53" i="176"/>
  <c r="H52" i="176"/>
  <c r="G52" i="176"/>
  <c r="H51" i="176"/>
  <c r="G51" i="176"/>
  <c r="H50" i="176"/>
  <c r="G50" i="176"/>
  <c r="H49" i="176"/>
  <c r="G49" i="176"/>
  <c r="H48" i="176"/>
  <c r="G48" i="176"/>
  <c r="H47" i="176"/>
  <c r="G47" i="176"/>
  <c r="H46" i="176"/>
  <c r="G46" i="176"/>
  <c r="H45" i="176"/>
  <c r="G45" i="176"/>
  <c r="F44" i="176"/>
  <c r="E44" i="176"/>
  <c r="D44" i="176"/>
  <c r="C44" i="176"/>
  <c r="H43" i="176"/>
  <c r="G43" i="176"/>
  <c r="H42" i="176"/>
  <c r="G42" i="176"/>
  <c r="H41" i="176"/>
  <c r="G41" i="176"/>
  <c r="F40" i="176"/>
  <c r="E40" i="176"/>
  <c r="D40" i="176"/>
  <c r="C40" i="176"/>
  <c r="H39" i="176"/>
  <c r="G39" i="176"/>
  <c r="H38" i="176"/>
  <c r="G38" i="176"/>
  <c r="H37" i="176"/>
  <c r="G37" i="176"/>
  <c r="H36" i="176"/>
  <c r="G36" i="176"/>
  <c r="H35" i="176"/>
  <c r="G35" i="176"/>
  <c r="H34" i="176"/>
  <c r="G34" i="176"/>
  <c r="H33" i="176"/>
  <c r="G33" i="176"/>
  <c r="F32" i="176"/>
  <c r="E32" i="176"/>
  <c r="D32" i="176"/>
  <c r="C32" i="176"/>
  <c r="H31" i="176"/>
  <c r="G31" i="176"/>
  <c r="H30" i="176"/>
  <c r="G30" i="176"/>
  <c r="H29" i="176"/>
  <c r="G29" i="176"/>
  <c r="H28" i="176"/>
  <c r="G28" i="176"/>
  <c r="F27" i="176"/>
  <c r="E27" i="176"/>
  <c r="D27" i="176"/>
  <c r="C27" i="176"/>
  <c r="H25" i="176"/>
  <c r="G25" i="176"/>
  <c r="H24" i="176"/>
  <c r="G24" i="176"/>
  <c r="H23" i="176"/>
  <c r="G23" i="176"/>
  <c r="H22" i="176"/>
  <c r="G22" i="176"/>
  <c r="H21" i="176"/>
  <c r="G21" i="176"/>
  <c r="H20" i="176"/>
  <c r="G20" i="176"/>
  <c r="F19" i="176"/>
  <c r="E19" i="176"/>
  <c r="D19" i="176"/>
  <c r="C19" i="176"/>
  <c r="G19" i="176" s="1"/>
  <c r="H18" i="176"/>
  <c r="G18" i="176"/>
  <c r="H17" i="176"/>
  <c r="G17" i="176"/>
  <c r="H16" i="176"/>
  <c r="G16" i="176"/>
  <c r="H15" i="176"/>
  <c r="G15" i="176"/>
  <c r="H14" i="176"/>
  <c r="G14" i="176"/>
  <c r="H13" i="176"/>
  <c r="G13" i="176"/>
  <c r="H12" i="176"/>
  <c r="G12" i="176"/>
  <c r="H11" i="176"/>
  <c r="G11" i="176"/>
  <c r="H10" i="176"/>
  <c r="G10" i="176"/>
  <c r="H9" i="176"/>
  <c r="G9" i="176"/>
  <c r="H8" i="176"/>
  <c r="G8" i="176"/>
  <c r="H7" i="176"/>
  <c r="G7" i="176"/>
  <c r="A7" i="176"/>
  <c r="A8" i="176" s="1"/>
  <c r="A9" i="176" s="1"/>
  <c r="A10" i="176" s="1"/>
  <c r="A11" i="176" s="1"/>
  <c r="A12" i="176" s="1"/>
  <c r="A13" i="176" s="1"/>
  <c r="A14" i="176" s="1"/>
  <c r="A15" i="176" s="1"/>
  <c r="A16" i="176" s="1"/>
  <c r="A17" i="176" s="1"/>
  <c r="A18" i="176" s="1"/>
  <c r="A19" i="176" s="1"/>
  <c r="A20" i="176" s="1"/>
  <c r="A21" i="176" s="1"/>
  <c r="A22" i="176" s="1"/>
  <c r="A23" i="176" s="1"/>
  <c r="A24" i="176" s="1"/>
  <c r="A25" i="176" s="1"/>
  <c r="A26" i="176" s="1"/>
  <c r="A27" i="176" s="1"/>
  <c r="A28" i="176" s="1"/>
  <c r="A29" i="176" s="1"/>
  <c r="A30" i="176" s="1"/>
  <c r="A31" i="176" s="1"/>
  <c r="A32" i="176" s="1"/>
  <c r="A33" i="176" s="1"/>
  <c r="A34" i="176" s="1"/>
  <c r="A35" i="176" s="1"/>
  <c r="A36" i="176" s="1"/>
  <c r="A37" i="176" s="1"/>
  <c r="A38" i="176" s="1"/>
  <c r="A39" i="176" s="1"/>
  <c r="A40" i="176" s="1"/>
  <c r="A41" i="176" s="1"/>
  <c r="A42" i="176" s="1"/>
  <c r="A43" i="176" s="1"/>
  <c r="A44" i="176" s="1"/>
  <c r="A45" i="176" s="1"/>
  <c r="A46" i="176" s="1"/>
  <c r="A47" i="176" s="1"/>
  <c r="A48" i="176" s="1"/>
  <c r="A49" i="176" s="1"/>
  <c r="A50" i="176" s="1"/>
  <c r="A51" i="176" s="1"/>
  <c r="A52" i="176" s="1"/>
  <c r="A53" i="176" s="1"/>
  <c r="A54" i="176" s="1"/>
  <c r="A55" i="176" s="1"/>
  <c r="A56" i="176" s="1"/>
  <c r="A57" i="176" s="1"/>
  <c r="A58" i="176" s="1"/>
  <c r="A59" i="176" s="1"/>
  <c r="A60" i="176" s="1"/>
  <c r="A61" i="176" s="1"/>
  <c r="A62" i="176" s="1"/>
  <c r="A63" i="176" s="1"/>
  <c r="A64" i="176" s="1"/>
  <c r="A65" i="176" s="1"/>
  <c r="A66" i="176" s="1"/>
  <c r="A67" i="176" s="1"/>
  <c r="A68" i="176" s="1"/>
  <c r="A69" i="176" s="1"/>
  <c r="A70" i="176" s="1"/>
  <c r="A71" i="176" s="1"/>
  <c r="A72" i="176" s="1"/>
  <c r="A73" i="176" s="1"/>
  <c r="A74" i="176" s="1"/>
  <c r="A75" i="176" s="1"/>
  <c r="A76" i="176" s="1"/>
  <c r="A77" i="176" s="1"/>
  <c r="A78" i="176" s="1"/>
  <c r="A79" i="176" s="1"/>
  <c r="A80" i="176" s="1"/>
  <c r="A81" i="176" s="1"/>
  <c r="A82" i="176" s="1"/>
  <c r="A83" i="176" s="1"/>
  <c r="A84" i="176" s="1"/>
  <c r="A85" i="176" s="1"/>
  <c r="A86" i="176" s="1"/>
  <c r="A88" i="176" s="1"/>
  <c r="A89" i="176" s="1"/>
  <c r="A90" i="176" s="1"/>
  <c r="A91" i="176" s="1"/>
  <c r="A92" i="176" s="1"/>
  <c r="A95" i="176" s="1"/>
  <c r="A96" i="176" s="1"/>
  <c r="A97" i="176" s="1"/>
  <c r="A98" i="176" s="1"/>
  <c r="A99" i="176" s="1"/>
  <c r="A100" i="176" s="1"/>
  <c r="A101" i="176" s="1"/>
  <c r="A102" i="176" s="1"/>
  <c r="A103" i="176" s="1"/>
  <c r="A104" i="176" s="1"/>
  <c r="F6" i="176"/>
  <c r="E6" i="176"/>
  <c r="D6" i="176"/>
  <c r="C6" i="176"/>
  <c r="H6" i="176" l="1"/>
  <c r="G27" i="176"/>
  <c r="G32" i="176"/>
  <c r="G40" i="176"/>
  <c r="G44" i="176"/>
  <c r="G68" i="176"/>
  <c r="G90" i="176"/>
  <c r="G6" i="176"/>
  <c r="H19" i="176"/>
  <c r="H27" i="176"/>
  <c r="H32" i="176"/>
  <c r="H40" i="176"/>
  <c r="H44" i="176"/>
  <c r="H68" i="176"/>
  <c r="H81" i="176"/>
  <c r="D104" i="176"/>
  <c r="G79" i="176"/>
  <c r="G60" i="176"/>
  <c r="H62" i="176"/>
  <c r="C60" i="176"/>
  <c r="C104" i="176" s="1"/>
  <c r="F79" i="176"/>
  <c r="H79" i="176" s="1"/>
  <c r="G81" i="176"/>
  <c r="E104" i="176"/>
  <c r="H70" i="175"/>
  <c r="G70" i="175"/>
  <c r="H69" i="175"/>
  <c r="G69" i="175"/>
  <c r="H68" i="175"/>
  <c r="G68" i="175"/>
  <c r="H67" i="175"/>
  <c r="G67" i="175"/>
  <c r="H66" i="175"/>
  <c r="G66" i="175"/>
  <c r="H65" i="175"/>
  <c r="G65" i="175"/>
  <c r="H64" i="175"/>
  <c r="G64" i="175"/>
  <c r="H63" i="175"/>
  <c r="G63" i="175"/>
  <c r="H62" i="175"/>
  <c r="G62" i="175"/>
  <c r="H61" i="175"/>
  <c r="G61" i="175"/>
  <c r="G60" i="175"/>
  <c r="G59" i="175"/>
  <c r="G58" i="175"/>
  <c r="G57" i="175"/>
  <c r="G56" i="175"/>
  <c r="E55" i="175"/>
  <c r="D55" i="175"/>
  <c r="H55" i="175" s="1"/>
  <c r="C55" i="175"/>
  <c r="H54" i="175"/>
  <c r="G54" i="175"/>
  <c r="H53" i="175"/>
  <c r="G53" i="175"/>
  <c r="H52" i="175"/>
  <c r="G52" i="175"/>
  <c r="H51" i="175"/>
  <c r="G51" i="175"/>
  <c r="H50" i="175"/>
  <c r="G50" i="175"/>
  <c r="H49" i="175"/>
  <c r="G49" i="175"/>
  <c r="H48" i="175"/>
  <c r="G48" i="175"/>
  <c r="H47" i="175"/>
  <c r="G47" i="175"/>
  <c r="H46" i="175"/>
  <c r="G46" i="175"/>
  <c r="H45" i="175"/>
  <c r="G45" i="175"/>
  <c r="H44" i="175"/>
  <c r="G44" i="175"/>
  <c r="H43" i="175"/>
  <c r="G43" i="175"/>
  <c r="H42" i="175"/>
  <c r="G42" i="175"/>
  <c r="H41" i="175"/>
  <c r="G41" i="175"/>
  <c r="H40" i="175"/>
  <c r="G40" i="175"/>
  <c r="F39" i="175"/>
  <c r="E39" i="175"/>
  <c r="D39" i="175"/>
  <c r="H39" i="175" s="1"/>
  <c r="C39" i="175"/>
  <c r="H38" i="175"/>
  <c r="G38" i="175"/>
  <c r="H37" i="175"/>
  <c r="G37" i="175"/>
  <c r="H36" i="175"/>
  <c r="G36" i="175"/>
  <c r="H35" i="175"/>
  <c r="G35" i="175"/>
  <c r="H34" i="175"/>
  <c r="G34" i="175"/>
  <c r="H33" i="175"/>
  <c r="G33" i="175"/>
  <c r="H32" i="175"/>
  <c r="G32" i="175"/>
  <c r="F31" i="175"/>
  <c r="E31" i="175"/>
  <c r="D31" i="175"/>
  <c r="H31" i="175" s="1"/>
  <c r="C31" i="175"/>
  <c r="H30" i="175"/>
  <c r="G30" i="175"/>
  <c r="H29" i="175"/>
  <c r="G29" i="175"/>
  <c r="H28" i="175"/>
  <c r="G28" i="175"/>
  <c r="H27" i="175"/>
  <c r="G27" i="175"/>
  <c r="H26" i="175"/>
  <c r="G26" i="175"/>
  <c r="F25" i="175"/>
  <c r="E25" i="175"/>
  <c r="D25" i="175"/>
  <c r="C25" i="175"/>
  <c r="G25" i="175" s="1"/>
  <c r="H24" i="175"/>
  <c r="G24" i="175"/>
  <c r="H23" i="175"/>
  <c r="G23" i="175"/>
  <c r="H22" i="175"/>
  <c r="G22" i="175"/>
  <c r="F21" i="175"/>
  <c r="E21" i="175"/>
  <c r="D21" i="175"/>
  <c r="C21" i="175"/>
  <c r="G21" i="175" s="1"/>
  <c r="H20" i="175"/>
  <c r="G20" i="175"/>
  <c r="H19" i="175"/>
  <c r="G19" i="175"/>
  <c r="H18" i="175"/>
  <c r="G18" i="175"/>
  <c r="H17" i="175"/>
  <c r="G17" i="175"/>
  <c r="H16" i="175"/>
  <c r="G16" i="175"/>
  <c r="H15" i="175"/>
  <c r="G15" i="175"/>
  <c r="H14" i="175"/>
  <c r="G14" i="175"/>
  <c r="H13" i="175"/>
  <c r="G13" i="175"/>
  <c r="H12" i="175"/>
  <c r="G12" i="175"/>
  <c r="F11" i="175"/>
  <c r="E11" i="175"/>
  <c r="D11" i="175"/>
  <c r="H11" i="175" s="1"/>
  <c r="C11" i="175"/>
  <c r="H10" i="175"/>
  <c r="G10" i="175"/>
  <c r="H9" i="175"/>
  <c r="G9" i="175"/>
  <c r="H8" i="175"/>
  <c r="G8" i="175"/>
  <c r="A8" i="175"/>
  <c r="A9" i="175" s="1"/>
  <c r="A10" i="175" s="1"/>
  <c r="A11" i="175" s="1"/>
  <c r="A12" i="175" s="1"/>
  <c r="A13" i="175" s="1"/>
  <c r="A14" i="175" s="1"/>
  <c r="A15" i="175" s="1"/>
  <c r="A16" i="175" s="1"/>
  <c r="A17" i="175" s="1"/>
  <c r="A18" i="175" s="1"/>
  <c r="A19" i="175" s="1"/>
  <c r="A20" i="175" s="1"/>
  <c r="A21" i="175" s="1"/>
  <c r="A22" i="175" s="1"/>
  <c r="A23" i="175" s="1"/>
  <c r="A24" i="175" s="1"/>
  <c r="A25" i="175" s="1"/>
  <c r="A26" i="175" s="1"/>
  <c r="A27" i="175" s="1"/>
  <c r="A28" i="175" s="1"/>
  <c r="A29" i="175" s="1"/>
  <c r="A30" i="175" s="1"/>
  <c r="A31" i="175" s="1"/>
  <c r="A32" i="175" s="1"/>
  <c r="A33" i="175" s="1"/>
  <c r="A34" i="175" s="1"/>
  <c r="A35" i="175" s="1"/>
  <c r="A36" i="175" s="1"/>
  <c r="A37" i="175" s="1"/>
  <c r="A38" i="175" s="1"/>
  <c r="A39" i="175" s="1"/>
  <c r="A40" i="175" s="1"/>
  <c r="A41" i="175" s="1"/>
  <c r="A42" i="175" s="1"/>
  <c r="A43" i="175" s="1"/>
  <c r="A44" i="175" s="1"/>
  <c r="A45" i="175" s="1"/>
  <c r="A46" i="175" s="1"/>
  <c r="A47" i="175" s="1"/>
  <c r="A48" i="175" s="1"/>
  <c r="A49" i="175" s="1"/>
  <c r="A50" i="175" s="1"/>
  <c r="A51" i="175" s="1"/>
  <c r="A52" i="175" s="1"/>
  <c r="A53" i="175" s="1"/>
  <c r="A54" i="175" s="1"/>
  <c r="A55" i="175" s="1"/>
  <c r="A56" i="175" s="1"/>
  <c r="A57" i="175" s="1"/>
  <c r="A58" i="175" s="1"/>
  <c r="A59" i="175" s="1"/>
  <c r="A60" i="175" s="1"/>
  <c r="A61" i="175" s="1"/>
  <c r="A62" i="175" s="1"/>
  <c r="A63" i="175" s="1"/>
  <c r="A64" i="175" s="1"/>
  <c r="A65" i="175" s="1"/>
  <c r="A66" i="175" s="1"/>
  <c r="A67" i="175" s="1"/>
  <c r="A68" i="175" s="1"/>
  <c r="A69" i="175" s="1"/>
  <c r="A70" i="175" s="1"/>
  <c r="A71" i="175" s="1"/>
  <c r="H7" i="175"/>
  <c r="G7" i="175"/>
  <c r="A7" i="175"/>
  <c r="F6" i="175"/>
  <c r="F71" i="175" s="1"/>
  <c r="E6" i="175"/>
  <c r="D6" i="175"/>
  <c r="D71" i="175" s="1"/>
  <c r="C6" i="175"/>
  <c r="H71" i="175" l="1"/>
  <c r="H21" i="175"/>
  <c r="H25" i="175"/>
  <c r="G6" i="175"/>
  <c r="G11" i="175"/>
  <c r="G31" i="175"/>
  <c r="G39" i="175"/>
  <c r="G55" i="175"/>
  <c r="F104" i="176"/>
  <c r="H104" i="176" s="1"/>
  <c r="G104" i="176"/>
  <c r="H6" i="175"/>
  <c r="C71" i="175"/>
  <c r="E71" i="175"/>
  <c r="G71" i="175" l="1"/>
  <c r="D26" i="160" l="1"/>
  <c r="E26" i="160"/>
  <c r="C26" i="160"/>
  <c r="F26" i="160"/>
  <c r="G31" i="160"/>
  <c r="H30" i="160"/>
  <c r="H32" i="160"/>
  <c r="G29" i="160"/>
  <c r="G27" i="160"/>
  <c r="G26" i="160" l="1"/>
  <c r="E13" i="3"/>
  <c r="E12" i="3"/>
  <c r="C5" i="3"/>
  <c r="D29" i="3"/>
  <c r="C29" i="3"/>
  <c r="E38" i="3"/>
  <c r="D23" i="174" l="1"/>
  <c r="C23" i="174"/>
  <c r="D22" i="174"/>
  <c r="C22" i="174"/>
  <c r="C12" i="174" s="1"/>
  <c r="D17" i="174"/>
  <c r="C17" i="174"/>
  <c r="D6" i="174"/>
  <c r="C6" i="174"/>
  <c r="A6" i="174"/>
  <c r="A7" i="174" s="1"/>
  <c r="A8" i="174" s="1"/>
  <c r="A9" i="174" s="1"/>
  <c r="A10" i="174" s="1"/>
  <c r="A11" i="174" s="1"/>
  <c r="A12" i="174" s="1"/>
  <c r="A13" i="174" s="1"/>
  <c r="A15" i="174" s="1"/>
  <c r="A16" i="174" s="1"/>
  <c r="A17" i="174" s="1"/>
  <c r="A18" i="174" s="1"/>
  <c r="A19" i="174" s="1"/>
  <c r="A20" i="174" s="1"/>
  <c r="A21" i="174" s="1"/>
  <c r="A22" i="174" s="1"/>
  <c r="A23" i="174" s="1"/>
  <c r="D10" i="174" l="1"/>
  <c r="C9" i="174"/>
  <c r="C5" i="174" l="1"/>
  <c r="C16" i="174" s="1"/>
  <c r="D12" i="174"/>
  <c r="D9" i="174" s="1"/>
  <c r="D5" i="174" s="1"/>
  <c r="D16" i="174" s="1"/>
  <c r="E23" i="144" l="1"/>
  <c r="E14" i="144"/>
  <c r="F14" i="144" l="1"/>
  <c r="F8" i="144"/>
  <c r="E8" i="144"/>
  <c r="F11" i="144"/>
  <c r="F17" i="144"/>
  <c r="E17" i="144"/>
  <c r="F25" i="144" l="1"/>
  <c r="E32" i="3"/>
  <c r="E33" i="3"/>
  <c r="E34" i="3"/>
  <c r="E35" i="3"/>
  <c r="E36" i="3"/>
  <c r="E37" i="3"/>
  <c r="E22" i="3"/>
  <c r="E23" i="3"/>
  <c r="E24" i="3"/>
  <c r="E25" i="3"/>
  <c r="E26" i="3"/>
  <c r="E8" i="3"/>
  <c r="E9" i="3"/>
  <c r="E10" i="3"/>
  <c r="E11" i="3"/>
  <c r="C19" i="3"/>
  <c r="J29" i="173" l="1"/>
  <c r="F29" i="173"/>
  <c r="J28" i="173"/>
  <c r="F28" i="173"/>
  <c r="F27" i="173"/>
  <c r="J26" i="173"/>
  <c r="F26" i="173"/>
  <c r="K26" i="173" s="1"/>
  <c r="J25" i="173"/>
  <c r="F25" i="173"/>
  <c r="K25" i="173" s="1"/>
  <c r="J24" i="173"/>
  <c r="F24" i="173"/>
  <c r="J23" i="173"/>
  <c r="K23" i="173" s="1"/>
  <c r="F23" i="173"/>
  <c r="I22" i="173"/>
  <c r="H22" i="173"/>
  <c r="G22" i="173"/>
  <c r="F22" i="173"/>
  <c r="K22" i="173" s="1"/>
  <c r="E22" i="173"/>
  <c r="D22" i="173"/>
  <c r="C22" i="173"/>
  <c r="J21" i="173"/>
  <c r="F21" i="173"/>
  <c r="K21" i="173" s="1"/>
  <c r="J20" i="173"/>
  <c r="F20" i="173"/>
  <c r="K20" i="173" s="1"/>
  <c r="J19" i="173"/>
  <c r="F19" i="173"/>
  <c r="J18" i="173"/>
  <c r="F18" i="173"/>
  <c r="K18" i="173" s="1"/>
  <c r="J17" i="173"/>
  <c r="F17" i="173"/>
  <c r="I16" i="173"/>
  <c r="H16" i="173"/>
  <c r="G16" i="173"/>
  <c r="J16" i="173" s="1"/>
  <c r="E16" i="173"/>
  <c r="D16" i="173"/>
  <c r="C16" i="173"/>
  <c r="F16" i="173" s="1"/>
  <c r="J15" i="173"/>
  <c r="F15" i="173"/>
  <c r="J13" i="173"/>
  <c r="F13" i="173"/>
  <c r="J12" i="173"/>
  <c r="F12" i="173"/>
  <c r="J11" i="173"/>
  <c r="F11" i="173"/>
  <c r="J10" i="173"/>
  <c r="F10" i="173"/>
  <c r="J9" i="173"/>
  <c r="F9" i="173"/>
  <c r="J8" i="173"/>
  <c r="K8" i="173" s="1"/>
  <c r="F8" i="173"/>
  <c r="I7" i="173"/>
  <c r="H7" i="173"/>
  <c r="H30" i="173" s="1"/>
  <c r="G7" i="173"/>
  <c r="G30" i="173" s="1"/>
  <c r="E7" i="173"/>
  <c r="D7" i="173"/>
  <c r="D30" i="173" s="1"/>
  <c r="C7" i="173"/>
  <c r="C30" i="173" s="1"/>
  <c r="J29" i="172"/>
  <c r="F29" i="172"/>
  <c r="K29" i="172" s="1"/>
  <c r="J28" i="172"/>
  <c r="F28" i="172"/>
  <c r="K28" i="172" s="1"/>
  <c r="F27" i="172"/>
  <c r="F22" i="172" s="1"/>
  <c r="K22" i="172" s="1"/>
  <c r="J26" i="172"/>
  <c r="F26" i="172"/>
  <c r="K26" i="172" s="1"/>
  <c r="J25" i="172"/>
  <c r="F25" i="172"/>
  <c r="K25" i="172" s="1"/>
  <c r="J24" i="172"/>
  <c r="F24" i="172"/>
  <c r="K24" i="172" s="1"/>
  <c r="J23" i="172"/>
  <c r="F23" i="172"/>
  <c r="K23" i="172" s="1"/>
  <c r="I22" i="172"/>
  <c r="H22" i="172"/>
  <c r="G22" i="172"/>
  <c r="E22" i="172"/>
  <c r="D22" i="172"/>
  <c r="C22" i="172"/>
  <c r="J21" i="172"/>
  <c r="F21" i="172"/>
  <c r="K21" i="172" s="1"/>
  <c r="J20" i="172"/>
  <c r="F20" i="172"/>
  <c r="K20" i="172" s="1"/>
  <c r="J19" i="172"/>
  <c r="K19" i="172" s="1"/>
  <c r="F19" i="172"/>
  <c r="J18" i="172"/>
  <c r="F18" i="172"/>
  <c r="J17" i="172"/>
  <c r="F17" i="172"/>
  <c r="I16" i="172"/>
  <c r="H16" i="172"/>
  <c r="G16" i="172"/>
  <c r="J16" i="172" s="1"/>
  <c r="E16" i="172"/>
  <c r="D16" i="172"/>
  <c r="C16" i="172"/>
  <c r="F16" i="172" s="1"/>
  <c r="J15" i="172"/>
  <c r="F15" i="172"/>
  <c r="J13" i="172"/>
  <c r="F13" i="172"/>
  <c r="K13" i="172" s="1"/>
  <c r="J12" i="172"/>
  <c r="F12" i="172"/>
  <c r="J11" i="172"/>
  <c r="F11" i="172"/>
  <c r="K11" i="172" s="1"/>
  <c r="J10" i="172"/>
  <c r="F10" i="172"/>
  <c r="K10" i="172" s="1"/>
  <c r="J9" i="172"/>
  <c r="F9" i="172"/>
  <c r="K9" i="172" s="1"/>
  <c r="J8" i="172"/>
  <c r="K8" i="172" s="1"/>
  <c r="F8" i="172"/>
  <c r="I7" i="172"/>
  <c r="H7" i="172"/>
  <c r="H30" i="172" s="1"/>
  <c r="G7" i="172"/>
  <c r="E7" i="172"/>
  <c r="E30" i="172" s="1"/>
  <c r="D7" i="172"/>
  <c r="C7" i="172"/>
  <c r="K16" i="173" l="1"/>
  <c r="J7" i="172"/>
  <c r="J30" i="172" s="1"/>
  <c r="D30" i="172"/>
  <c r="E30" i="173"/>
  <c r="I30" i="173"/>
  <c r="K12" i="172"/>
  <c r="K15" i="172"/>
  <c r="K17" i="172"/>
  <c r="K18" i="172"/>
  <c r="J22" i="172"/>
  <c r="F7" i="173"/>
  <c r="J7" i="173"/>
  <c r="J30" i="173" s="1"/>
  <c r="K9" i="173"/>
  <c r="K10" i="173"/>
  <c r="K11" i="173"/>
  <c r="K12" i="173"/>
  <c r="K13" i="173"/>
  <c r="K15" i="173"/>
  <c r="K17" i="173"/>
  <c r="K19" i="173"/>
  <c r="J22" i="173"/>
  <c r="K24" i="173"/>
  <c r="K28" i="173"/>
  <c r="K29" i="173"/>
  <c r="F30" i="173"/>
  <c r="K16" i="172"/>
  <c r="I30" i="172"/>
  <c r="C30" i="172"/>
  <c r="G30" i="172"/>
  <c r="F7" i="172"/>
  <c r="K7" i="173" l="1"/>
  <c r="K30" i="173"/>
  <c r="F30" i="172"/>
  <c r="K30" i="172" s="1"/>
  <c r="K7" i="172"/>
  <c r="C7" i="171" l="1"/>
  <c r="C5" i="171" s="1"/>
  <c r="C24" i="171" s="1"/>
  <c r="C11" i="164" l="1"/>
  <c r="E9" i="164" l="1"/>
  <c r="E11" i="164" s="1"/>
  <c r="A7" i="164"/>
  <c r="A8" i="164" s="1"/>
  <c r="A9" i="164" s="1"/>
  <c r="A10" i="164" s="1"/>
  <c r="E12" i="109"/>
  <c r="C12" i="109"/>
  <c r="C11" i="109"/>
  <c r="E9" i="109" s="1"/>
  <c r="E11" i="109" s="1"/>
  <c r="A7" i="109"/>
  <c r="A8" i="109" s="1"/>
  <c r="A9" i="109" s="1"/>
  <c r="A10" i="109" s="1"/>
  <c r="E7" i="170" l="1"/>
  <c r="H7" i="170" s="1"/>
  <c r="K7" i="170" s="1"/>
  <c r="E8" i="170"/>
  <c r="H8" i="170" s="1"/>
  <c r="K8" i="170" s="1"/>
  <c r="E9" i="170"/>
  <c r="H9" i="170" s="1"/>
  <c r="K9" i="170" s="1"/>
  <c r="E10" i="170"/>
  <c r="H10" i="170" s="1"/>
  <c r="K10" i="170" s="1"/>
  <c r="E11" i="170"/>
  <c r="H11" i="170" s="1"/>
  <c r="K11" i="170" s="1"/>
  <c r="E6" i="170"/>
  <c r="H6" i="170" s="1"/>
  <c r="K6" i="170" s="1"/>
  <c r="F12" i="170" l="1"/>
  <c r="G12" i="170"/>
  <c r="I12" i="170"/>
  <c r="J12" i="170"/>
  <c r="D12" i="170"/>
  <c r="E11" i="169" l="1"/>
  <c r="E10" i="169"/>
  <c r="C12" i="170" l="1"/>
  <c r="E12" i="170" s="1"/>
  <c r="H12" i="170" s="1"/>
  <c r="K12" i="170" s="1"/>
  <c r="A7" i="170"/>
  <c r="A8" i="170" s="1"/>
  <c r="C17" i="154" l="1"/>
  <c r="E18" i="166" l="1"/>
  <c r="E17" i="166"/>
  <c r="C11" i="169" l="1"/>
  <c r="C11" i="167"/>
  <c r="C10" i="169"/>
  <c r="A7" i="169"/>
  <c r="A8" i="169" s="1"/>
  <c r="E5" i="168" l="1"/>
  <c r="D16" i="166" l="1"/>
  <c r="D13" i="166"/>
  <c r="C13" i="166"/>
  <c r="E14" i="166"/>
  <c r="E15" i="166"/>
  <c r="D10" i="166" l="1"/>
  <c r="C10" i="166"/>
  <c r="E9" i="166"/>
  <c r="E6" i="166"/>
  <c r="D7" i="166"/>
  <c r="C7" i="166"/>
  <c r="E10" i="167"/>
  <c r="C10" i="167"/>
  <c r="E11" i="167"/>
  <c r="A7" i="167"/>
  <c r="A8" i="167" s="1"/>
  <c r="D11" i="166" l="1"/>
  <c r="C11" i="166"/>
  <c r="C16" i="166"/>
  <c r="E8" i="166"/>
  <c r="E7" i="166"/>
  <c r="A6" i="166"/>
  <c r="A7" i="166" s="1"/>
  <c r="A8" i="166" s="1"/>
  <c r="A9" i="166" s="1"/>
  <c r="E5" i="166"/>
  <c r="E16" i="166" l="1"/>
  <c r="E13" i="166"/>
  <c r="D12" i="166"/>
  <c r="E10" i="166"/>
  <c r="C12" i="166" l="1"/>
  <c r="E12" i="166" s="1"/>
  <c r="D22" i="166"/>
  <c r="E11" i="166"/>
  <c r="C22" i="166" l="1"/>
  <c r="E22" i="166" s="1"/>
  <c r="H28" i="160" l="1"/>
  <c r="H26" i="160" s="1"/>
  <c r="H25" i="160"/>
  <c r="H23" i="160" s="1"/>
  <c r="G23" i="160"/>
  <c r="F23" i="160"/>
  <c r="E23" i="160"/>
  <c r="D23" i="160"/>
  <c r="C23" i="160"/>
  <c r="H22" i="160"/>
  <c r="H20" i="160" s="1"/>
  <c r="G21" i="160"/>
  <c r="G20" i="160" s="1"/>
  <c r="F20" i="160"/>
  <c r="E20" i="160"/>
  <c r="D20" i="160"/>
  <c r="C20" i="160"/>
  <c r="H17" i="160"/>
  <c r="G16" i="160"/>
  <c r="F15" i="160"/>
  <c r="E15" i="160"/>
  <c r="D15" i="160"/>
  <c r="C15" i="160"/>
  <c r="H14" i="160"/>
  <c r="G13" i="160"/>
  <c r="F12" i="160"/>
  <c r="E12" i="160"/>
  <c r="D12" i="160"/>
  <c r="C12" i="160"/>
  <c r="H11" i="160"/>
  <c r="G10" i="160"/>
  <c r="F9" i="160"/>
  <c r="E9" i="160"/>
  <c r="D9" i="160"/>
  <c r="C9" i="160"/>
  <c r="G9" i="160" s="1"/>
  <c r="H8" i="160"/>
  <c r="A8" i="160"/>
  <c r="A9" i="160" s="1"/>
  <c r="A10" i="160" s="1"/>
  <c r="A11" i="160" s="1"/>
  <c r="G7" i="160"/>
  <c r="F6" i="160"/>
  <c r="E6" i="160"/>
  <c r="D6" i="160"/>
  <c r="C6" i="160"/>
  <c r="F19" i="160" l="1"/>
  <c r="D18" i="160"/>
  <c r="D19" i="160"/>
  <c r="F18" i="160"/>
  <c r="E19" i="160"/>
  <c r="E18" i="160"/>
  <c r="C19" i="160"/>
  <c r="H12" i="160"/>
  <c r="C18" i="160"/>
  <c r="H9" i="160"/>
  <c r="G12" i="160"/>
  <c r="G6" i="160"/>
  <c r="H6" i="160"/>
  <c r="G15" i="160"/>
  <c r="H15" i="160"/>
  <c r="D35" i="160" l="1"/>
  <c r="H18" i="160"/>
  <c r="G18" i="160"/>
  <c r="G19" i="160"/>
  <c r="G35" i="160" s="1"/>
  <c r="E35" i="160"/>
  <c r="H19" i="160"/>
  <c r="C35" i="160"/>
  <c r="F35" i="160"/>
  <c r="H35" i="160" l="1"/>
  <c r="C14" i="116"/>
  <c r="I16" i="91"/>
  <c r="D10" i="91"/>
  <c r="D23" i="91" s="1"/>
  <c r="E10" i="91"/>
  <c r="E23" i="91" s="1"/>
  <c r="F10" i="91"/>
  <c r="F23" i="91" s="1"/>
  <c r="G10" i="91"/>
  <c r="G23" i="91" s="1"/>
  <c r="H10" i="91"/>
  <c r="H23" i="91" s="1"/>
  <c r="I11" i="91"/>
  <c r="I12" i="91"/>
  <c r="I13" i="91"/>
  <c r="I14" i="91"/>
  <c r="I15" i="91"/>
  <c r="C10" i="91"/>
  <c r="C23" i="91"/>
  <c r="D22" i="144"/>
  <c r="E22" i="144"/>
  <c r="F22" i="144"/>
  <c r="C22" i="144"/>
  <c r="I22" i="91"/>
  <c r="D5" i="154"/>
  <c r="C5" i="154"/>
  <c r="E6" i="159"/>
  <c r="D7" i="159"/>
  <c r="C7" i="159"/>
  <c r="E5" i="159"/>
  <c r="D9" i="157"/>
  <c r="F6" i="157" s="1"/>
  <c r="F9" i="157" s="1"/>
  <c r="D19" i="144"/>
  <c r="E19" i="144"/>
  <c r="F19" i="144"/>
  <c r="D16" i="144"/>
  <c r="E16" i="144"/>
  <c r="F16" i="144"/>
  <c r="D13" i="144"/>
  <c r="E13" i="144"/>
  <c r="F13" i="144"/>
  <c r="D10" i="144"/>
  <c r="E10" i="144"/>
  <c r="E7" i="144"/>
  <c r="E6" i="144" s="1"/>
  <c r="F10" i="144"/>
  <c r="D7" i="144"/>
  <c r="F7" i="144"/>
  <c r="E6" i="23"/>
  <c r="E14" i="23"/>
  <c r="E16" i="23"/>
  <c r="E17" i="23"/>
  <c r="E18" i="23"/>
  <c r="E8" i="23"/>
  <c r="E9" i="23"/>
  <c r="E10" i="23"/>
  <c r="E11" i="23"/>
  <c r="E12" i="23"/>
  <c r="D7" i="23"/>
  <c r="C7" i="23"/>
  <c r="C7" i="144"/>
  <c r="C10" i="144"/>
  <c r="C16" i="144"/>
  <c r="C19" i="144"/>
  <c r="C13" i="144"/>
  <c r="C9" i="157"/>
  <c r="E6" i="157" s="1"/>
  <c r="E9" i="157" s="1"/>
  <c r="D17" i="154"/>
  <c r="D10" i="154"/>
  <c r="C10" i="154"/>
  <c r="D19" i="3"/>
  <c r="F43" i="133"/>
  <c r="F42" i="133"/>
  <c r="N15" i="145"/>
  <c r="M15" i="145"/>
  <c r="M18" i="145"/>
  <c r="N18" i="145"/>
  <c r="N16" i="145"/>
  <c r="M16" i="145"/>
  <c r="N12" i="145"/>
  <c r="M12" i="145"/>
  <c r="N11" i="145"/>
  <c r="M11" i="145"/>
  <c r="M8" i="145"/>
  <c r="N8" i="145"/>
  <c r="M6" i="145"/>
  <c r="H7" i="145"/>
  <c r="G7" i="145"/>
  <c r="G17" i="145" s="1"/>
  <c r="H6" i="145" s="1"/>
  <c r="N14" i="145"/>
  <c r="M14" i="145"/>
  <c r="N13" i="145"/>
  <c r="M13" i="145"/>
  <c r="N10" i="145"/>
  <c r="M10" i="145"/>
  <c r="N9" i="145"/>
  <c r="M9" i="145"/>
  <c r="L7" i="145"/>
  <c r="K7" i="145"/>
  <c r="K17" i="145" s="1"/>
  <c r="L6" i="145" s="1"/>
  <c r="J7" i="145"/>
  <c r="I7" i="145"/>
  <c r="F7" i="145"/>
  <c r="E7" i="145"/>
  <c r="E17" i="145" s="1"/>
  <c r="F6" i="145" s="1"/>
  <c r="D7" i="145"/>
  <c r="C7" i="145"/>
  <c r="C17" i="145" s="1"/>
  <c r="D6" i="145" s="1"/>
  <c r="F40" i="134"/>
  <c r="I21" i="91"/>
  <c r="I20" i="91"/>
  <c r="I19" i="91"/>
  <c r="I18" i="91"/>
  <c r="I17" i="91"/>
  <c r="I9" i="91"/>
  <c r="I8" i="91"/>
  <c r="I6" i="91"/>
  <c r="G6" i="97"/>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A8" i="61" s="1"/>
  <c r="A9" i="61" s="1"/>
  <c r="A10" i="61" s="1"/>
  <c r="E7" i="61"/>
  <c r="E8" i="61"/>
  <c r="E10" i="61"/>
  <c r="E12" i="61"/>
  <c r="E13" i="61"/>
  <c r="C15" i="61"/>
  <c r="D15" i="61"/>
  <c r="E16" i="61"/>
  <c r="A7" i="90"/>
  <c r="A8" i="90" s="1"/>
  <c r="A9" i="90" s="1"/>
  <c r="A10" i="90" s="1"/>
  <c r="A11" i="90" s="1"/>
  <c r="A12" i="90" s="1"/>
  <c r="A13" i="90" s="1"/>
  <c r="A14" i="90" s="1"/>
  <c r="A15" i="90" s="1"/>
  <c r="A17" i="90" s="1"/>
  <c r="A18" i="90" s="1"/>
  <c r="A19" i="90" s="1"/>
  <c r="A20" i="90" s="1"/>
  <c r="C7" i="90"/>
  <c r="D7" i="90"/>
  <c r="D14" i="90" s="1"/>
  <c r="D20" i="90" s="1"/>
  <c r="A7" i="116"/>
  <c r="E8" i="116"/>
  <c r="F8" i="116"/>
  <c r="A9" i="116"/>
  <c r="A10" i="116" s="1"/>
  <c r="A11" i="116" s="1"/>
  <c r="A12" i="116" s="1"/>
  <c r="A13" i="116" s="1"/>
  <c r="A14" i="116" s="1"/>
  <c r="A15" i="116" s="1"/>
  <c r="A16" i="116" s="1"/>
  <c r="A17" i="116" s="1"/>
  <c r="A18" i="116" s="1"/>
  <c r="C13" i="116"/>
  <c r="D13" i="116"/>
  <c r="D14" i="116"/>
  <c r="D5" i="3"/>
  <c r="E6" i="3"/>
  <c r="E7" i="3"/>
  <c r="E14" i="3"/>
  <c r="C15" i="3"/>
  <c r="D15" i="3"/>
  <c r="E16" i="3"/>
  <c r="E17" i="3"/>
  <c r="E18" i="3"/>
  <c r="E19" i="3"/>
  <c r="E20" i="3"/>
  <c r="E21" i="3"/>
  <c r="E28" i="3"/>
  <c r="E30" i="3"/>
  <c r="E31" i="3"/>
  <c r="E40" i="3"/>
  <c r="D5" i="23"/>
  <c r="A6" i="23"/>
  <c r="A7" i="23" s="1"/>
  <c r="A8" i="23" s="1"/>
  <c r="A9" i="23" s="1"/>
  <c r="A10" i="23" s="1"/>
  <c r="A11" i="23" s="1"/>
  <c r="A12" i="23" s="1"/>
  <c r="A13" i="23" s="1"/>
  <c r="A14" i="23" s="1"/>
  <c r="A15" i="23" s="1"/>
  <c r="A16" i="23" s="1"/>
  <c r="A17" i="23" s="1"/>
  <c r="A18" i="23" s="1"/>
  <c r="A19" i="23" s="1"/>
  <c r="C13" i="23"/>
  <c r="D13" i="23"/>
  <c r="C15" i="23"/>
  <c r="D15" i="23"/>
  <c r="D19" i="23" s="1"/>
  <c r="E15" i="23" l="1"/>
  <c r="E13" i="23"/>
  <c r="C18" i="116"/>
  <c r="H17" i="145"/>
  <c r="C14" i="90"/>
  <c r="C20" i="90" s="1"/>
  <c r="D18" i="116"/>
  <c r="D17" i="116"/>
  <c r="E29" i="3"/>
  <c r="C17" i="116"/>
  <c r="E7" i="159"/>
  <c r="E15" i="3"/>
  <c r="D41" i="3"/>
  <c r="E6" i="61"/>
  <c r="D41" i="133"/>
  <c r="D44" i="133" s="1"/>
  <c r="E7" i="23"/>
  <c r="D18" i="61"/>
  <c r="E15" i="61"/>
  <c r="I10" i="91"/>
  <c r="D17" i="145"/>
  <c r="E41" i="133"/>
  <c r="E44" i="133" s="1"/>
  <c r="F40" i="133"/>
  <c r="L17" i="145"/>
  <c r="F42" i="134"/>
  <c r="E5" i="23"/>
  <c r="C19" i="23"/>
  <c r="E19" i="23" s="1"/>
  <c r="C41" i="3"/>
  <c r="F17" i="145"/>
  <c r="I23" i="91"/>
  <c r="E18" i="61"/>
  <c r="E5" i="3"/>
  <c r="F6" i="144"/>
  <c r="N7" i="145"/>
  <c r="D6" i="144"/>
  <c r="M7" i="145"/>
  <c r="C6" i="144"/>
  <c r="C18" i="61"/>
  <c r="I17" i="145"/>
  <c r="M17" i="145" s="1"/>
  <c r="F41" i="133" l="1"/>
  <c r="F44" i="133"/>
  <c r="E41" i="3"/>
  <c r="J6" i="145"/>
  <c r="J17" i="145" s="1"/>
  <c r="N17" i="145" s="1"/>
  <c r="N6" i="145"/>
  <c r="M6" i="97"/>
</calcChain>
</file>

<file path=xl/sharedStrings.xml><?xml version="1.0" encoding="utf-8"?>
<sst xmlns="http://schemas.openxmlformats.org/spreadsheetml/2006/main" count="1496" uniqueCount="986">
  <si>
    <t xml:space="preserve">pozn.1): rozdiel medzi údajom, vykazovaným v stĺpci T6_R18_SH a údajom v T5_R56_(SC+SD) uviesť v komentári  </t>
  </si>
  <si>
    <t xml:space="preserve">      - dohody o vykonaní práce - externí účitelia (účet 521 009)</t>
  </si>
  <si>
    <t>- Iné ostatné  náklady (účet 549) [SUM(R77:R83)]</t>
  </si>
  <si>
    <t xml:space="preserve"> - Prvok 021 02 03  </t>
  </si>
  <si>
    <t xml:space="preserve"> - Podprogram 05T 08 </t>
  </si>
  <si>
    <t xml:space="preserve">- tvorba fondu z výnosov zo školného </t>
  </si>
  <si>
    <r>
      <t>Stav fondu k 31.12. kalendárneho roku</t>
    </r>
    <r>
      <rPr>
        <sz val="12"/>
        <rFont val="Times New Roman"/>
        <family val="1"/>
      </rPr>
      <t xml:space="preserve"> [R1+R2-R11]</t>
    </r>
  </si>
  <si>
    <t>Tržby za predaný tovar (účet 604)</t>
  </si>
  <si>
    <t xml:space="preserve">Ostatné sociálne poistenia (účet 525) </t>
  </si>
  <si>
    <t>C=A+B</t>
  </si>
  <si>
    <t>E=C-A</t>
  </si>
  <si>
    <t>F=D-B</t>
  </si>
  <si>
    <t>E=A+C</t>
  </si>
  <si>
    <t>F=B+D</t>
  </si>
  <si>
    <t>Náklady na štipendiá</t>
  </si>
  <si>
    <t xml:space="preserve">Ostatné sociálne náklady (účet 528)  </t>
  </si>
  <si>
    <t xml:space="preserve">  - poskytnuté jednorázovo</t>
  </si>
  <si>
    <r>
      <t>Zdroje na obstaranie a technické zhodnotenie majetku  z fondu reprodukcie</t>
    </r>
    <r>
      <rPr>
        <sz val="12"/>
        <rFont val="Times New Roman"/>
        <family val="1"/>
      </rPr>
      <t xml:space="preserve"> [R1+R2]</t>
    </r>
  </si>
  <si>
    <t>- nákup softvéru</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</si>
  <si>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</si>
  <si>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</si>
  <si>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</si>
  <si>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</si>
  <si>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</si>
  <si>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</si>
  <si>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</si>
  <si>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z EÚ</t>
  </si>
  <si>
    <r>
      <t>Dotácie z rozpočtov obcí a z rozpočtov vyšších územných celkov</t>
    </r>
    <r>
      <rPr>
        <sz val="12"/>
        <rFont val="Times New Roman"/>
        <family val="1"/>
      </rPr>
      <t xml:space="preserve"> [SUM(R2a:R2...)]</t>
    </r>
  </si>
  <si>
    <t>Prostriedky zo zahraničných projektov na budúce aktivity</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</si>
  <si>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</si>
  <si>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</si>
  <si>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</si>
  <si>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</si>
  <si>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 z ubytovania študentov (účet 602 001)</t>
  </si>
  <si>
    <t>- zo stravných lístkov študentov a doktorandov (účet 602 009)</t>
  </si>
  <si>
    <t>- používanie plavárne (účet 518 019)</t>
  </si>
  <si>
    <t>- výnosy z duševného vlastníctva (účet 649 011)</t>
  </si>
  <si>
    <t>- oprava výnosov minulých účtovných období (účet 649 013)</t>
  </si>
  <si>
    <t>- použitie prostriedkov fondov (účet 649 014)</t>
  </si>
  <si>
    <t>- dobropisy minulých období (účet 649 017)</t>
  </si>
  <si>
    <t>- štipendijného fondu (účet 656 200)</t>
  </si>
  <si>
    <t>- DHM - nábytok (účet 501 012)</t>
  </si>
  <si>
    <t>- ostatná údržba a opravy (účet 511 099)</t>
  </si>
  <si>
    <t>- prenájom zariadení (účet 518 002)</t>
  </si>
  <si>
    <t>- revízie zariadení (účet 518 010)</t>
  </si>
  <si>
    <t>- čistenie verejných priestranstiev (účet 518 011)</t>
  </si>
  <si>
    <t xml:space="preserve"> - bankové poplatky (účet 549 002)</t>
  </si>
  <si>
    <t xml:space="preserve"> - úhrada výnosov z úrokov na dotačnom účte (účet 549 003)</t>
  </si>
  <si>
    <t xml:space="preserve"> - Podprogram 06K 11</t>
  </si>
  <si>
    <t>Tržby z predaja cenných papierov a podielov (účet 653)</t>
  </si>
  <si>
    <t>Výnosy z dlhodobého finančného majetku (účet 652)</t>
  </si>
  <si>
    <t>Prijaté príspevky od iných organizácií (účet 662)</t>
  </si>
  <si>
    <t>Prevádzkové dotácie (účet 691)</t>
  </si>
  <si>
    <t xml:space="preserve">   - Prvok 077 12 05</t>
  </si>
  <si>
    <t>- Podprogram 077 13</t>
  </si>
  <si>
    <t xml:space="preserve">   - Prvok 077 15 02</t>
  </si>
  <si>
    <t xml:space="preserve">   - Prvok 077 15 03</t>
  </si>
  <si>
    <t xml:space="preserve"> </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</si>
  <si>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</si>
  <si>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</si>
  <si>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</si>
  <si>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</si>
  <si>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</si>
  <si>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</si>
  <si>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</si>
  <si>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</si>
  <si>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</si>
  <si>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</si>
  <si>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</si>
  <si>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</si>
  <si>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</si>
  <si>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</si>
  <si>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</si>
  <si>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spolufinanco-
vanie zo ŠR</t>
  </si>
  <si>
    <t xml:space="preserve">Počet študentov  poberajúcich štipendium </t>
  </si>
  <si>
    <t>Počet študentov  poberajúcich štipendium</t>
  </si>
  <si>
    <r>
      <t xml:space="preserve">Stav fondu k 1.1. kalendárneho roku </t>
    </r>
    <r>
      <rPr>
        <sz val="12"/>
        <rFont val="Times New Roman"/>
        <family val="1"/>
        <charset val="238"/>
      </rPr>
      <t>[R1_SB = R12_SA ...]</t>
    </r>
  </si>
  <si>
    <t>Čerpanie fondu k 31. 12. kalendárneho roku</t>
  </si>
  <si>
    <t>Spolu</t>
  </si>
  <si>
    <t>Dotácia / program</t>
  </si>
  <si>
    <t>Číslo riadku</t>
  </si>
  <si>
    <t>Dotácia spolu</t>
  </si>
  <si>
    <t>Stav fondu reprodukcie k 1.1.</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</si>
  <si>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</si>
  <si>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</si>
  <si>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</si>
  <si>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</si>
  <si>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</si>
  <si>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</si>
  <si>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</si>
  <si>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</si>
  <si>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</si>
  <si>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</si>
  <si>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</si>
  <si>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</si>
  <si>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</si>
  <si>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    - dohody o brigádnickej práci študentov (účet 521 011)</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</si>
  <si>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</si>
  <si>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</si>
  <si>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</si>
  <si>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</si>
  <si>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Tržby za vlastné výrobky (účet 601) </t>
    </r>
    <r>
      <rPr>
        <sz val="12"/>
        <rFont val="Times New Roman"/>
        <family val="1"/>
      </rPr>
      <t>[SUM(R2:R5)]</t>
    </r>
  </si>
  <si>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</si>
  <si>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</si>
  <si>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</si>
  <si>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</si>
  <si>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</si>
  <si>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</si>
  <si>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</si>
  <si>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</si>
  <si>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</si>
  <si>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Počet študentov poberajúcich sociálne štipendium </t>
  </si>
  <si>
    <t>- vysokoškolské podniky</t>
  </si>
  <si>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</si>
  <si>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</si>
  <si>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</si>
  <si>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</si>
  <si>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</si>
  <si>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</si>
  <si>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</si>
  <si>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</si>
  <si>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</si>
  <si>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</si>
  <si>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</si>
  <si>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</si>
  <si>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</si>
  <si>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</si>
  <si>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</si>
  <si>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</si>
  <si>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</si>
  <si>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</si>
  <si>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</si>
  <si>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</si>
  <si>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</si>
  <si>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</si>
  <si>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</si>
  <si>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</si>
  <si>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</si>
  <si>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</si>
  <si>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</si>
  <si>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</si>
  <si>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</si>
  <si>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</si>
  <si>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</si>
  <si>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</si>
  <si>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</si>
  <si>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</si>
  <si>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</si>
  <si>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</si>
  <si>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</si>
  <si>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</si>
  <si>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</si>
  <si>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</si>
  <si>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</si>
  <si>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</si>
  <si>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</si>
  <si>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</si>
  <si>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</si>
  <si>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</si>
  <si>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</si>
  <si>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Tržby z predaja dlhodobého NM a HM (účet 651)</t>
  </si>
  <si>
    <t>Výnosy z precenenia cenných papierov (účet 657)</t>
  </si>
  <si>
    <t>Počty ubytovaných</t>
  </si>
  <si>
    <t>Ostatné výnosy zo študentských domovov</t>
  </si>
  <si>
    <t>Výnosy z poplatkov za ubytovanie od študentov počas výučbového obdobia (10 mesiacov)</t>
  </si>
  <si>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</si>
  <si>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</si>
  <si>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</si>
  <si>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</si>
  <si>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</si>
  <si>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</si>
  <si>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</si>
  <si>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</si>
  <si>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</si>
  <si>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</si>
  <si>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</si>
  <si>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</si>
  <si>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                                                                                                                                                                                                                                                                                                                                                                                                                                                                                                                                                                                                                                                                                                                                                                                                                                                                                                                                                                                                                                                                                                                                                                                                                                                                                                                                                                                                                                                                                                                                                                                                                                                                                                                                                                                                                                                                                                                                                                                                                                                                                                                                                                                                                                                                                                                                                                                                                                                                                                                                                                                                                                                                                                                                                                                                                                                                                                                                                                                                                                                                                                                                                                                                                                                                                                                                                                                                                                                                                                                                                                                                                                                                                                                                                                                                                                                                                                                                                                                                                                                                                                                                                                                                                                                                                                                                                                                                                                                                                                                                                                                          </t>
  </si>
  <si>
    <t xml:space="preserve">  </t>
  </si>
  <si>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</si>
  <si>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</si>
  <si>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</si>
  <si>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</si>
  <si>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</si>
  <si>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</si>
  <si>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</si>
  <si>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</si>
  <si>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</si>
  <si>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</si>
  <si>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</si>
  <si>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</si>
  <si>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Priemerný mesačný náklad na doktoranda</t>
  </si>
  <si>
    <t xml:space="preserve"> - Podprogram 06K 12            </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</si>
  <si>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</si>
  <si>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</si>
  <si>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</si>
  <si>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</si>
  <si>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</si>
  <si>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</si>
  <si>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</si>
  <si>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</si>
  <si>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</si>
  <si>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</si>
  <si>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</si>
  <si>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</si>
  <si>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</si>
  <si>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</si>
  <si>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</si>
  <si>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</si>
  <si>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</si>
  <si>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</si>
  <si>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</si>
  <si>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</si>
  <si>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</si>
  <si>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</si>
  <si>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</si>
  <si>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</si>
  <si>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</si>
  <si>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</si>
  <si>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</si>
  <si>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</si>
  <si>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</si>
  <si>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</si>
  <si>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</si>
  <si>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</si>
  <si>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</si>
  <si>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</si>
  <si>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</si>
  <si>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</si>
  <si>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</si>
  <si>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</si>
  <si>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</si>
  <si>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</si>
  <si>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</si>
  <si>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</si>
  <si>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</si>
  <si>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</si>
  <si>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</si>
  <si>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</si>
  <si>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</si>
  <si>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</si>
  <si>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</si>
  <si>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</si>
  <si>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</si>
  <si>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</si>
  <si>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</si>
  <si>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</si>
  <si>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</si>
  <si>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</si>
  <si>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</si>
  <si>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</si>
  <si>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</si>
  <si>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</si>
  <si>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</si>
  <si>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</si>
  <si>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</si>
  <si>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</si>
  <si>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</si>
  <si>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</si>
  <si>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</si>
  <si>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</si>
  <si>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</si>
  <si>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</si>
  <si>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</si>
  <si>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</si>
  <si>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</si>
  <si>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</si>
  <si>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</si>
  <si>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</si>
  <si>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</si>
  <si>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</si>
  <si>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</si>
  <si>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</si>
  <si>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</si>
  <si>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</si>
  <si>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</si>
  <si>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</si>
  <si>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</si>
  <si>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</si>
  <si>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</si>
  <si>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</si>
  <si>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</si>
  <si>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</si>
  <si>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</si>
  <si>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</si>
  <si>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</si>
  <si>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</si>
  <si>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</si>
  <si>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</si>
  <si>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</si>
  <si>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</si>
  <si>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</si>
  <si>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</si>
  <si>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</si>
  <si>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</si>
  <si>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</si>
  <si>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</si>
  <si>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</si>
  <si>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</si>
  <si>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</si>
  <si>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</si>
  <si>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</si>
  <si>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</si>
  <si>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</si>
  <si>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</si>
  <si>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</si>
  <si>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</si>
  <si>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</si>
  <si>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</si>
  <si>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</si>
  <si>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</si>
  <si>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</si>
  <si>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</si>
  <si>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</si>
  <si>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</si>
  <si>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</si>
  <si>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</si>
  <si>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</si>
  <si>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</si>
  <si>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</si>
  <si>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</si>
  <si>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</si>
  <si>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</si>
  <si>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</si>
  <si>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</si>
  <si>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</si>
  <si>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</si>
  <si>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</si>
  <si>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</si>
  <si>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</si>
  <si>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</si>
  <si>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</si>
  <si>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</si>
  <si>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</si>
  <si>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</si>
  <si>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</si>
  <si>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</si>
  <si>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</si>
  <si>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</si>
  <si>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</si>
  <si>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</si>
  <si>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</si>
  <si>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</si>
  <si>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</si>
  <si>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</si>
  <si>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</si>
  <si>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</si>
  <si>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</si>
  <si>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</si>
  <si>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</si>
  <si>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</si>
  <si>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</si>
  <si>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</si>
  <si>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</si>
  <si>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</si>
  <si>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</si>
  <si>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</si>
  <si>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</si>
  <si>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</si>
  <si>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</si>
  <si>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</si>
  <si>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</si>
  <si>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</si>
  <si>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</si>
  <si>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</si>
  <si>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</si>
  <si>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</si>
  <si>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</si>
  <si>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</si>
  <si>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</si>
  <si>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</si>
  <si>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</si>
  <si>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</si>
  <si>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</si>
  <si>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</si>
  <si>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</si>
  <si>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</si>
  <si>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29</t>
  </si>
  <si>
    <t>Tvorba fondov</t>
  </si>
  <si>
    <t>30</t>
  </si>
  <si>
    <t xml:space="preserve">Náklady na precenenie cen.pap. </t>
  </si>
  <si>
    <t>31</t>
  </si>
  <si>
    <t>32</t>
  </si>
  <si>
    <t>33</t>
  </si>
  <si>
    <t>34</t>
  </si>
  <si>
    <t>35</t>
  </si>
  <si>
    <t>36</t>
  </si>
  <si>
    <t>Poskyt. príspevky z verejnej zbierky</t>
  </si>
  <si>
    <t>37</t>
  </si>
  <si>
    <t>38</t>
  </si>
  <si>
    <t>Tržby za vlastné výrobky</t>
  </si>
  <si>
    <t>39</t>
  </si>
  <si>
    <t>Tržby z predaja služieb</t>
  </si>
  <si>
    <t>40</t>
  </si>
  <si>
    <t>Tržby za predaný tovar</t>
  </si>
  <si>
    <t>41</t>
  </si>
  <si>
    <t>42</t>
  </si>
  <si>
    <t>Zmena stavu zásob polotovarov</t>
  </si>
  <si>
    <t>43</t>
  </si>
  <si>
    <t>Zmena stavu zásob výrobkov</t>
  </si>
  <si>
    <t>44</t>
  </si>
  <si>
    <t>Zmena stavu zásob zvierat</t>
  </si>
  <si>
    <t>45</t>
  </si>
  <si>
    <t>Aktivácia materiálu a tovaru</t>
  </si>
  <si>
    <t>46</t>
  </si>
  <si>
    <t>Aktivácia vnútroorganizačných služieb</t>
  </si>
  <si>
    <t>47</t>
  </si>
  <si>
    <t>48</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</si>
  <si>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</si>
  <si>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</si>
  <si>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</si>
  <si>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</si>
  <si>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</si>
  <si>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</si>
  <si>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</si>
  <si>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</si>
  <si>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</si>
  <si>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</si>
  <si>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</si>
  <si>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</si>
  <si>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</si>
  <si>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</si>
  <si>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</si>
  <si>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</si>
  <si>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</si>
  <si>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60</t>
  </si>
  <si>
    <t>Tržby z predaja cenných papierov a pod.</t>
  </si>
  <si>
    <t>61</t>
  </si>
  <si>
    <t>Tržby z predaja materiálu</t>
  </si>
  <si>
    <t>62</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</si>
  <si>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</si>
  <si>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</si>
  <si>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</si>
  <si>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</si>
  <si>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</si>
  <si>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</si>
  <si>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</si>
  <si>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</si>
  <si>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</si>
  <si>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</si>
  <si>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</si>
  <si>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</si>
  <si>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</si>
  <si>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</si>
  <si>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</si>
  <si>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</si>
  <si>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</si>
  <si>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</si>
  <si>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</si>
  <si>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</si>
  <si>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</si>
  <si>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</si>
  <si>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</si>
  <si>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</si>
  <si>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</si>
  <si>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</si>
  <si>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</si>
  <si>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</si>
  <si>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</si>
  <si>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</si>
  <si>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</si>
  <si>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r>
      <t>Spolu</t>
    </r>
    <r>
      <rPr>
        <sz val="12"/>
        <rFont val="Times New Roman"/>
        <family val="1"/>
      </rPr>
      <t xml:space="preserve"> [R1+R6+R7+R8]</t>
    </r>
  </si>
  <si>
    <t>Zamestnanci platení z dotácie MŠVVaŠ SR</t>
  </si>
  <si>
    <t>86a</t>
  </si>
  <si>
    <t>Projektovaná lôžková kapacita študentského domova k 31. 12. kalendárneho roka (v počte miest)</t>
  </si>
  <si>
    <t>F = A+B+C+D+E</t>
  </si>
  <si>
    <t>J</t>
  </si>
  <si>
    <t>K</t>
  </si>
  <si>
    <t>10a</t>
  </si>
  <si>
    <t>G=A+B+C+D+E+F</t>
  </si>
  <si>
    <t>Poskytnuté príspevky z podielu zaplatenej dane</t>
  </si>
  <si>
    <t>Zost. cena predaného DNM a DHM</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</si>
  <si>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</si>
  <si>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</si>
  <si>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</si>
  <si>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</si>
  <si>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</si>
  <si>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</si>
  <si>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</si>
  <si>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</si>
  <si>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</si>
  <si>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</si>
  <si>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Tvorba fondu v kalendárnom roku spolu</t>
    </r>
    <r>
      <rPr>
        <sz val="12"/>
        <color indexed="8"/>
        <rFont val="Times New Roman"/>
        <family val="1"/>
      </rPr>
      <t xml:space="preserve"> SUM(R3:R10) </t>
    </r>
  </si>
  <si>
    <t>Fond na podporu štúdia študentov so špecifickými potrebami</t>
  </si>
  <si>
    <t>Účtová trieda 5 spolu r.01 až r.37</t>
  </si>
  <si>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</si>
  <si>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</si>
  <si>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</si>
  <si>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</si>
  <si>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</si>
  <si>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</si>
  <si>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</si>
  <si>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</si>
  <si>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</si>
  <si>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</si>
  <si>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</si>
  <si>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</si>
  <si>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</si>
  <si>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Priemerné platy</t>
  </si>
  <si>
    <t>I=H/D/12</t>
  </si>
  <si>
    <t>*) medzi profesorov sa započítava aj funkčné zaradenie "hosťujúci profesor"</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</si>
  <si>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</si>
  <si>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</si>
  <si>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</si>
  <si>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</si>
  <si>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</si>
  <si>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</si>
  <si>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</si>
  <si>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</si>
  <si>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t>L= G+H+I+J+K</t>
  </si>
  <si>
    <t>-za dosiahnutie vynikajúceho výsledku v oblasti štúdia [R6+R7]</t>
  </si>
  <si>
    <t>-za dosiahnutie vynikajúceho výsledku vo výskume a vývoji [R9+R10]</t>
  </si>
  <si>
    <t>Zmeny stavu zásob vlastnej výroby (účtová skupina 611-614)</t>
  </si>
  <si>
    <t>Príspevky z podielu zaplatenej dane (účet 665)</t>
  </si>
  <si>
    <t>- ostatné náklady z účtovej skupiny 55 (účty 552, 553, 554, 557, 558, 559)</t>
  </si>
  <si>
    <t>81a</t>
  </si>
  <si>
    <t>- náklady na tvorbu fondu reprodukcie (účet 556 400) (z predaja a likvidácie majetku)</t>
  </si>
  <si>
    <t>- tvorba fondu z výnosov z predaja (a likvidácie) majetku (účet 413 117)</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</si>
  <si>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</si>
  <si>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</si>
  <si>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</si>
  <si>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r>
      <t xml:space="preserve">mot. štipendiá podľa 
§ 96a, ods.1, písm. a)
</t>
    </r>
    <r>
      <rPr>
        <b/>
        <sz val="12"/>
        <rFont val="Times New Roman"/>
        <family val="1"/>
        <charset val="238"/>
      </rPr>
      <t>(kód v CRŠ: 19)</t>
    </r>
    <r>
      <rPr>
        <vertAlign val="superscript"/>
        <sz val="12"/>
        <rFont val="Times New Roman"/>
        <family val="1"/>
        <charset val="238"/>
      </rPr>
      <t>2)</t>
    </r>
  </si>
  <si>
    <t>K=A+C+E+G+I</t>
  </si>
  <si>
    <t>L=B+D+F+H+J</t>
  </si>
  <si>
    <t>Výnos z dotácie zo štátneho rozpočtu na študentské domovy (vrátane zmluvných zariadení a valorizácie miezd ŠJ)</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</si>
  <si>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</si>
  <si>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</si>
  <si>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</si>
  <si>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</si>
  <si>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</si>
  <si>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xml:space="preserve">- za prijímacie konanie (§ 92 ods. 12 zákona) (účet 648 003) </t>
  </si>
  <si>
    <t xml:space="preserve">- za rigorózne konanie (§ 92 ods. 13 zákona) (účet 648 004) </t>
  </si>
  <si>
    <t>- za vydanie dokladov o štúdiu a ich kópií (§ 92 ods. 15 zákona) (účet 648 006)</t>
  </si>
  <si>
    <t>- za vydanie dokladov o absolvovaní štúdia v štátnom jazyku a v jazyku požadovanom študentom a ich kópií  (§ 92 ods. 15 zákona) (účet 648 024)</t>
  </si>
  <si>
    <t>kvartil q1 25%</t>
  </si>
  <si>
    <t>kvartil q3 75%</t>
  </si>
  <si>
    <t>medián *) = stredná hodnota</t>
  </si>
  <si>
    <t>zdroj 1AA + 3AA spolu</t>
  </si>
  <si>
    <t>zdroj 1AC + 3AC spolu</t>
  </si>
  <si>
    <t>zdroj 1AA1; 3AA1</t>
  </si>
  <si>
    <t>zdroj 1AA2; 3AA2</t>
  </si>
  <si>
    <t>Iné nezaradené</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</si>
  <si>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</si>
  <si>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</si>
  <si>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</si>
  <si>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</si>
  <si>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</si>
  <si>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</si>
  <si>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</si>
  <si>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</si>
  <si>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</si>
  <si>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</si>
  <si>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</si>
  <si>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</si>
  <si>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</si>
  <si>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</si>
  <si>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</si>
  <si>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</si>
  <si>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</si>
  <si>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r>
      <t>Iné ostatné výnosy (účet 646, 649)</t>
    </r>
    <r>
      <rPr>
        <b/>
        <sz val="14"/>
        <rFont val="Times New Roman"/>
        <family val="1"/>
        <charset val="238"/>
      </rPr>
      <t xml:space="preserve"> </t>
    </r>
    <r>
      <rPr>
        <b/>
        <sz val="12"/>
        <rFont val="Times New Roman"/>
        <family val="1"/>
        <charset val="238"/>
      </rPr>
      <t>[SUM(R35:R44)]</t>
    </r>
  </si>
  <si>
    <r>
      <t>Dotácia na kapitálové výdavky z prostriedkov EÚ (štrukturálnych fondov</t>
    </r>
    <r>
      <rPr>
        <b/>
        <sz val="12"/>
        <rFont val="Times New Roman"/>
        <family val="1"/>
        <charset val="238"/>
      </rPr>
      <t xml:space="preserve"> vrátane spolufinancovania)</t>
    </r>
  </si>
  <si>
    <t>*)</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</si>
  <si>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</si>
  <si>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</si>
  <si>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</si>
  <si>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</si>
  <si>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</si>
  <si>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</si>
  <si>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</si>
  <si>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</si>
  <si>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</si>
  <si>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</si>
  <si>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t>Zákonné poplatky-školné</t>
  </si>
  <si>
    <r>
      <t xml:space="preserve">Priemerné platy </t>
    </r>
    <r>
      <rPr>
        <b/>
        <i/>
        <sz val="11"/>
        <color theme="1"/>
        <rFont val="Times New Roman"/>
        <family val="1"/>
        <charset val="238"/>
      </rPr>
      <t>mužov</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</si>
  <si>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</si>
  <si>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</si>
  <si>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</si>
  <si>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</si>
  <si>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</si>
  <si>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</si>
  <si>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</si>
  <si>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</si>
  <si>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</si>
  <si>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</si>
  <si>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</si>
  <si>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</si>
  <si>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</si>
  <si>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</si>
  <si>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</si>
  <si>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</si>
  <si>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</si>
  <si>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</si>
  <si>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</si>
  <si>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</si>
  <si>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</si>
  <si>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Stav bankových účtov v ŠP spolu [R1+R18+R19]</t>
  </si>
  <si>
    <t>zdroj 1AB + 3AB spolu</t>
  </si>
  <si>
    <t>zdroj 11S1; 13S1</t>
  </si>
  <si>
    <t>zdroj 11S2; 13S2</t>
  </si>
  <si>
    <t>zdroj 11T1; 13T1</t>
  </si>
  <si>
    <t>zdroj 11T2; 13T2</t>
  </si>
  <si>
    <t>zdroj 1AC1; 3AC1</t>
  </si>
  <si>
    <t>zdroj 1AB1; 3AB1</t>
  </si>
  <si>
    <t>zdroj 1AB2; 3AB2</t>
  </si>
  <si>
    <t>zdroj 1AM + 3AM spolu</t>
  </si>
  <si>
    <t>zdroj 1AM1; 3AM1</t>
  </si>
  <si>
    <t>zdroj 1AM2; 3AM2</t>
  </si>
  <si>
    <t>zdroj 1AJ + 3AJ spolu</t>
  </si>
  <si>
    <t>zdroj 1AJ1; 3AJ1</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</si>
  <si>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</si>
  <si>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</si>
  <si>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</si>
  <si>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</si>
  <si>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t>23a</t>
  </si>
  <si>
    <t>23b</t>
  </si>
  <si>
    <t>Náklady na štipendiá doktorandov v dennej forme štúdia spolu</t>
  </si>
  <si>
    <t>- iné analyticky sledované výnosy (účty 602 002-007, 602 011-018, 602 099, 602 199)</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</si>
  <si>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</si>
  <si>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</si>
  <si>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</si>
  <si>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 xml:space="preserve"> - MZDY (účty 521 001-008, 521 012, 521 013)</t>
  </si>
  <si>
    <t xml:space="preserve">- Ostatné náklady účty 541 až 548 </t>
  </si>
  <si>
    <r>
      <t>Vnútroorganizačné prevody nákladov</t>
    </r>
    <r>
      <rPr>
        <sz val="12"/>
        <color theme="1"/>
        <rFont val="Times New Roman"/>
        <family val="1"/>
      </rPr>
      <t xml:space="preserve"> </t>
    </r>
    <r>
      <rPr>
        <b/>
        <sz val="12"/>
        <color theme="1"/>
        <rFont val="Times New Roman"/>
        <family val="1"/>
      </rPr>
      <t>(účtová skupina 57)</t>
    </r>
  </si>
  <si>
    <r>
      <t xml:space="preserve">Spolu </t>
    </r>
    <r>
      <rPr>
        <sz val="12"/>
        <color theme="1"/>
        <rFont val="Times New Roman"/>
        <family val="1"/>
      </rPr>
      <t>[R1+R14+R21+R22+R27+R35+R38+R39+R55+SUM (R61:R63) +SUM (R70:R74)+R84+R93+R94+R95]</t>
    </r>
  </si>
  <si>
    <t>uvádzajú sa štipendiá vyplatené zo štátneho rozpočtu, kód v CRŠ: 21</t>
  </si>
  <si>
    <t>Počet študentov poberajúcich tehotenské štipendium</t>
  </si>
  <si>
    <t>)*</t>
  </si>
  <si>
    <t>Stav k 31. 12. 2021</t>
  </si>
  <si>
    <t>Náklady
hlavnej činnosti
2021</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</si>
  <si>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2022</t>
    </r>
    <r>
      <rPr>
        <b/>
        <sz val="14"/>
        <color rgb="FFFF0000"/>
        <rFont val="Times New Roman"/>
        <family val="1"/>
        <charset val="238"/>
      </rPr>
      <t xml:space="preserve"> </t>
    </r>
    <r>
      <rPr>
        <b/>
        <sz val="14"/>
        <rFont val="Times New Roman"/>
        <family val="1"/>
      </rPr>
      <t xml:space="preserve">na programe 077 </t>
    </r>
  </si>
  <si>
    <t>Tabuľka č. 3: Výnosy verejnej vysokej školy v rokoch 2021 a 2022</t>
  </si>
  <si>
    <t>Rozdiel 2022-2021</t>
  </si>
  <si>
    <t>Tabuľka č. 5: Náklady verejnej vysokej školy v rokoch 2021 a 2022</t>
  </si>
  <si>
    <t>Tabuľka č. 6: Zamestnanci a náklady na mzdy verejnej vysokej školy v roku 2022</t>
  </si>
  <si>
    <t>Priemerný evidenčný prepočítaný počet zamestnancov za rok 2022</t>
  </si>
  <si>
    <t>Tabuľka č. 11: Zdroje verejnej vysokej školy na obstaranie a technické zhodnotenie dlhodobého majetku v rokoch 2021 a 2022</t>
  </si>
  <si>
    <t>Tabuľka č. 12: Výdavky verejnej vysokej školy na obstaranie a technické zhodnotenie dlhodobého majetku v roku 2022</t>
  </si>
  <si>
    <r>
      <t>Čerpanie kapitálovej dotácie v roku 2022</t>
    </r>
    <r>
      <rPr>
        <b/>
        <sz val="11"/>
        <color theme="1"/>
        <rFont val="Times New Roman"/>
        <family val="1"/>
      </rPr>
      <t xml:space="preserve">
zo štátneho rozpočtu (111)</t>
    </r>
  </si>
  <si>
    <r>
      <t xml:space="preserve">Čerpanie kapitálovej dotácie v roku 2022
</t>
    </r>
    <r>
      <rPr>
        <b/>
        <sz val="11"/>
        <color theme="1"/>
        <rFont val="Times New Roman"/>
        <family val="1"/>
      </rPr>
      <t>z prostriedkov EÚ (štrukturálnych fondov)</t>
    </r>
  </si>
  <si>
    <t xml:space="preserve">Čerpanie bežnej dotácie v roku 2022 prostredníctvom fondu reprodukcie </t>
  </si>
  <si>
    <t>Tabuľka č. 16: Štruktúra a stav finančných prostriedkov na bankových účtoch verejnej vysokej školy
   k 31. decembru 2022</t>
  </si>
  <si>
    <t>Stav účtu k 31.12.2022</t>
  </si>
  <si>
    <t xml:space="preserve">   - Prvok 077 15 01)*</t>
  </si>
  <si>
    <r>
      <t>Tabuľka č. 4: Výnosy verejnej vysokej školy zo školného a z poplatkov spojených so štúdiom  
v rokoch 2021</t>
    </r>
    <r>
      <rPr>
        <b/>
        <sz val="14"/>
        <color rgb="FFFF0000"/>
        <rFont val="Times New Roman"/>
        <family val="1"/>
        <charset val="238"/>
      </rPr>
      <t xml:space="preserve"> </t>
    </r>
    <r>
      <rPr>
        <b/>
        <sz val="14"/>
        <rFont val="Times New Roman"/>
        <family val="1"/>
        <charset val="238"/>
      </rPr>
      <t>a 2022</t>
    </r>
    <r>
      <rPr>
        <b/>
        <sz val="14"/>
        <color rgb="FFFF0000"/>
        <rFont val="Times New Roman"/>
        <family val="1"/>
        <charset val="238"/>
      </rPr>
      <t xml:space="preserve"> </t>
    </r>
  </si>
  <si>
    <t>Tabuľka č. 6a: Zamestnanci a náklady na mzdy verejnej vysokej školy v roku 2022 -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</si>
  <si>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2022</t>
    </r>
  </si>
  <si>
    <t>Počet osobomesiacov interných doktorandov spolu za 2022</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</si>
  <si>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2021 a 2022</t>
    </r>
  </si>
  <si>
    <t>Tabuľka č. 13: Stav a vývoj finančných fondov verejnej vysokej školy v rokoch 2021 a 2022</t>
  </si>
  <si>
    <t>Tabuľka č. 17: Príjmy verejnej vysokej školy z prostriedkov EÚ a z prostriedkov na ich spolufinancovanie 
zo štátneho rozpočtu z kapitoly MŠVVaŠ SR a z iných kapitol štátneho rozpočtu v roku 2022</t>
  </si>
  <si>
    <r>
      <t>Tabuľka č. 18: Príjmy z dotácií verejnej vysokej škole zo štátneho rozpočtu z kapitoly MŠVVaŠ SR 
poskytnuté mimo programu 077 a mimo príjmov z prostriedkov EÚ (zo štrukturálnych fondov) v roku 2022</t>
    </r>
    <r>
      <rPr>
        <sz val="14"/>
        <rFont val="Times New Roman"/>
        <family val="1"/>
      </rPr>
      <t xml:space="preserve">
</t>
    </r>
  </si>
  <si>
    <t xml:space="preserve">Tabuľka č. 19: Štipendiá z vlastných zdrojov podľa § 97 zákona v rokoch 2021 a 2022 </t>
  </si>
  <si>
    <t xml:space="preserve">Tabuľka č. 20: Motivačné štipendiá  v rokoch 2021 a 2022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</si>
  <si>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2021 a 2022</t>
    </r>
  </si>
  <si>
    <t>Stav k 31. 12. 2022</t>
  </si>
  <si>
    <t xml:space="preserve">Tabuľka č. 22: Výnosy verejnej vysokej školy v roku 2022 v oblasti sociálnej podpory študentov </t>
  </si>
  <si>
    <t>Výnosy
v hlavnej činnosti
2021</t>
  </si>
  <si>
    <r>
      <t>Výnosy
hlavnej činnosti
2022</t>
    </r>
    <r>
      <rPr>
        <sz val="12"/>
        <color indexed="10"/>
        <rFont val="Times New Roman"/>
        <family val="1"/>
        <charset val="238"/>
      </rPr>
      <t xml:space="preserve"> </t>
    </r>
  </si>
  <si>
    <t>Náklady
hlavnej činnosti
2022</t>
  </si>
  <si>
    <r>
      <t>Dotácie z POO spolu</t>
    </r>
    <r>
      <rPr>
        <sz val="12"/>
        <color indexed="8"/>
        <rFont val="Times New Roman"/>
        <family val="1"/>
      </rPr>
      <t xml:space="preserve"> [R13+R14]</t>
    </r>
  </si>
  <si>
    <t xml:space="preserve">Počet študentov poberajúcich štipendium z POO </t>
  </si>
  <si>
    <t>Príjem z dotácie poskytnutej na štipendiá z POO v rámci zmluvy z kapitoly MŠVVaŠ k 31.12.</t>
  </si>
  <si>
    <r>
      <t>uvádzajú sa štipendiá vyplatené z POO, kód v CRŠ: 24 -</t>
    </r>
    <r>
      <rPr>
        <b/>
        <sz val="12"/>
        <color rgb="FFFF0000"/>
        <rFont val="Times New Roman"/>
        <family val="1"/>
        <charset val="238"/>
      </rPr>
      <t xml:space="preserve"> talentovaní študenti</t>
    </r>
  </si>
  <si>
    <r>
      <t xml:space="preserve">uvádzajú sa štipendiá vyplatené z POO, kód v CRŠ: 25 - </t>
    </r>
    <r>
      <rPr>
        <b/>
        <sz val="12"/>
        <color rgb="FFFF0000"/>
        <rFont val="Times New Roman"/>
        <family val="1"/>
        <charset val="238"/>
      </rPr>
      <t>znevýhodnení študenti</t>
    </r>
  </si>
  <si>
    <t xml:space="preserve">Výdavky na štipendiá z POO (§ 94a zákona) za kalendárny rok </t>
  </si>
  <si>
    <r>
      <t>Počet študentov poberajúcich štipendiá z POO v osobomesiacoch</t>
    </r>
    <r>
      <rPr>
        <b/>
        <sz val="9"/>
        <rFont val="Times New Roman"/>
        <family val="1"/>
        <charset val="238"/>
      </rPr>
      <t xml:space="preserve"> </t>
    </r>
    <r>
      <rPr>
        <b/>
        <vertAlign val="superscript"/>
        <sz val="14"/>
        <rFont val="Times New Roman"/>
        <family val="1"/>
        <charset val="238"/>
      </rPr>
      <t>1)</t>
    </r>
  </si>
  <si>
    <r>
      <t xml:space="preserve">Počet študentov poberajúcich štipendiá z POO </t>
    </r>
    <r>
      <rPr>
        <b/>
        <vertAlign val="superscript"/>
        <sz val="14"/>
        <rFont val="Times New Roman"/>
        <family val="1"/>
        <charset val="238"/>
      </rPr>
      <t>2)</t>
    </r>
  </si>
  <si>
    <t xml:space="preserve">2) V stĺpcoch B a D sa uvádza celkový (fyzický) počet študentov, ktorým bolo v príslušnom kalendárnom roku poskytnuté štipendium z POO bez ohľadu na počet mesiacov. </t>
  </si>
  <si>
    <r>
      <t>Preplatok dotácie (+) / nedoplatok dotácie (-) k 31. 12. bežného roka</t>
    </r>
    <r>
      <rPr>
        <sz val="12"/>
        <rFont val="Times New Roman"/>
        <family val="1"/>
        <charset val="238"/>
      </rPr>
      <t xml:space="preserve"> [R4-R1]          </t>
    </r>
    <r>
      <rPr>
        <b/>
        <sz val="12"/>
        <rFont val="Times New Roman"/>
        <family val="1"/>
        <charset val="238"/>
      </rPr>
      <t xml:space="preserve">               </t>
    </r>
  </si>
  <si>
    <t>zdroj 1P01</t>
  </si>
  <si>
    <t>zdroj 1P02</t>
  </si>
  <si>
    <t>zdroj 3P01</t>
  </si>
  <si>
    <t>zdroj 3P02</t>
  </si>
  <si>
    <t>zdroj 3P01  + 3P02 spolu</t>
  </si>
  <si>
    <t>zdroj 1P01  + 1P02 spolu</t>
  </si>
  <si>
    <r>
      <t xml:space="preserve">Dotácie z kapitoly MŠVVaŠ SR spolu </t>
    </r>
    <r>
      <rPr>
        <sz val="12"/>
        <color theme="1"/>
        <rFont val="Times New Roman"/>
        <family val="1"/>
        <charset val="238"/>
      </rPr>
      <t xml:space="preserve">[R1+R2+R4+R5] </t>
    </r>
  </si>
  <si>
    <t>Tabuľka č. 7: Náklady verejnej vysokej školy na štipendiá doktorandov v dennej forme štúdia v roku 2022</t>
  </si>
  <si>
    <t>zdroj 1P01 + 1P02 spolu</t>
  </si>
  <si>
    <t>zdroj 3P01 + 3P02 spolu</t>
  </si>
  <si>
    <t>Bežné dotácie z POO</t>
  </si>
  <si>
    <t>Kapitálové dotácie z POO</t>
  </si>
  <si>
    <t>Dotácie spolu bežné a kapitálové v roku 2022</t>
  </si>
  <si>
    <t>za riadok 21 uveďte ďalšie zdroje, ktoré boli poskytnuté z POO a z iných kapitol</t>
  </si>
  <si>
    <t>Čísla účtov v tvare IBAN</t>
  </si>
  <si>
    <t>Tabuľka č. 14: Príjmy verejnej vysokej školy z prostriedkov Plánu obnovy a odolnosti z kapitoly MŠVVaŠ SR a z iných kapitol v roku 2022</t>
  </si>
  <si>
    <t>Tabuľka č. 15: Príjmy verejnej vysokej školy v roku 2022 z rozvojových projektov na zmiernenie negatívnych dôsledkov vojny na Ukrajine</t>
  </si>
  <si>
    <t>zdroj 11UA</t>
  </si>
  <si>
    <t>Príjmy VVŠ z 1. kola výzvy</t>
  </si>
  <si>
    <t>Príjmy VVŠ z 2. kola výzvy</t>
  </si>
  <si>
    <t>Dotácie spolu v roku 2022</t>
  </si>
  <si>
    <t xml:space="preserve">2) V stĺpcoch B sa uvádza celkový (fyzický) počet študentov, ktorým bolo v príslušnom kalendárnom roku poskytnuté štipendium z rozvojového projektu UA bez ohľadu na počet mesiacov. </t>
  </si>
  <si>
    <r>
      <rPr>
        <b/>
        <sz val="12"/>
        <rFont val="Times New Roman"/>
        <family val="1"/>
        <charset val="238"/>
      </rPr>
      <t>uvádzajú sa štipendiá vyplatené zo ŠR - rozvojové projekty,</t>
    </r>
    <r>
      <rPr>
        <b/>
        <sz val="12"/>
        <color rgb="FFFF0000"/>
        <rFont val="Times New Roman"/>
        <family val="1"/>
        <charset val="238"/>
      </rPr>
      <t xml:space="preserve"> kód v CRŠ: 26</t>
    </r>
  </si>
  <si>
    <t xml:space="preserve">Výdavky na štipendiá z RP určené na zmiernenie negatívnych dôsledkov vojny na Ukrajine za kalendárny rok </t>
  </si>
  <si>
    <r>
      <t xml:space="preserve">Počet študentov poberajúcich štipendiá určených na zmiernenie negatívnych dôsledkov vojny na Ukrajine za kalendárny rok </t>
    </r>
    <r>
      <rPr>
        <b/>
        <vertAlign val="superscript"/>
        <sz val="14"/>
        <rFont val="Times New Roman"/>
        <family val="1"/>
        <charset val="238"/>
      </rPr>
      <t>2)</t>
    </r>
  </si>
  <si>
    <t>Príjem z dotácie poskytnutej na štipendiá z RP v rámci zmluvy z kapitoly MŠVVaŠ k 31.12.</t>
  </si>
  <si>
    <t>uvádza sa skutočne poskytnutá dotácia na sociálne a tehotenské štipendiá (spolu)</t>
  </si>
  <si>
    <r>
      <t>Tabuľka č. 2: Príjmy verejnej vysokej školy v roku 2022</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</si>
  <si>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8: Údaje o systéme sociálnej podpory - časť sociálne štipendiá (§ 96 zákona) 
za roky 2021 a 2022</t>
  </si>
  <si>
    <t>Tabuľka č. 8a: Údaje o systéme sociálnej podpory - časť tehotenské štipendiá (§ 96b zákona) 
za roky 2021 a 2022</t>
  </si>
  <si>
    <t>- náklady študentských domovov (bez zmluvných zariadení) - mzdy a odvody</t>
  </si>
  <si>
    <t>- náklady študentských domovov (bez zmluvných zariadení) - ostatné</t>
  </si>
  <si>
    <t>- interiérové vybavenie (713 001)</t>
  </si>
  <si>
    <t>- telekomunikačná technika (713 003)</t>
  </si>
  <si>
    <t>- výpočtová technika (713 002)</t>
  </si>
  <si>
    <t>- prevádzkové stroje, prístroje, zariadenia, technika a náradie (713 004)</t>
  </si>
  <si>
    <t>- špeciálne stroje, prístroje, zariadenia, technika, náradie a materiál  (713 005)</t>
  </si>
  <si>
    <t>- komunikačná infraštruktúra (713 006)</t>
  </si>
  <si>
    <t>- tvorba fondu z predaja alebo likvidácie majetku</t>
  </si>
  <si>
    <r>
      <t>Dotácia na kapitálové výdavky zo štátneho rozpočtu (111</t>
    </r>
    <r>
      <rPr>
        <b/>
        <sz val="12"/>
        <rFont val="Times New Roman"/>
        <family val="1"/>
      </rPr>
      <t>)</t>
    </r>
  </si>
  <si>
    <t>- z ubytovania a stravovania iných fyzických osôb (účty 602 008 a 602 010)</t>
  </si>
  <si>
    <t>Pokuty a penále (účty 641+642)</t>
  </si>
  <si>
    <t>Platby za odpísané pohľadávky (účet 643)</t>
  </si>
  <si>
    <t>- z dotačného účtu (účet 644 001)</t>
  </si>
  <si>
    <t>- z ostatných účtov (účet 644 002)</t>
  </si>
  <si>
    <t>Kurzové zisky (účet 645)</t>
  </si>
  <si>
    <t>- školné za prekročenie štandardnej dĺžky štúdia (účet 648 001)</t>
  </si>
  <si>
    <t>- za cudzojazyčné štúdium dennou formou (účet 648 010)</t>
  </si>
  <si>
    <t>- školné od externých študentov (§ 92 ods. 4 zákona) (účty 648 020, 648 011)</t>
  </si>
  <si>
    <t>- poplatky za súbežné štúdium (§ 92, ods. 5) (účet 648 026)</t>
  </si>
  <si>
    <t>- školné od cudzincov (§ 92 ods. 9 zákona) (účty 648 002, 648 023)</t>
  </si>
  <si>
    <t xml:space="preserve">Výnosy z poplatkov spojených so štúdiom (účet 648) [SUM(R27:R32)] </t>
  </si>
  <si>
    <t>- poplatky za rigorózne konanie (§ 92, ods. 11) (účet 648 004)</t>
  </si>
  <si>
    <t>- poplatky za rigorózne konanie - vydanie diplomu (účet 648 005)</t>
  </si>
  <si>
    <t>- poplatky za vydanie dokladov o štúdiu (účet 648 006)</t>
  </si>
  <si>
    <t>- poplatky za vydanie dokladov o absolvovaní štúdia (§92, ods. 15) (účet 648 024)</t>
  </si>
  <si>
    <t>- poplatky za uznávanie rovnocennosti dokladov o štúdiu (§92, ods. 15) (účet 648 025)</t>
  </si>
  <si>
    <t>- poplatky za prijímacie konanie (§ 92, ods. 10) (účet 648 003)</t>
  </si>
  <si>
    <t>- výnosy účtu 648 (účty 648 007-8, 648 009, 648 016, 648 018-19, 648 022, 648 099)</t>
  </si>
  <si>
    <t>- dary (účty 649 009, 646 001, 646 002)</t>
  </si>
  <si>
    <t>- výnosy z dedičstva (účet 649 010)</t>
  </si>
  <si>
    <t>- použitie prostriedkov výnosov budúcich období - projekty (účet 649 015)</t>
  </si>
  <si>
    <t>- príspevok na úhradu výdavkov zahraničných študentov/lektorov (účet 649 016)</t>
  </si>
  <si>
    <t>- vložné na konferencie (účet 649 018)</t>
  </si>
  <si>
    <t>Výnosy z krátkodobého finančného majetku (účet 655)</t>
  </si>
  <si>
    <t>- fondu na podporu štúdia študentov so špecifickými potrebami (účet 656 300)</t>
  </si>
  <si>
    <t>- ostatných fondov (účty 656 510, 656 520)</t>
  </si>
  <si>
    <t>Výnosy z nájmu majetku (účet 658)</t>
  </si>
  <si>
    <t>Prijaté príspevky od fyzických osôb (účet 663)</t>
  </si>
  <si>
    <t>- za súbežné štúdium v dennej forme (§ 92 ods. 5) (účet 648 026)</t>
  </si>
  <si>
    <t>- za prekročenie štandardnej dĺžky štúdia v dennej forme (§ 92 ods. 6) (účet 648 001)</t>
  </si>
  <si>
    <t>- za cudzojazyčné štúdium dennou formou (§ 92 ods. 8 a 9) (účty 648 002, 648 010, 648 023)</t>
  </si>
  <si>
    <t>- za externú formu štúdia (§ 92 ods. 4) (účty 648 020, 648 011)</t>
  </si>
  <si>
    <t xml:space="preserve">- za vydanie diplomu za rigorózne konanie (§ 92 ods. 14 zákona) (účet 648 005) </t>
  </si>
  <si>
    <r>
      <t xml:space="preserve">- za uznávanie rovnocennosti dokladov o štúdiu (§ 92 ods. 15 zákona) (účet 648 025) </t>
    </r>
    <r>
      <rPr>
        <vertAlign val="superscript"/>
        <sz val="12"/>
        <rFont val="Times New Roman"/>
        <family val="1"/>
        <charset val="238"/>
      </rPr>
      <t/>
    </r>
  </si>
  <si>
    <r>
      <t>Výnosy zo školného</t>
    </r>
    <r>
      <rPr>
        <sz val="12"/>
        <color indexed="8"/>
        <rFont val="Times New Roman"/>
        <family val="1"/>
      </rPr>
      <t xml:space="preserve"> [SUM (R2:R5)]</t>
    </r>
  </si>
  <si>
    <t>- knihy, časopisy a noviny (účty 501 001, 501 051)</t>
  </si>
  <si>
    <t>- chemikálie a ostatný materiál pre zabezpečenie experimentálnej výučby (účty 501 002, 501 052)</t>
  </si>
  <si>
    <t>- kancelárske potreby a materiál (účty 501 003, 501 053)</t>
  </si>
  <si>
    <t>- papier (účty 501 004, 501 054)</t>
  </si>
  <si>
    <t>- pohonné hmoty a ostatný materiál na dopravu (účty 501 007, 501 057)</t>
  </si>
  <si>
    <t>- čistiace, hygienické a dezinfekčné potreby (účty 501 008, 501 020)</t>
  </si>
  <si>
    <t>- stavebný, vodoinštalačný a elektroinštalačný materiál (účet 501 009)</t>
  </si>
  <si>
    <t>- DHM - prístroje a zariadenia laboratórií, výpočtová technika (účet 501 011)</t>
  </si>
  <si>
    <t>- ostatný materiál (účty 501 099, 501 030, 501 513, 501 516, 501 519, 501 599)</t>
  </si>
  <si>
    <t>- iné analyticky sledované náklady (účty 501 005-006, 501 013-018, 501 019, 501 077)</t>
  </si>
  <si>
    <t>- elektrická energia (účty 502 001, 502 051)</t>
  </si>
  <si>
    <t>- tepelná energia (účty 502 002, 502 052)</t>
  </si>
  <si>
    <t>- vodné a stočné (účty 502 003, 502 053)</t>
  </si>
  <si>
    <t>- plyn (účty 502 004, 502 054)</t>
  </si>
  <si>
    <t>- palivá (účty 502 005, 502 055)</t>
  </si>
  <si>
    <t>- ostatné energie (účet 502 099)</t>
  </si>
  <si>
    <t>- opravy a udržiavanie stavieb (účet 511 001)</t>
  </si>
  <si>
    <t>- opravy a udržiavanie strojov, prístrojov, zariadení a inventára (účty 511 002, 511 052)</t>
  </si>
  <si>
    <t>- opravy a udržiavanie dopravných prostriedkov (účet 511 003)</t>
  </si>
  <si>
    <t>- opravy a udržiavanie prostriedkov IT (účet 511 004)</t>
  </si>
  <si>
    <t>- iné analyticky sledované náklady (účty 511 006-008, 511 056)</t>
  </si>
  <si>
    <t>- údržba a opravy meracej techniky, telových.zariadení ... (účet 511 005)</t>
  </si>
  <si>
    <t>- domáce cestovné (účty 512 001, 512 051)</t>
  </si>
  <si>
    <t>- zahraničné cestovné (účty 512 002, 512 003, 512 004, 512 005, 512 052)</t>
  </si>
  <si>
    <t>- prenájom priestorov (účet 518 001)</t>
  </si>
  <si>
    <t>- vložné na konferencie (účty 518 004, 518 054)</t>
  </si>
  <si>
    <t>- ďalšie vzdelávanie zamestnancov (účet 518 005)</t>
  </si>
  <si>
    <t>- telefón, fax (účty 518 006, 518 056)</t>
  </si>
  <si>
    <t>- počítačové siete a prenosy údajov (účet 518 007)</t>
  </si>
  <si>
    <t>- poštovné (účty 518 008, 518 058)</t>
  </si>
  <si>
    <t>- odvoz odpadu (účty 518 009, 518 059)</t>
  </si>
  <si>
    <t>- dopravné služby (účty 518 012, 518 512)</t>
  </si>
  <si>
    <t>- drobný nehmotný majetok (účet 518 014)</t>
  </si>
  <si>
    <t>- ostatné služby (účet 518 035)</t>
  </si>
  <si>
    <r>
      <t>Mzdové náklady (účet 521)</t>
    </r>
    <r>
      <rPr>
        <sz val="12"/>
        <color theme="1"/>
        <rFont val="Times New Roman"/>
        <family val="1"/>
      </rPr>
      <t xml:space="preserve"> [SUM(R56:R57)]</t>
    </r>
  </si>
  <si>
    <t xml:space="preserve">      - dohody o vykonaní práce, dohody o pracovnej činnosti (účet 521 010)</t>
  </si>
  <si>
    <t>- tvorba sociálneho fondu (účet 527 001)</t>
  </si>
  <si>
    <t>- príspevok zamestnancom na stravovanie (účty 527 002, 527 052)</t>
  </si>
  <si>
    <t>- zákonné odstupné, odchodné (účet 527 003)</t>
  </si>
  <si>
    <t>- náhrada príjmu pri PN (účet 527 004)</t>
  </si>
  <si>
    <t xml:space="preserve">- ochranné pracovné pomôcky podľa Zákonníka práce (účet 527 005) </t>
  </si>
  <si>
    <t xml:space="preserve"> - štipendiá doktorandov (účty 549 001, 549 016, 549 017)</t>
  </si>
  <si>
    <t xml:space="preserve"> - poistné náklady (havarijné, majetok, na študentov) (účty 549 004, 549 014, 549 015, 549 054)</t>
  </si>
  <si>
    <t xml:space="preserve"> - podpora štud. so špecifickými potrebami podľa §100 (účet 549 018) </t>
  </si>
  <si>
    <t xml:space="preserve"> - iné analyticky sledované náklady (účty 549 005-006, 549 012)</t>
  </si>
  <si>
    <t>- náklady na tvorbu fondu na podporu štúdia študentov so špecifickými potrebami (účet 556 300)</t>
  </si>
  <si>
    <t xml:space="preserve">- náklady na tvorbu ostatných fondov (účty 556 510, 556 520) </t>
  </si>
  <si>
    <t>- vysokoškolskí učitelia s funkčným zaradením "profesor"   *)</t>
  </si>
  <si>
    <t>Pod pojmom "interný doktorand" sa rozumie doktorand, ktorému vysoká škola vypláca štipendium v zmysle § 54 zák. č.131/2002 Z.z. o vysokých školách a o zmene a doplnení niektorých zákonov.</t>
  </si>
  <si>
    <t>1) Výnosy a náklady z podnikateľskej činnosti sa neuvádzajú.</t>
  </si>
  <si>
    <t>2) Uvádzajte počet denných študentov I. a II. stupňa štúdia počas výučbového obdobia, najviac však 10 mesiacov a denných študentov III. stupňa štúdia (doktorandov) vrátane hlavných prázdnin maximálne 12 mesiacov.</t>
  </si>
  <si>
    <r>
      <t xml:space="preserve">Náklady študentských domovov spolu </t>
    </r>
    <r>
      <rPr>
        <sz val="12"/>
        <rFont val="Times New Roman"/>
        <family val="1"/>
      </rPr>
      <t>[R10+R11]</t>
    </r>
  </si>
  <si>
    <r>
      <t xml:space="preserve">- tvorba fondu z hospodárskeho výsledku (účet 413 111) </t>
    </r>
    <r>
      <rPr>
        <vertAlign val="superscript"/>
        <sz val="12"/>
        <rFont val="Times New Roman"/>
        <family val="1"/>
        <charset val="238"/>
      </rPr>
      <t xml:space="preserve">1) </t>
    </r>
  </si>
  <si>
    <t>1) Vrátane tvorby z nerozdeleného zisku z minulých rokov.</t>
  </si>
  <si>
    <t>2) Ostatná tvorba fondu reprodukcie v zmysle § 16a ods. 8 zákona č. 131/2002 Z. z.o vysokých školách v znení neskorších predpisov (kreditné úroky a kurzové zisky).</t>
  </si>
  <si>
    <t>2) Len ak umožňuje zákon.</t>
  </si>
  <si>
    <t>3) Uvádza sa v prípade, ak si vysoká škola vytvorila osobitný bankový účet na krytie fondu - napríklad  fondu reprodukcie.</t>
  </si>
  <si>
    <r>
      <t>1) V stĺpcoch B a D sa uvádza prepočítaný počet študentov určený ako počet osobomesiacov, počas ktorých bolo poskytované štipendium</t>
    </r>
    <r>
      <rPr>
        <b/>
        <sz val="10"/>
        <rFont val="Times New Roman"/>
        <family val="1"/>
        <charset val="238"/>
      </rPr>
      <t>.</t>
    </r>
    <r>
      <rPr>
        <sz val="10"/>
        <rFont val="Times New Roman"/>
        <family val="1"/>
        <charset val="238"/>
      </rPr>
      <t xml:space="preserve"> </t>
    </r>
  </si>
  <si>
    <r>
      <t>2) V stĺpcoch B a D sa uvádza celkový (fyzický) počet študentov, ktorým bolo v príslušnom roku poskytované štipendium</t>
    </r>
    <r>
      <rPr>
        <b/>
        <sz val="10"/>
        <rFont val="Times New Roman"/>
        <family val="1"/>
        <charset val="238"/>
      </rPr>
      <t>.</t>
    </r>
  </si>
  <si>
    <r>
      <t xml:space="preserve">Počet študentov poberajúcich  štipendiá z vlastných zdrojov </t>
    </r>
    <r>
      <rPr>
        <b/>
        <vertAlign val="superscript"/>
        <sz val="12"/>
        <color theme="1"/>
        <rFont val="Times New Roman"/>
        <family val="1"/>
        <charset val="238"/>
      </rPr>
      <t xml:space="preserve">2) </t>
    </r>
  </si>
  <si>
    <t>1) V riadku 5 sa uvedie celkový fyzický počet študentov (pričom 1 študent sa počíta za 1 fyzickú osobu), ktorým bolo vyplatené motivačné štipendium v kalendárnom roku.</t>
  </si>
  <si>
    <t>2) Uvádzajú sa len motivačné štipendiá vyplatené podľa § 96a, ods.1, písm. a) (kód CRŠ 19).</t>
  </si>
  <si>
    <t>3) Uvádzajú sa len motivačné štipendiá vyplatené podľa § 96a, ods.1, písm. b) (kódy v CRŠ: 4, 5, 6, 7, 8).</t>
  </si>
  <si>
    <t xml:space="preserve">1) V stĺpcoch B a D sa uvádza prepočítaný počet študentov určený ako počet osobomesiacov, počas ktorých bolo poskytované štipendium z POO. </t>
  </si>
  <si>
    <t>1) V stĺpci B sa uvádza prepočítaný počet študentov určený ako počet osobomesiacov, počas ktorých bolo poskytované štipendium z rozvojového projektu UA.</t>
  </si>
  <si>
    <t>Zmena stavu zásob ned. výroby</t>
  </si>
  <si>
    <t>Zákonné soc.poistenie a zdrav.poistenie</t>
  </si>
  <si>
    <t>Aktivácia dlhodobého nehmotného majetku</t>
  </si>
  <si>
    <t>Aktivácia dlhodobého hmotného majetku</t>
  </si>
  <si>
    <t>Výnosy z dlhodobého finančného majetku</t>
  </si>
  <si>
    <t>Výnosy z krátkodobého finančného majetku</t>
  </si>
  <si>
    <t>Poskytnuté príspevky fyzickým osobám</t>
  </si>
  <si>
    <t>Poskytnuté príspevky iným účtovným jednotkám</t>
  </si>
  <si>
    <t>Poskytnuté príspevky organizačným zložkám</t>
  </si>
  <si>
    <t>Tvorba a zúčtovanie opravných položiek</t>
  </si>
  <si>
    <t>Náklady na krátkodobý finančný majetok</t>
  </si>
  <si>
    <t xml:space="preserve">Tabuľka č .23:  Náklady verejnej vysokej školy v roku 2022 v oblasti sociálnej podpory študentov </t>
  </si>
  <si>
    <t xml:space="preserve">2) Výnosy z Fondu reprodukcie možno účtovať len v súvislosti s krytím nákladov na vedenie príslušného bankového účtu a nákladov vyplývajúcich z kurzových strát v zmysle 16a ods. 8 zákona.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</si>
  <si>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t>
    </r>
  </si>
  <si>
    <r>
      <t xml:space="preserve">Priemerné štipendium na 1 študenta na mesiac </t>
    </r>
    <r>
      <rPr>
        <sz val="12"/>
        <rFont val="Times New Roman"/>
        <family val="1"/>
        <charset val="238"/>
      </rPr>
      <t xml:space="preserve">[R1_SA/R2_SB resp. R1_SC/R2_SD] </t>
    </r>
  </si>
  <si>
    <r>
      <t xml:space="preserve">Dotácie z kapitol štátneho rozpočtu okrem kapitoly MŠVVaŠ SR </t>
    </r>
    <r>
      <rPr>
        <sz val="12"/>
        <rFont val="Times New Roman"/>
        <family val="1"/>
      </rPr>
      <t xml:space="preserve"> (na zdroji 111 a 11UA) [SUM(R1a:R1...)]</t>
    </r>
  </si>
  <si>
    <t>Finančný mechanizmus EHP a Nórsky finančný mechanizmus patria do R3 (ide o prostriedky poskytnuté Úradom vlády SR, na inom zdroji 111)</t>
  </si>
  <si>
    <t>Aktivácia (účtovná skupina 621-624)</t>
  </si>
  <si>
    <t>zdroj 1AC2; 3AC2; 1AC3; 3AC3</t>
  </si>
  <si>
    <t>uvádzajú sa len štipendiá vyplatené z vlastných zdrojov, v CRŠ kód 9 a kód 23</t>
  </si>
  <si>
    <t xml:space="preserve">Ostatné*) </t>
  </si>
  <si>
    <t>Ostatné*)</t>
  </si>
  <si>
    <t>86b</t>
  </si>
  <si>
    <t xml:space="preserve"> - iné analyticky sledované náklady (účty 518 003, 518 013, 518 015-018, 518 020-030, 518 031-034, 518 036-038, 518 040-041, 518 052, 518 057, 518 089, 518 099, 518 529-530) </t>
  </si>
  <si>
    <t xml:space="preserve"> - štipendiá z vlastných zdrojov (účty 549 007-010, 549 019, 549 020, 549 022-023) </t>
  </si>
  <si>
    <t xml:space="preserve"> - ostatné iné náklady (účty 549 011, 549 013, 549 021, 549 098-099)</t>
  </si>
  <si>
    <t xml:space="preserve"> - odpisy DN a HM nadobudnutého z kapitálových dotácií zo ŠR 
(účty 551 001, 551 003, 551 100, 551 121, 551 123)</t>
  </si>
  <si>
    <t xml:space="preserve"> - odpisy DN a HM nadobudnutého z kapitálových dotácií z EÚ (zo štrukturálnych fondov) (účty 551 004, 551 300, 551 321, 551 323)</t>
  </si>
  <si>
    <t xml:space="preserve">  - odpisy ostatného DN a HM (účty 551 130, 551 131, 551 133, 551 400, 551 421, 551 423, 551 500, 551 521) </t>
  </si>
  <si>
    <r>
      <t xml:space="preserve">Do tabuľky sa uvádzajú aj </t>
    </r>
    <r>
      <rPr>
        <b/>
        <sz val="10"/>
        <rFont val="Times New Roman"/>
        <family val="1"/>
      </rPr>
      <t>motivačné štipendiá doktorandov</t>
    </r>
    <r>
      <rPr>
        <sz val="10"/>
        <rFont val="Times New Roman"/>
        <family val="1"/>
      </rPr>
      <t>, nie však "normálne" štipendiá doktorandov podľa platovej tabuľky !!!</t>
    </r>
  </si>
  <si>
    <t xml:space="preserve"> - ostatné výnosy (účty 649 001-8, 649 012, 649 019-026, 649 098, 649 099, 649 113)</t>
  </si>
  <si>
    <t xml:space="preserve"> - potraviny (účty 501 010)</t>
  </si>
  <si>
    <t xml:space="preserve"> - ostatné zákonné sociálne náklady (účty 527 006, 527 099, 527 600)</t>
  </si>
  <si>
    <t>*) analytiky - odpisy, z ktorých sa tvorí fond reprodukcie</t>
  </si>
  <si>
    <r>
      <t xml:space="preserve"> - odpisy ostatného DN a HM (účty 551 002, 551 200, 551 221, 551 223, 551 900, 551 921, 551 923)</t>
    </r>
    <r>
      <rPr>
        <sz val="12"/>
        <rFont val="Calibri"/>
        <family val="2"/>
        <charset val="238"/>
      </rPr>
      <t>*)</t>
    </r>
  </si>
  <si>
    <t>Názov rozvojového projektu</t>
  </si>
  <si>
    <t>zostatok nevyčerpanej dotácie z predchádzajúceho roka, t. j. k 31. 12. 2022.</t>
  </si>
  <si>
    <t>Tabuľka č. 20a: Štipendiá z Plánu obnovy a odolnosti - POO (§ 94a zákona) 
za rok 2022</t>
  </si>
  <si>
    <t>Tabuľka č. 20b: Štipendiá z rozvojových projektov (RP) a iných zdrojov určené na zmiernenie negatívnych dôsledkov vojny na Ukrajine za rok 2022</t>
  </si>
  <si>
    <t>uvádzajú sa štipendiá vyplatené zo ŠR - mimo kapitolu MŠVVaŠ SR</t>
  </si>
  <si>
    <t xml:space="preserve">Tabuľka č. 24: Príjmy a výdavky VVŠ určené na rozvojové projekty na podprograme 077 13 - Rozvoj vysokého školstva do roku 2021 a za roky 2021 a 2022 </t>
  </si>
  <si>
    <t>príjmy a výdavky (v Eur) v rokoch</t>
  </si>
  <si>
    <t>príjmy z 077 13 do roku 2021 spolu</t>
  </si>
  <si>
    <t>výdavky z 077 13 do roku 2021 spolu</t>
  </si>
  <si>
    <t>zostatok nevyčerpanej dotácie z 077 13 do roku 2021 spolu</t>
  </si>
  <si>
    <t>zostatok nevyčerpanej dotácie z 077 13 v roku 2021</t>
  </si>
  <si>
    <t>výdavky z 077 13 v roku 2021</t>
  </si>
  <si>
    <t>príjmy z 077 13 v roku 2021</t>
  </si>
  <si>
    <t>príjmy z 077 13 v roku 2022</t>
  </si>
  <si>
    <t>výdavky z 077 13 v roku 2022</t>
  </si>
  <si>
    <t xml:space="preserve">Nevyčerpaná dotácia (+) / nedoplatok dotácie (-) k 31. 12. predchádzajúceho roka  
[R4_SC = R6_SA]                         </t>
  </si>
  <si>
    <t xml:space="preserve">Výdavky na tehotenské štipendiá (§ 96 zákona) za kalendárny rok </t>
  </si>
  <si>
    <r>
      <t>Počet študentov poberajúcich tehotenské štipendiá v osobomesiacoch</t>
    </r>
    <r>
      <rPr>
        <b/>
        <sz val="9"/>
        <rFont val="Times New Roman"/>
        <family val="1"/>
        <charset val="238"/>
      </rPr>
      <t xml:space="preserve"> </t>
    </r>
    <r>
      <rPr>
        <b/>
        <vertAlign val="superscript"/>
        <sz val="14"/>
        <rFont val="Times New Roman"/>
        <family val="1"/>
        <charset val="238"/>
      </rPr>
      <t>1)</t>
    </r>
  </si>
  <si>
    <r>
      <t xml:space="preserve">Počet študentov poberajúcich tehotenské štipendiá </t>
    </r>
    <r>
      <rPr>
        <b/>
        <vertAlign val="superscript"/>
        <sz val="14"/>
        <rFont val="Times New Roman"/>
        <family val="1"/>
        <charset val="238"/>
      </rPr>
      <t>2)</t>
    </r>
  </si>
  <si>
    <t>Príjem z dotácie poskytnutej na tehotenské štipendiá v rámci dotačnej zmluvy z kapitoly     MŠVVaŠ k 31.12.</t>
  </si>
  <si>
    <r>
      <t>1) V stĺpcoch B a D sa uvádza prepočítaný počet študentiek určený ako počet osobomesiacov, počas ktorých bolo poskytované tehotenské štipendium</t>
    </r>
    <r>
      <rPr>
        <b/>
        <sz val="11"/>
        <rFont val="Times New Roman"/>
        <family val="1"/>
        <charset val="238"/>
      </rPr>
      <t>.</t>
    </r>
    <r>
      <rPr>
        <sz val="11"/>
        <rFont val="Times New Roman"/>
        <family val="1"/>
        <charset val="238"/>
      </rPr>
      <t xml:space="preserve"> </t>
    </r>
  </si>
  <si>
    <t xml:space="preserve">2) V stĺpcoch B a D sa uvádza celkový (fyzický) počet študentiek, ktorým bolo v príslušnom kalendárnom roku poskytnuté motivačné štipendium bez ohľadu na počet mesiacov. </t>
  </si>
  <si>
    <t>uvádzajú sa štipendiá vyplatené zo štátneho rozpočtu, kód v CRŠ: 1</t>
  </si>
  <si>
    <t xml:space="preserve">Výdavky na sociálne štipendiá (§ 96 zákona) za kalendárny rok </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</si>
  <si>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</si>
  <si>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 xml:space="preserve">Počet študentov poberajúcich sociálne štipendiá </t>
    </r>
    <r>
      <rPr>
        <b/>
        <vertAlign val="superscript"/>
        <sz val="14"/>
        <rFont val="Times New Roman"/>
        <family val="1"/>
        <charset val="238"/>
      </rPr>
      <t>2)</t>
    </r>
  </si>
  <si>
    <t>Príjem z dotácie poskytnutej na sociálne štipendiá v rámci dotačnej zmluvy z kapitoly MŠVVaŠ k 31.12.</t>
  </si>
  <si>
    <r>
      <t>1) V stĺpcoch B a D sa uvádza prepočítaný počet študentov určený ako počet osobomesiacov, počas ktorých bolo poskytované sociálne štipendium</t>
    </r>
    <r>
      <rPr>
        <b/>
        <sz val="11"/>
        <rFont val="Times New Roman"/>
        <family val="1"/>
        <charset val="238"/>
      </rPr>
      <t>.</t>
    </r>
  </si>
  <si>
    <t xml:space="preserve">2) V stĺpcoch B a D sa uvádza celkový (fyzický) počet študentov, ktorým bolo v príslušnom kalendárnom roku poskytnuté sociálne štipendium bez ohľadu na počet mesiacov. </t>
  </si>
  <si>
    <t xml:space="preserve">pozn.: aktívne projekty, ktoré boli aktívne v roku 2022, príp. sa čerpali finačné zdroje v roku 2022 </t>
  </si>
  <si>
    <t xml:space="preserve">Počet študentov poberajúcich tehotenské štipendium </t>
  </si>
  <si>
    <t>stratégia ľudsakých zdrojov vo výskume na UPJŠ /0771351 Ručinská/</t>
  </si>
  <si>
    <t>Integrácia košických univerzít v oblasti transferu technológií /CassTech 0771353/</t>
  </si>
  <si>
    <t>Matersská škola pri UPJS /0771354/</t>
  </si>
  <si>
    <t>One. Point / 0771355/</t>
  </si>
  <si>
    <t xml:space="preserve">SK1681800000007000633256
SK4881800000007000241770
SK6581800000007000241949
SK7081800000007000241762
SK7481800000007000241690
SK9581800000007000241797
SK1081800000007000137500
SK1381800000007000137543
SK3581800000007000137535
SK3881800000007000633248
SK5781800000007000137527
SK7981800000007000137519
</t>
  </si>
  <si>
    <t>SK3681800000007000436471</t>
  </si>
  <si>
    <t xml:space="preserve">SK0581800000007000643833
SK0681800000007000679705
SK0781800000007000682015
SK1481800000007000535904
SK1581800000007000677021
SK1781800000007000634208
SK1881800000007000653978
SK2881800000007000652828
SK3081800000007000373335
SK3181800000007000678964
SK3381800000007000658170
SK3881800000007000440315
SK4381800000007000559535
SK4481800000007000429052
SK4481800000007000540893
SK5981800000007000656538
SK5981800000007000682146
SK6081800000007000656423
SK6881800000007000547833
SK7781800000007000634195
SK7881800000007000661337
SK8881800000007000636422
SK9281800000007000634216
SK9481800000007000657266
SK9781800000007000660801
</t>
  </si>
  <si>
    <t>SK9181800000007000078424</t>
  </si>
  <si>
    <t>SK3681800000007000252365</t>
  </si>
  <si>
    <t xml:space="preserve">SK4581800000007000078379
SK4781800000007000078440
SK6581800000007000078504
SK8081800000007000252349
SK8381800000007000086037
</t>
  </si>
  <si>
    <t xml:space="preserve">SK0881800000007000086029
SK2181800000007000078520
SK8681800000007000074343
SK9181800000007000633264
SK9481800000007000078467
SK9881800000007000078395
</t>
  </si>
  <si>
    <t xml:space="preserve">SK3981800000007000086053
SK5081800000007000078483
SK6281800000007000633301
SK6881800000007000078547
</t>
  </si>
  <si>
    <t>SK1581800000007000467307</t>
  </si>
  <si>
    <t xml:space="preserve">SK0281800000007000633993
SK0281800000007000666197
SK0581800000007000497848
SK0781800000007000368026
SK0781800000007000528755
SK0781800000007000659608
SK1081800000007000300363
SK1181800000007000572430
SK1281800000007000664562
SK1981800000007000078459
SK1981800000007000633299
SK2381800000007000078387
SK2881800000007000078491
SK3381800000007000658752
SK3681800000007000086010
SK4181800000007000565003
SK4181800000007000570435
SK4381800000007000078512
SK4381800000007000593776
SK4481800000007000354847
SK4481800000007000645265
SK4781800000007000429677
SK4781800000007000633280
SK5481800000007000099751
SK5881800000007000086002
SK5881800000007000252357
SK5981800000007000620551
SK6081800000007000558938
SK6381800000007000682074
SK6481800000007000074351
SK6481800000007000677400
SK6881800000007000152655
SK6981800000007000078432
SK7181800000007000677080
SK7381800000007000078360
SK7481800000007000664028
SK7481800000007000671594
SK7781800000007000470362
SK7881800000007000373829
SK7981800000007000358776
SK8081800000007000572449
SK8381800000007000647279
SK8681800000007000677101
SK8981800000007000074386
SK8981800000007000333667
SK9581800000007000467710
SK9881800000007000464261
</t>
  </si>
  <si>
    <r>
      <t xml:space="preserve">Účty v Štátnej pokladnici spolu [SUM(R2:R16)] </t>
    </r>
    <r>
      <rPr>
        <b/>
        <sz val="12"/>
        <color rgb="FFFF0000"/>
        <rFont val="Times New Roman"/>
        <family val="1"/>
        <charset val="238"/>
      </rPr>
      <t>tu by mal byť text R2:R17</t>
    </r>
  </si>
  <si>
    <t>Botanická záhrada</t>
  </si>
  <si>
    <t>Zahraniční lektori</t>
  </si>
  <si>
    <t>MZ SR projekt 07B01401 Rezident</t>
  </si>
  <si>
    <t>MK SR fond na podporu umenia</t>
  </si>
  <si>
    <t>1c</t>
  </si>
  <si>
    <t>Sanet</t>
  </si>
  <si>
    <t>1d</t>
  </si>
  <si>
    <t>MZ SR projekty 07B0307</t>
  </si>
  <si>
    <t>1e</t>
  </si>
  <si>
    <t>APVV v spolupráci</t>
  </si>
  <si>
    <t>1f</t>
  </si>
  <si>
    <t>Višehradský fond</t>
  </si>
  <si>
    <t>Simulácia Eur.parlamentu, Akci SK Špakova</t>
  </si>
  <si>
    <t>3c</t>
  </si>
  <si>
    <t>BZ,UK príspevok</t>
  </si>
  <si>
    <t>3d</t>
  </si>
  <si>
    <t>Príspevok pre TIP</t>
  </si>
  <si>
    <t>3e</t>
  </si>
  <si>
    <t>Finančný mechanizmus /FoPa FVS/</t>
  </si>
  <si>
    <t>3f</t>
  </si>
  <si>
    <t>InStyle Vozáriková</t>
  </si>
  <si>
    <t>3g</t>
  </si>
  <si>
    <t>Integrácia VUMKE</t>
  </si>
  <si>
    <t xml:space="preserve">Projekt Aqel </t>
  </si>
  <si>
    <t>4c</t>
  </si>
  <si>
    <t>CasProt</t>
  </si>
  <si>
    <t>UrbanHist</t>
  </si>
  <si>
    <t>4d</t>
  </si>
  <si>
    <t>Response</t>
  </si>
  <si>
    <t>4e</t>
  </si>
  <si>
    <t>RUG, konferencia XFELL</t>
  </si>
  <si>
    <t>4f</t>
  </si>
  <si>
    <t>Erasmus,Sokrates,Saaic</t>
  </si>
  <si>
    <t>4g</t>
  </si>
  <si>
    <t>RZ EZUCE</t>
  </si>
  <si>
    <t>4h</t>
  </si>
  <si>
    <t>InnoChange,HEUCream,Tomoscopy,Edcast</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</si>
  <si>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2021 a 2022</t>
    </r>
  </si>
  <si>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</si>
  <si>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r>
      <t>Tržby jedální súvisiace so stravovaním študentov v kalendárnom roku spolu</t>
    </r>
    <r>
      <rPr>
        <sz val="12"/>
        <rFont val="Times New Roman"/>
        <family val="1"/>
      </rPr>
      <t xml:space="preserve"> [R3+R4]</t>
    </r>
  </si>
  <si>
    <t>- tržby za stravné lístky študentov</t>
  </si>
  <si>
    <t>- ostatné tržby súvisiace so stravovaním študentov</t>
  </si>
  <si>
    <r>
      <t xml:space="preserve">Výnos z dotácie zo štátneho rozpočtu na študentské jedálne spolu </t>
    </r>
    <r>
      <rPr>
        <sz val="12"/>
        <rFont val="Times New Roman"/>
        <family val="1"/>
      </rPr>
      <t>[R6+R7-R8]</t>
    </r>
  </si>
  <si>
    <t>- zostatok nevyčerpanej dotácie (+)/ nedoplatok dotácie (-) z predchádzajúcich rokov [R6_SB=R8_SA]</t>
  </si>
  <si>
    <t xml:space="preserve">- účelová dotácia v danom kalendárnom roku </t>
  </si>
  <si>
    <t>- prenos zostatku dotácie do nasledujúceho kalendárneho roku [R6+R7-R15]</t>
  </si>
  <si>
    <t>Náklady na činnosť študentských jedální súvisiace so stravovaním študentov za kalendárny rok</t>
  </si>
  <si>
    <r>
      <t xml:space="preserve"> - náklady na jedlá študentov</t>
    </r>
    <r>
      <rPr>
        <vertAlign val="superscript"/>
        <sz val="12"/>
        <rFont val="Times New Roman"/>
        <family val="1"/>
        <charset val="238"/>
      </rPr>
      <t>3)</t>
    </r>
  </si>
  <si>
    <r>
      <t xml:space="preserve">Rozdiel výnosov a nákladov študentských jedální súvisiacich so stravovaním študentov  </t>
    </r>
    <r>
      <rPr>
        <sz val="12"/>
        <rFont val="Times New Roman"/>
        <family val="1"/>
        <charset val="238"/>
      </rPr>
      <t>[R1-R9]</t>
    </r>
  </si>
  <si>
    <t xml:space="preserve">Počet vydaných jedál študentom v kalendárnom roku  </t>
  </si>
  <si>
    <r>
      <t>- počet vydaných jedál študentom vo vlastných zariadeniach do 30.6.2022</t>
    </r>
    <r>
      <rPr>
        <vertAlign val="superscript"/>
        <sz val="12"/>
        <color rgb="FFFF0000"/>
        <rFont val="Times New Roman"/>
        <family val="1"/>
      </rPr>
      <t xml:space="preserve"> 3)</t>
    </r>
  </si>
  <si>
    <r>
      <t>- počet vydaných jedál študentom vo vlastných zariadeniach od 1.7.2022</t>
    </r>
    <r>
      <rPr>
        <vertAlign val="superscript"/>
        <sz val="12"/>
        <color rgb="FFFF0000"/>
        <rFont val="Times New Roman"/>
        <family val="1"/>
      </rPr>
      <t xml:space="preserve"> 3)</t>
    </r>
  </si>
  <si>
    <r>
      <t>- počet vydaných jedál študentom v zmluvných zariadeniach do 30.6.2022</t>
    </r>
    <r>
      <rPr>
        <vertAlign val="superscript"/>
        <sz val="12"/>
        <color rgb="FFFF0000"/>
        <rFont val="Times New Roman"/>
        <family val="1"/>
      </rPr>
      <t xml:space="preserve"> 4)</t>
    </r>
  </si>
  <si>
    <r>
      <t>- počet vydaných jedál študentom v zmluvných zariadeniach od 1.7.2022</t>
    </r>
    <r>
      <rPr>
        <vertAlign val="superscript"/>
        <sz val="12"/>
        <color rgb="FFFF0000"/>
        <rFont val="Times New Roman"/>
        <family val="1"/>
      </rPr>
      <t xml:space="preserve"> 4)</t>
    </r>
  </si>
  <si>
    <r>
      <t xml:space="preserve">Nárok na príspevok zo štátneho rozpočtu na jedlá podľa metodiky </t>
    </r>
    <r>
      <rPr>
        <sz val="12"/>
        <rFont val="Times New Roman"/>
        <family val="1"/>
      </rPr>
      <t xml:space="preserve">                                     </t>
    </r>
  </si>
  <si>
    <r>
      <t>Priemerné náklady  na jedlo študenta v Eur [</t>
    </r>
    <r>
      <rPr>
        <sz val="12"/>
        <rFont val="Times New Roman"/>
        <family val="1"/>
        <charset val="238"/>
      </rPr>
      <t>R10</t>
    </r>
    <r>
      <rPr>
        <sz val="12"/>
        <rFont val="Times New Roman"/>
        <family val="1"/>
      </rPr>
      <t>/(R13+R14)]</t>
    </r>
  </si>
  <si>
    <t>1) výnosy a náklady z podnikateľskej činnosti sa neuvádzajú, neuvádzajú sa ani výnosy a náklady súvisiace so stravovaním zamestnancov</t>
  </si>
  <si>
    <r>
      <t xml:space="preserve">2) všetky údaje o výnosoch a nákladoch  sa uvádzajú </t>
    </r>
    <r>
      <rPr>
        <sz val="11"/>
        <rFont val="Times New Roman"/>
        <family val="1"/>
        <charset val="238"/>
      </rPr>
      <t>v Eur</t>
    </r>
  </si>
  <si>
    <r>
      <t xml:space="preserve">3) uvádzajú sa </t>
    </r>
    <r>
      <rPr>
        <b/>
        <sz val="11"/>
        <rFont val="Times New Roman"/>
        <family val="1"/>
        <charset val="238"/>
      </rPr>
      <t>jedlá vydané študentom len vo vlastnej jedálni</t>
    </r>
    <r>
      <rPr>
        <sz val="11"/>
        <rFont val="Times New Roman"/>
        <family val="1"/>
        <charset val="238"/>
      </rPr>
      <t>, na ktoré sa poskytuje dotácia
na príspevok na jedlo do 30.6.2022 vo výške 1,40 eur a od 1.7.2022 vo výške 1,50 eur</t>
    </r>
  </si>
  <si>
    <r>
      <t xml:space="preserve">4) uvádzajú sa </t>
    </r>
    <r>
      <rPr>
        <b/>
        <sz val="11"/>
        <rFont val="Times New Roman"/>
        <family val="1"/>
        <charset val="238"/>
      </rPr>
      <t>jedlá vydané študentom v zmluvných zariadeniach</t>
    </r>
    <r>
      <rPr>
        <sz val="11"/>
        <rFont val="Times New Roman"/>
        <family val="1"/>
        <charset val="238"/>
      </rPr>
      <t>, na ktoré sa poskytuje dotácia
na príspevok na jedlo do 30.6.2022 vo výške 1,40 eur a od 1.7.2022 vo výške 1,50 eur</t>
    </r>
  </si>
  <si>
    <t xml:space="preserve">Názov verejnej vysokej školy:   UPJS v Košiciach
Názov fakulty: LF,Prír.F,Práv.F,FVS,FF, RaUP </t>
  </si>
  <si>
    <t xml:space="preserve">Názov verejnej vysokej školy:   UPJŠ v Košiciach
Názov fakulty:  LF,Prír.F,Práv.F,FVS,FF, RaUP </t>
  </si>
  <si>
    <t xml:space="preserve">Názov verejnej vysokej školy: UPJŠ v Košiciach
Názov fakulty:   LF,Prír.F,Práv.F,FVS,FF, RaUP </t>
  </si>
  <si>
    <t xml:space="preserve">Názov verejnej vysokej školy:  UPJŠ v Košiciach
Názov fakulty:   LF,Prír.F,Práv.F,FVS,FF, RaUP </t>
  </si>
  <si>
    <t xml:space="preserve">Názov verejnej vysokej školy:  UPJŠ v Košiciach
Názov fakulty:  LF,Prír.F,Práv.F,FVS,FF, RaUP  </t>
  </si>
  <si>
    <t xml:space="preserve">Názov verejnej vysokej školy: UPJŠ v Košiciach
Názov fakulty: LF,Prír.F,Práv.F,FVS,FF, RaUP </t>
  </si>
  <si>
    <t>Názov verejnej vysokej školy: UPJŠ v Košiciach</t>
  </si>
  <si>
    <t xml:space="preserve">Názov verejnej vysokej školy: UPJŠ v Košiciach  </t>
  </si>
  <si>
    <t xml:space="preserve">Názov verejnej vysokej školy: UPJŠ v Košiciach   </t>
  </si>
  <si>
    <t xml:space="preserve">Názov verejnej vysokej školy:  UPJŠ v Košiciach  </t>
  </si>
  <si>
    <t xml:space="preserve">Názov verejnej vysokej školy:  UPJŠ v Košiciach  
Názov fakulty:  </t>
  </si>
  <si>
    <t xml:space="preserve">Názov verejnej vysokej školy: UPJŠ v Košiciach   
Názov fakulty:  </t>
  </si>
  <si>
    <t xml:space="preserve">Názov verejnej vysokej školy: UPJŠ v Košiciach  
Názov fakulty: </t>
  </si>
  <si>
    <t xml:space="preserve">Názov verejnej vysokej školy:UPJŠ v Košiciach    
Názov fakulty:  </t>
  </si>
  <si>
    <t xml:space="preserve">Názov verejnej vysokej školy: UPJŠ v Košiciach    
Názov fakulty:  </t>
  </si>
  <si>
    <t>4I</t>
  </si>
  <si>
    <t>Dendo, RARE</t>
  </si>
  <si>
    <t>1g</t>
  </si>
  <si>
    <t>1h</t>
  </si>
  <si>
    <t>Min. hospodárstva SR</t>
  </si>
  <si>
    <t>Min.dopravy SR</t>
  </si>
  <si>
    <t>Min. zahraničných vecí SR</t>
  </si>
  <si>
    <t>zdroj 1AJ2; 3AJ2  MIRRI SR</t>
  </si>
  <si>
    <t>23c</t>
  </si>
  <si>
    <t>23d</t>
  </si>
  <si>
    <t>zdroj 1AA1; 3AA1 - MH SR</t>
  </si>
  <si>
    <t>zdroj 1AA2; 3AA2 - MH SR</t>
  </si>
  <si>
    <t>zdroj 1AA1; 3AA1 - MŽP SR</t>
  </si>
  <si>
    <t>zdroj 1AA2; 3AA2 - MŽP SR</t>
  </si>
  <si>
    <t>SAC</t>
  </si>
  <si>
    <t>Zmiernenei negatívnych dôsledkov vojnového konfliktu na Ukrajine zdorj 11UA/0771356/</t>
  </si>
  <si>
    <t xml:space="preserve">Názov verejnej vysokej školy:   UPJŠ v Košiciach
Názov fakulty:   </t>
  </si>
  <si>
    <t xml:space="preserve">Názov verejnej vysokej školy:  UPJŠ v Košiciach
Názov fakulty:  </t>
  </si>
  <si>
    <t xml:space="preserve">Názov verejnej vysokej školy:   UPJŠ v Košiciach
Názov fakulty:  </t>
  </si>
  <si>
    <t xml:space="preserve">T11_R13 pozostáva okrem T2_R3_R4 aj z obstarania majetku z vlastných zdrojov FOND:46,43,42,71 a z neúčelovej dotácie na bežné výdavky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</si>
</sst>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S_k_-;\-* #,##0.00\ _S_k_-;_-* &quot;-&quot;??\ _S_k_-;_-@_-"/>
    <numFmt numFmtId="165" formatCode="#,##0_ ;[Red]\-#,##0\ "/>
    <numFmt numFmtId="166" formatCode="#,##0.00_ ;[Red]\-#,##0.00\ "/>
  </numFmts>
  <fonts count="110"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sz val="14"/>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sz val="10"/>
      <name val="Times New Roman"/>
      <family val="1"/>
    </font>
    <font>
      <sz val="10"/>
      <color indexed="10"/>
      <name val="Arial"/>
      <family val="2"/>
      <charset val="238"/>
    </font>
    <font>
      <vertAlign val="superscript"/>
      <sz val="12"/>
      <name val="Times New Roman"/>
      <family val="1"/>
    </font>
    <font>
      <b/>
      <sz val="9"/>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sz val="11"/>
      <name val="Times New Roman"/>
      <family val="1"/>
    </font>
    <font>
      <b/>
      <sz val="10"/>
      <color indexed="8"/>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4"/>
      <color rgb="FFFF0000"/>
      <name val="Times New Roman"/>
      <family val="1"/>
      <charset val="238"/>
    </font>
    <font>
      <vertAlign val="superscript"/>
      <sz val="11"/>
      <name val="Times New Roman"/>
      <family val="1"/>
      <charset val="238"/>
    </font>
    <font>
      <sz val="12"/>
      <color rgb="FF0000FF"/>
      <name val="Times New Roman"/>
      <family val="1"/>
    </font>
    <font>
      <sz val="12"/>
      <color rgb="FF0000FF"/>
      <name val="Times New Roman"/>
      <family val="1"/>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11"/>
      <color rgb="FFFF0000"/>
      <name val="Times New Roman"/>
      <family val="1"/>
    </font>
    <font>
      <vertAlign val="superscript"/>
      <sz val="12"/>
      <color theme="1"/>
      <name val="Times New Roman"/>
      <family val="1"/>
      <charset val="238"/>
    </font>
    <font>
      <b/>
      <vertAlign val="superscript"/>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sz val="11"/>
      <color rgb="FFFF0000"/>
      <name val="Times New Roman"/>
      <family val="1"/>
      <charset val="238"/>
    </font>
    <font>
      <b/>
      <sz val="11"/>
      <color rgb="FF0000FF"/>
      <name val="Times New Roman"/>
      <family val="1"/>
      <charset val="238"/>
    </font>
    <font>
      <sz val="12"/>
      <color rgb="FFFF0000"/>
      <name val="Calibri"/>
      <family val="2"/>
      <charset val="238"/>
    </font>
    <font>
      <b/>
      <sz val="12"/>
      <color rgb="FF00B050"/>
      <name val="Times New Roman"/>
      <family val="1"/>
      <charset val="238"/>
    </font>
    <font>
      <b/>
      <sz val="12"/>
      <color rgb="FFFF0000"/>
      <name val="Times New Roman"/>
      <family val="1"/>
    </font>
    <font>
      <b/>
      <sz val="12"/>
      <color rgb="FFFF0000"/>
      <name val="Calibri"/>
      <family val="2"/>
      <charset val="238"/>
    </font>
    <font>
      <b/>
      <sz val="14"/>
      <color rgb="FFFF0000"/>
      <name val="Times New Roman"/>
      <family val="1"/>
    </font>
    <font>
      <b/>
      <sz val="10"/>
      <name val="Times New Roman"/>
      <family val="1"/>
    </font>
    <font>
      <sz val="12"/>
      <name val="Calibri"/>
      <family val="2"/>
      <charset val="238"/>
    </font>
    <font>
      <b/>
      <vertAlign val="superscript"/>
      <sz val="14"/>
      <name val="Times New Roman"/>
      <family val="1"/>
    </font>
    <font>
      <vertAlign val="superscript"/>
      <sz val="12"/>
      <color rgb="FFFF0000"/>
      <name val="Times New Roman"/>
      <family val="1"/>
    </font>
    <font>
      <sz val="12"/>
      <color rgb="FF7030A0"/>
      <name val="Times New Roman"/>
      <family val="1"/>
      <charset val="238"/>
    </font>
    <font>
      <sz val="12"/>
      <color theme="9" tint="-0.499984740745262"/>
      <name val="Times New Roman"/>
      <family val="1"/>
      <charset val="238"/>
    </font>
    <font>
      <sz val="10"/>
      <color rgb="FFFF0000"/>
      <name val="Times New Roman"/>
      <family val="1"/>
      <charset val="238"/>
    </font>
    <font>
      <sz val="11"/>
      <name val="Calibri"/>
      <family val="2"/>
      <charset val="238"/>
    </font>
    <font>
      <sz val="11"/>
      <color rgb="FF0000FF"/>
      <name val="Times New Roman"/>
      <family val="1"/>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39997558519241921"/>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s>
  <cellStyleXfs count="92">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164" fontId="1" fillId="0" borderId="0" applyFont="0" applyFill="0" applyBorder="0" applyAlignment="0" applyProtection="0"/>
    <xf numFmtId="164" fontId="16"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16" fillId="0" borderId="0"/>
    <xf numFmtId="0" fontId="65" fillId="0" borderId="0"/>
    <xf numFmtId="0" fontId="16" fillId="0" borderId="0"/>
    <xf numFmtId="0" fontId="16" fillId="0" borderId="0"/>
    <xf numFmtId="0" fontId="54" fillId="0" borderId="0"/>
    <xf numFmtId="0" fontId="20" fillId="0" borderId="0"/>
    <xf numFmtId="0" fontId="46" fillId="0" borderId="0"/>
    <xf numFmtId="0" fontId="36" fillId="23" borderId="7" applyNumberFormat="0" applyFont="0" applyAlignment="0" applyProtection="0"/>
    <xf numFmtId="0" fontId="47" fillId="20" borderId="8" applyNumberFormat="0" applyAlignment="0" applyProtection="0"/>
    <xf numFmtId="4" fontId="11" fillId="22" borderId="9" applyNumberFormat="0" applyProtection="0">
      <alignment vertical="center"/>
    </xf>
    <xf numFmtId="4" fontId="12" fillId="24" borderId="9" applyNumberFormat="0" applyProtection="0">
      <alignment vertical="center"/>
    </xf>
    <xf numFmtId="4" fontId="11" fillId="24" borderId="9" applyNumberFormat="0" applyProtection="0">
      <alignment horizontal="left" vertical="center" indent="1"/>
    </xf>
    <xf numFmtId="0" fontId="11" fillId="24" borderId="9" applyNumberFormat="0" applyProtection="0">
      <alignment horizontal="left" vertical="top" indent="1"/>
    </xf>
    <xf numFmtId="4" fontId="13" fillId="3" borderId="9" applyNumberFormat="0" applyProtection="0">
      <alignment horizontal="right" vertical="center"/>
    </xf>
    <xf numFmtId="4" fontId="13" fillId="9" borderId="9" applyNumberFormat="0" applyProtection="0">
      <alignment horizontal="right" vertical="center"/>
    </xf>
    <xf numFmtId="4" fontId="13" fillId="17" borderId="9" applyNumberFormat="0" applyProtection="0">
      <alignment horizontal="right" vertical="center"/>
    </xf>
    <xf numFmtId="4" fontId="13" fillId="11" borderId="9" applyNumberFormat="0" applyProtection="0">
      <alignment horizontal="right" vertical="center"/>
    </xf>
    <xf numFmtId="4" fontId="13" fillId="15" borderId="9" applyNumberFormat="0" applyProtection="0">
      <alignment horizontal="right" vertical="center"/>
    </xf>
    <xf numFmtId="4" fontId="13" fillId="19" borderId="9" applyNumberFormat="0" applyProtection="0">
      <alignment horizontal="right" vertical="center"/>
    </xf>
    <xf numFmtId="4" fontId="13" fillId="18" borderId="9" applyNumberFormat="0" applyProtection="0">
      <alignment horizontal="right" vertical="center"/>
    </xf>
    <xf numFmtId="4" fontId="13" fillId="25" borderId="9" applyNumberFormat="0" applyProtection="0">
      <alignment horizontal="right" vertical="center"/>
    </xf>
    <xf numFmtId="4" fontId="13" fillId="10" borderId="9" applyNumberFormat="0" applyProtection="0">
      <alignment horizontal="right" vertical="center"/>
    </xf>
    <xf numFmtId="4" fontId="11" fillId="26" borderId="10" applyNumberFormat="0" applyProtection="0">
      <alignment horizontal="left" vertical="center" indent="1"/>
    </xf>
    <xf numFmtId="4" fontId="13" fillId="27" borderId="0" applyNumberFormat="0" applyProtection="0">
      <alignment horizontal="left" vertical="center" indent="1"/>
    </xf>
    <xf numFmtId="4" fontId="14" fillId="28" borderId="0" applyNumberFormat="0" applyProtection="0">
      <alignment horizontal="left" vertical="center" indent="1"/>
    </xf>
    <xf numFmtId="4" fontId="13" fillId="29" borderId="9" applyNumberFormat="0" applyProtection="0">
      <alignment horizontal="right" vertical="center"/>
    </xf>
    <xf numFmtId="4" fontId="15" fillId="27" borderId="0" applyNumberFormat="0" applyProtection="0">
      <alignment horizontal="left" vertical="center" indent="1"/>
    </xf>
    <xf numFmtId="4" fontId="15" fillId="30" borderId="0" applyNumberFormat="0" applyProtection="0">
      <alignment horizontal="left" vertical="center" indent="1"/>
    </xf>
    <xf numFmtId="0" fontId="16" fillId="28" borderId="9" applyNumberFormat="0" applyProtection="0">
      <alignment horizontal="left" vertical="center" indent="1"/>
    </xf>
    <xf numFmtId="0" fontId="16" fillId="28" borderId="9" applyNumberFormat="0" applyProtection="0">
      <alignment horizontal="left" vertical="top" indent="1"/>
    </xf>
    <xf numFmtId="0" fontId="16" fillId="30" borderId="9" applyNumberFormat="0" applyProtection="0">
      <alignment horizontal="left" vertical="center" indent="1"/>
    </xf>
    <xf numFmtId="0" fontId="16" fillId="30" borderId="9" applyNumberFormat="0" applyProtection="0">
      <alignment horizontal="left" vertical="top" indent="1"/>
    </xf>
    <xf numFmtId="0" fontId="16" fillId="31" borderId="9" applyNumberFormat="0" applyProtection="0">
      <alignment horizontal="left" vertical="center" indent="1"/>
    </xf>
    <xf numFmtId="0" fontId="16" fillId="31" borderId="9" applyNumberFormat="0" applyProtection="0">
      <alignment horizontal="left" vertical="top" indent="1"/>
    </xf>
    <xf numFmtId="0" fontId="16" fillId="32" borderId="9" applyNumberFormat="0" applyProtection="0">
      <alignment horizontal="left" vertical="center" indent="1"/>
    </xf>
    <xf numFmtId="0" fontId="16" fillId="32" borderId="9" applyNumberFormat="0" applyProtection="0">
      <alignment horizontal="left" vertical="top" indent="1"/>
    </xf>
    <xf numFmtId="4" fontId="11" fillId="30" borderId="0" applyNumberFormat="0" applyProtection="0">
      <alignment horizontal="left" vertical="center" indent="1"/>
    </xf>
    <xf numFmtId="4" fontId="13" fillId="33" borderId="9" applyNumberFormat="0" applyProtection="0">
      <alignment vertical="center"/>
    </xf>
    <xf numFmtId="4" fontId="17" fillId="33" borderId="9" applyNumberFormat="0" applyProtection="0">
      <alignment vertical="center"/>
    </xf>
    <xf numFmtId="4" fontId="13" fillId="33" borderId="9" applyNumberFormat="0" applyProtection="0">
      <alignment horizontal="left" vertical="center" indent="1"/>
    </xf>
    <xf numFmtId="0" fontId="13" fillId="33" borderId="9" applyNumberFormat="0" applyProtection="0">
      <alignment horizontal="left" vertical="top" indent="1"/>
    </xf>
    <xf numFmtId="4" fontId="13" fillId="27" borderId="9" applyNumberFormat="0" applyProtection="0">
      <alignment horizontal="right" vertical="center"/>
    </xf>
    <xf numFmtId="4" fontId="17" fillId="27" borderId="9" applyNumberFormat="0" applyProtection="0">
      <alignment horizontal="right" vertical="center"/>
    </xf>
    <xf numFmtId="4" fontId="13" fillId="29" borderId="9" applyNumberFormat="0" applyProtection="0">
      <alignment horizontal="left" vertical="center" indent="1"/>
    </xf>
    <xf numFmtId="0" fontId="13" fillId="30" borderId="9" applyNumberFormat="0" applyProtection="0">
      <alignment horizontal="left" vertical="top" indent="1"/>
    </xf>
    <xf numFmtId="4" fontId="18" fillId="34" borderId="0" applyNumberFormat="0" applyProtection="0">
      <alignment horizontal="left" vertical="center" indent="1"/>
    </xf>
    <xf numFmtId="4" fontId="19" fillId="27" borderId="9" applyNumberFormat="0" applyProtection="0">
      <alignment horizontal="right" vertical="center"/>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0" fontId="1" fillId="0" borderId="0"/>
    <xf numFmtId="0" fontId="1" fillId="0" borderId="0"/>
    <xf numFmtId="0" fontId="22" fillId="0" borderId="0"/>
  </cellStyleXfs>
  <cellXfs count="996">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3" fontId="6" fillId="24" borderId="13" xfId="0" applyNumberFormat="1" applyFont="1" applyFill="1" applyBorder="1" applyAlignment="1">
      <alignment horizontal="right" vertical="center" wrapText="1" indent="1"/>
    </xf>
    <xf numFmtId="3" fontId="6" fillId="24" borderId="17" xfId="0" applyNumberFormat="1" applyFont="1" applyFill="1" applyBorder="1" applyAlignment="1">
      <alignment horizontal="right" vertical="center" wrapText="1" indent="1"/>
    </xf>
    <xf numFmtId="3" fontId="3" fillId="0" borderId="13" xfId="0" applyNumberFormat="1" applyFont="1" applyFill="1" applyBorder="1" applyAlignment="1">
      <alignment horizontal="right" vertical="center" wrapText="1" indent="1"/>
    </xf>
    <xf numFmtId="0" fontId="6" fillId="24" borderId="14" xfId="0" applyFont="1" applyFill="1" applyBorder="1" applyAlignment="1">
      <alignment horizontal="right" vertical="center" wrapText="1" indent="1"/>
    </xf>
    <xf numFmtId="0" fontId="7"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4" applyNumberFormat="1" applyFont="1" applyBorder="1" applyAlignment="1">
      <alignment vertical="center" wrapText="1"/>
    </xf>
    <xf numFmtId="0" fontId="7" fillId="24" borderId="18" xfId="0" applyFont="1" applyFill="1" applyBorder="1" applyAlignment="1">
      <alignment horizontal="right" vertical="center" wrapText="1" indent="1"/>
    </xf>
    <xf numFmtId="3" fontId="3" fillId="0" borderId="13" xfId="0" applyNumberFormat="1" applyFont="1" applyBorder="1" applyAlignment="1">
      <alignment horizontal="center" vertical="center" wrapText="1"/>
    </xf>
    <xf numFmtId="3" fontId="6"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0" fillId="0" borderId="0" xfId="0" applyBorder="1"/>
    <xf numFmtId="0" fontId="6" fillId="0" borderId="13" xfId="0" applyFont="1" applyFill="1" applyBorder="1" applyAlignment="1">
      <alignment horizontal="left" vertical="center" wrapText="1" indent="1"/>
    </xf>
    <xf numFmtId="0" fontId="7" fillId="0" borderId="0" xfId="0" applyFont="1"/>
    <xf numFmtId="3" fontId="7" fillId="0" borderId="16" xfId="44"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pplyFill="1" applyAlignment="1">
      <alignment vertical="center" wrapText="1"/>
    </xf>
    <xf numFmtId="0" fontId="0" fillId="0" borderId="0" xfId="0" applyFill="1"/>
    <xf numFmtId="0" fontId="7" fillId="35" borderId="14" xfId="0" applyFont="1" applyFill="1" applyBorder="1" applyAlignment="1">
      <alignment horizontal="left" vertical="center" wrapText="1" indent="1"/>
    </xf>
    <xf numFmtId="49" fontId="8" fillId="0" borderId="0" xfId="0" applyNumberFormat="1" applyFont="1" applyAlignment="1">
      <alignment horizontal="left" vertical="center" wrapText="1" indent="1"/>
    </xf>
    <xf numFmtId="1" fontId="6" fillId="24" borderId="13" xfId="0" applyNumberFormat="1" applyFont="1" applyFill="1" applyBorder="1" applyAlignment="1">
      <alignment horizontal="right" vertical="center" wrapText="1" indent="1"/>
    </xf>
    <xf numFmtId="0" fontId="7"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49" fontId="3" fillId="0" borderId="0" xfId="0" applyNumberFormat="1" applyFont="1" applyAlignment="1">
      <alignment horizontal="left" wrapText="1" indent="1"/>
    </xf>
    <xf numFmtId="0" fontId="3" fillId="0" borderId="0" xfId="0" applyFont="1" applyAlignment="1">
      <alignment vertical="center"/>
    </xf>
    <xf numFmtId="0" fontId="22" fillId="0" borderId="0" xfId="0" applyFont="1" applyBorder="1" applyAlignment="1">
      <alignment vertical="center"/>
    </xf>
    <xf numFmtId="0" fontId="22" fillId="35" borderId="14" xfId="0" applyFont="1" applyFill="1" applyBorder="1" applyAlignment="1">
      <alignment horizontal="left" vertical="center" wrapText="1" indent="1"/>
    </xf>
    <xf numFmtId="0" fontId="7" fillId="35" borderId="26" xfId="0" applyFont="1" applyFill="1" applyBorder="1" applyAlignment="1">
      <alignment horizontal="left" vertical="center" wrapText="1" indent="1"/>
    </xf>
    <xf numFmtId="0" fontId="7" fillId="0" borderId="13" xfId="0" applyFont="1" applyBorder="1" applyAlignment="1">
      <alignment horizontal="left" vertical="top" wrapText="1" indent="1"/>
    </xf>
    <xf numFmtId="3" fontId="6" fillId="24" borderId="14" xfId="0" applyNumberFormat="1"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6"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6" fillId="24"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3" fontId="3" fillId="35" borderId="13" xfId="0" applyNumberFormat="1" applyFont="1" applyFill="1" applyBorder="1" applyAlignment="1">
      <alignment vertical="center" wrapText="1"/>
    </xf>
    <xf numFmtId="3" fontId="7" fillId="35" borderId="14"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3" fontId="6" fillId="35" borderId="20" xfId="0" applyNumberFormat="1" applyFont="1" applyFill="1" applyBorder="1" applyAlignment="1">
      <alignment horizontal="right" vertical="center" wrapText="1" indent="1"/>
    </xf>
    <xf numFmtId="3" fontId="7" fillId="0" borderId="13"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6" fillId="24" borderId="27" xfId="0" applyNumberFormat="1" applyFont="1" applyFill="1" applyBorder="1" applyAlignment="1">
      <alignment horizontal="right" vertical="center" wrapText="1" indent="1"/>
    </xf>
    <xf numFmtId="3" fontId="6" fillId="35" borderId="27" xfId="0" applyNumberFormat="1" applyFont="1" applyFill="1" applyBorder="1" applyAlignment="1">
      <alignment horizontal="right" vertical="center" wrapText="1" indent="1"/>
    </xf>
    <xf numFmtId="3" fontId="6" fillId="24" borderId="20" xfId="0" applyNumberFormat="1" applyFont="1" applyFill="1" applyBorder="1" applyAlignment="1">
      <alignment horizontal="right" vertical="center" wrapText="1" indent="1"/>
    </xf>
    <xf numFmtId="3" fontId="6" fillId="24" borderId="28" xfId="0" applyNumberFormat="1" applyFont="1" applyFill="1" applyBorder="1" applyAlignment="1">
      <alignment horizontal="right" vertical="center" wrapText="1" inden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2" fillId="35" borderId="13" xfId="0" applyNumberFormat="1" applyFont="1" applyFill="1" applyBorder="1" applyAlignment="1">
      <alignment horizontal="right" vertical="center" wrapText="1" indent="1"/>
    </xf>
    <xf numFmtId="3" fontId="7"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6"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6" fillId="24" borderId="13" xfId="0" applyNumberFormat="1" applyFont="1" applyFill="1" applyBorder="1" applyAlignment="1">
      <alignment horizontal="right" vertical="center" indent="1"/>
    </xf>
    <xf numFmtId="3" fontId="6" fillId="24" borderId="14" xfId="0" applyNumberFormat="1" applyFont="1" applyFill="1" applyBorder="1" applyAlignment="1">
      <alignment horizontal="right" vertical="center" indent="1"/>
    </xf>
    <xf numFmtId="0" fontId="65" fillId="0" borderId="0" xfId="40"/>
    <xf numFmtId="0" fontId="6" fillId="0" borderId="0" xfId="0" applyFont="1" applyBorder="1" applyAlignment="1">
      <alignment horizontal="left" vertical="center" wrapText="1"/>
    </xf>
    <xf numFmtId="3" fontId="6" fillId="24" borderId="17" xfId="0" applyNumberFormat="1" applyFont="1" applyFill="1" applyBorder="1" applyAlignment="1">
      <alignment horizontal="right" vertical="center" indent="1"/>
    </xf>
    <xf numFmtId="3" fontId="6" fillId="24" borderId="18" xfId="0" applyNumberFormat="1" applyFont="1" applyFill="1" applyBorder="1" applyAlignment="1">
      <alignment horizontal="right" vertical="center" indent="1"/>
    </xf>
    <xf numFmtId="0" fontId="7" fillId="0" borderId="0" xfId="43" applyFont="1" applyAlignment="1">
      <alignment vertical="center" wrapText="1"/>
    </xf>
    <xf numFmtId="0" fontId="0" fillId="0" borderId="0" xfId="0" applyNumberFormat="1" applyAlignment="1">
      <alignment vertical="center" wrapText="1"/>
    </xf>
    <xf numFmtId="166" fontId="53" fillId="37" borderId="13" xfId="75" quotePrefix="1" applyNumberFormat="1" applyFont="1" applyFill="1" applyBorder="1" applyAlignment="1" applyProtection="1">
      <alignment horizontal="left" vertical="center" wrapText="1" indent="1"/>
      <protection locked="0"/>
    </xf>
    <xf numFmtId="166" fontId="52" fillId="37" borderId="13" xfId="83" quotePrefix="1" applyNumberFormat="1" applyFont="1" applyFill="1" applyBorder="1" applyAlignment="1" applyProtection="1">
      <alignment horizontal="left" vertical="center" wrapText="1" indent="1"/>
      <protection locked="0"/>
    </xf>
    <xf numFmtId="166" fontId="52" fillId="37" borderId="13" xfId="82" quotePrefix="1" applyNumberFormat="1" applyFont="1" applyFill="1" applyBorder="1" applyProtection="1">
      <alignment horizontal="left" vertical="center" indent="1"/>
      <protection locked="0"/>
    </xf>
    <xf numFmtId="0" fontId="7" fillId="0" borderId="13" xfId="0" applyFont="1" applyBorder="1"/>
    <xf numFmtId="166" fontId="53" fillId="37" borderId="13" xfId="50" quotePrefix="1" applyNumberFormat="1" applyFont="1" applyFill="1" applyBorder="1">
      <alignment horizontal="left" vertical="center" indent="1"/>
    </xf>
    <xf numFmtId="166" fontId="53" fillId="37" borderId="13" xfId="50" applyNumberFormat="1" applyFont="1" applyFill="1" applyBorder="1">
      <alignment horizontal="left" vertical="center" indent="1"/>
    </xf>
    <xf numFmtId="166" fontId="52" fillId="37" borderId="13" xfId="82" applyNumberFormat="1" applyFont="1" applyFill="1" applyBorder="1" applyAlignment="1" applyProtection="1">
      <alignment vertical="center"/>
      <protection locked="0"/>
    </xf>
    <xf numFmtId="166" fontId="53" fillId="37" borderId="13" xfId="82" quotePrefix="1" applyNumberFormat="1" applyFont="1" applyFill="1" applyBorder="1" applyProtection="1">
      <alignment horizontal="left" vertical="center" indent="1"/>
      <protection locked="0"/>
    </xf>
    <xf numFmtId="166" fontId="52" fillId="37" borderId="13" xfId="83" applyNumberFormat="1" applyFont="1" applyFill="1" applyBorder="1" applyAlignment="1" applyProtection="1">
      <alignment horizontal="left" vertical="center" wrapText="1" indent="1"/>
      <protection locked="0"/>
    </xf>
    <xf numFmtId="3" fontId="7" fillId="35" borderId="13" xfId="43" applyNumberFormat="1" applyFont="1" applyFill="1" applyBorder="1" applyAlignment="1">
      <alignment horizontal="right" vertical="center" wrapText="1" indent="1"/>
    </xf>
    <xf numFmtId="3" fontId="2" fillId="24" borderId="31" xfId="0" applyNumberFormat="1" applyFont="1" applyFill="1" applyBorder="1" applyAlignment="1">
      <alignment horizontal="right" vertical="center" wrapText="1" indent="1"/>
    </xf>
    <xf numFmtId="3" fontId="2" fillId="24" borderId="37" xfId="0" applyNumberFormat="1" applyFont="1" applyFill="1" applyBorder="1" applyAlignment="1">
      <alignment horizontal="right" vertical="center" wrapText="1" indent="1"/>
    </xf>
    <xf numFmtId="3" fontId="7" fillId="35" borderId="37" xfId="43" applyNumberFormat="1" applyFont="1" applyFill="1" applyBorder="1" applyAlignment="1">
      <alignment horizontal="right" vertical="center" wrapText="1" indent="1"/>
    </xf>
    <xf numFmtId="3" fontId="7" fillId="35" borderId="20" xfId="43" applyNumberFormat="1" applyFont="1" applyFill="1" applyBorder="1" applyAlignment="1">
      <alignment horizontal="right" vertical="center" wrapText="1" indent="1"/>
    </xf>
    <xf numFmtId="3" fontId="7" fillId="35" borderId="35" xfId="43"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45" xfId="0" applyNumberFormat="1" applyFont="1" applyFill="1" applyBorder="1" applyAlignment="1">
      <alignment horizontal="right" vertical="center" wrapText="1" indent="1"/>
    </xf>
    <xf numFmtId="166" fontId="3" fillId="0" borderId="0" xfId="0" applyNumberFormat="1" applyFont="1" applyBorder="1"/>
    <xf numFmtId="166" fontId="3" fillId="0" borderId="0" xfId="0" applyNumberFormat="1" applyFont="1" applyBorder="1" applyAlignment="1">
      <alignment wrapText="1"/>
    </xf>
    <xf numFmtId="0" fontId="27" fillId="0" borderId="0" xfId="0" applyFont="1" applyBorder="1" applyAlignment="1">
      <alignment horizontal="left"/>
    </xf>
    <xf numFmtId="0" fontId="27" fillId="0" borderId="0" xfId="0" applyFont="1" applyBorder="1" applyAlignment="1">
      <alignment horizontal="left" vertical="center"/>
    </xf>
    <xf numFmtId="0" fontId="69" fillId="0" borderId="0" xfId="0" applyFont="1"/>
    <xf numFmtId="0" fontId="58" fillId="0" borderId="0" xfId="0" applyFont="1" applyFill="1" applyAlignment="1">
      <alignment horizontal="left" vertical="center" indent="1"/>
    </xf>
    <xf numFmtId="4" fontId="3" fillId="35" borderId="17" xfId="0" applyNumberFormat="1" applyFont="1" applyFill="1" applyBorder="1" applyAlignment="1">
      <alignment horizontal="right" vertical="center" wrapText="1" indent="1"/>
    </xf>
    <xf numFmtId="4" fontId="6" fillId="24" borderId="17" xfId="44" applyNumberFormat="1" applyFont="1" applyFill="1" applyBorder="1" applyAlignment="1">
      <alignment horizontal="right" vertical="center" wrapText="1" indent="1"/>
    </xf>
    <xf numFmtId="4" fontId="6" fillId="24" borderId="18" xfId="44" applyNumberFormat="1" applyFont="1" applyFill="1" applyBorder="1" applyAlignment="1">
      <alignment horizontal="right" vertical="center" wrapText="1" indent="1"/>
    </xf>
    <xf numFmtId="3" fontId="6" fillId="24" borderId="13" xfId="42" applyNumberFormat="1" applyFont="1" applyFill="1" applyBorder="1" applyAlignment="1">
      <alignment horizontal="right" vertical="center" wrapText="1" indent="1"/>
    </xf>
    <xf numFmtId="3" fontId="3" fillId="35" borderId="13" xfId="42" applyNumberFormat="1" applyFont="1" applyFill="1" applyBorder="1" applyAlignment="1">
      <alignment horizontal="right" vertical="center" wrapText="1" indent="1"/>
    </xf>
    <xf numFmtId="3" fontId="3" fillId="35" borderId="19" xfId="42" applyNumberFormat="1" applyFont="1" applyFill="1" applyBorder="1" applyAlignment="1">
      <alignment horizontal="right" vertical="center" wrapText="1" indent="1"/>
    </xf>
    <xf numFmtId="0" fontId="9" fillId="0" borderId="0" xfId="0" applyFont="1" applyAlignment="1">
      <alignment horizontal="center" vertical="center"/>
    </xf>
    <xf numFmtId="0" fontId="9" fillId="0" borderId="0" xfId="0" applyFont="1"/>
    <xf numFmtId="3" fontId="2" fillId="24" borderId="48" xfId="0" applyNumberFormat="1" applyFont="1" applyFill="1" applyBorder="1" applyAlignment="1">
      <alignment horizontal="right" vertical="center" wrapText="1" indent="1"/>
    </xf>
    <xf numFmtId="0" fontId="3" fillId="0" borderId="0" xfId="0" applyFont="1" applyFill="1" applyBorder="1"/>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2" fillId="0" borderId="0" xfId="0" applyFont="1" applyFill="1" applyBorder="1" applyAlignment="1">
      <alignment vertical="center"/>
    </xf>
    <xf numFmtId="0" fontId="3" fillId="0" borderId="0" xfId="39" applyFont="1"/>
    <xf numFmtId="0" fontId="3" fillId="0" borderId="15" xfId="39" applyFont="1" applyBorder="1" applyAlignment="1">
      <alignment horizontal="center" vertical="center" wrapText="1"/>
    </xf>
    <xf numFmtId="3" fontId="6" fillId="24" borderId="13" xfId="39" applyNumberFormat="1" applyFont="1" applyFill="1" applyBorder="1" applyAlignment="1">
      <alignment horizontal="right" vertical="center" wrapText="1" indent="1"/>
    </xf>
    <xf numFmtId="3" fontId="3" fillId="35" borderId="13" xfId="39" applyNumberFormat="1" applyFont="1" applyFill="1" applyBorder="1" applyAlignment="1">
      <alignment horizontal="right" vertical="center" wrapText="1" indent="1"/>
    </xf>
    <xf numFmtId="49" fontId="3" fillId="0" borderId="0" xfId="39" applyNumberFormat="1" applyFont="1"/>
    <xf numFmtId="0" fontId="3" fillId="0" borderId="15" xfId="42" applyFont="1" applyBorder="1" applyAlignment="1">
      <alignment horizontal="center" vertical="center" wrapText="1"/>
    </xf>
    <xf numFmtId="3" fontId="6" fillId="24" borderId="14" xfId="42" applyNumberFormat="1" applyFont="1" applyFill="1" applyBorder="1" applyAlignment="1">
      <alignment horizontal="right" vertical="center" wrapText="1" indent="1"/>
    </xf>
    <xf numFmtId="0" fontId="3" fillId="0" borderId="16" xfId="42" applyFont="1" applyBorder="1" applyAlignment="1">
      <alignment horizontal="center" vertical="center" wrapText="1"/>
    </xf>
    <xf numFmtId="3" fontId="2" fillId="24" borderId="17" xfId="42" applyNumberFormat="1" applyFont="1" applyFill="1" applyBorder="1" applyAlignment="1">
      <alignment horizontal="right" vertical="center" wrapText="1" indent="1"/>
    </xf>
    <xf numFmtId="3" fontId="6" fillId="24" borderId="38" xfId="0" applyNumberFormat="1" applyFont="1" applyFill="1" applyBorder="1" applyAlignment="1">
      <alignment horizontal="right" vertical="center" wrapText="1" indent="1"/>
    </xf>
    <xf numFmtId="0" fontId="68" fillId="0" borderId="16" xfId="40"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3" fillId="0" borderId="0" xfId="39" applyFont="1" applyAlignment="1">
      <alignment vertical="center" wrapText="1"/>
    </xf>
    <xf numFmtId="0" fontId="3" fillId="0" borderId="0" xfId="39" applyFont="1" applyBorder="1" applyAlignment="1">
      <alignment horizontal="center" vertical="center" wrapText="1"/>
    </xf>
    <xf numFmtId="0" fontId="6" fillId="0" borderId="0" xfId="39" applyFont="1" applyBorder="1" applyAlignment="1">
      <alignment horizontal="left" vertical="center" wrapText="1" indent="1"/>
    </xf>
    <xf numFmtId="49" fontId="30" fillId="0" borderId="0" xfId="39" applyNumberFormat="1" applyFont="1"/>
    <xf numFmtId="3" fontId="3" fillId="35" borderId="13" xfId="42" applyNumberFormat="1" applyFont="1" applyFill="1" applyBorder="1" applyAlignment="1">
      <alignment horizontal="center" vertical="center" wrapText="1"/>
    </xf>
    <xf numFmtId="165" fontId="63" fillId="39" borderId="13" xfId="0" applyNumberFormat="1" applyFont="1" applyFill="1" applyBorder="1" applyAlignment="1">
      <alignment vertical="center" wrapText="1"/>
    </xf>
    <xf numFmtId="165" fontId="63" fillId="40" borderId="13" xfId="0" applyNumberFormat="1" applyFont="1" applyFill="1" applyBorder="1" applyAlignment="1">
      <alignment vertical="center" wrapText="1"/>
    </xf>
    <xf numFmtId="165" fontId="63" fillId="35" borderId="13" xfId="0" applyNumberFormat="1" applyFont="1" applyFill="1" applyBorder="1" applyAlignment="1">
      <alignment vertical="center" wrapText="1"/>
    </xf>
    <xf numFmtId="165" fontId="63" fillId="24" borderId="13" xfId="0" applyNumberFormat="1" applyFont="1" applyFill="1" applyBorder="1" applyAlignment="1">
      <alignment vertical="center" wrapText="1"/>
    </xf>
    <xf numFmtId="165" fontId="63" fillId="40" borderId="14" xfId="0" applyNumberFormat="1" applyFont="1" applyFill="1" applyBorder="1" applyAlignment="1">
      <alignment vertical="center" wrapText="1"/>
    </xf>
    <xf numFmtId="165" fontId="59" fillId="39" borderId="13" xfId="0" applyNumberFormat="1" applyFont="1" applyFill="1" applyBorder="1" applyAlignment="1">
      <alignment vertical="center" wrapText="1"/>
    </xf>
    <xf numFmtId="165" fontId="59" fillId="35" borderId="13" xfId="0" applyNumberFormat="1" applyFont="1" applyFill="1" applyBorder="1" applyAlignment="1">
      <alignment vertical="center" wrapText="1"/>
    </xf>
    <xf numFmtId="165" fontId="63" fillId="0" borderId="13" xfId="0" applyNumberFormat="1" applyFont="1" applyFill="1" applyBorder="1" applyAlignment="1">
      <alignment horizontal="center" vertical="center" wrapText="1"/>
    </xf>
    <xf numFmtId="165" fontId="59" fillId="39" borderId="13" xfId="0" applyNumberFormat="1" applyFont="1" applyFill="1" applyBorder="1" applyAlignment="1">
      <alignment vertical="top" wrapText="1"/>
    </xf>
    <xf numFmtId="165" fontId="73" fillId="0" borderId="13" xfId="0" applyNumberFormat="1" applyFont="1" applyFill="1" applyBorder="1" applyAlignment="1">
      <alignment horizontal="center" vertical="center" wrapText="1"/>
    </xf>
    <xf numFmtId="165" fontId="74" fillId="39" borderId="13" xfId="0" applyNumberFormat="1" applyFont="1" applyFill="1" applyBorder="1" applyAlignment="1">
      <alignment vertical="center" wrapText="1"/>
    </xf>
    <xf numFmtId="165" fontId="63" fillId="41" borderId="13" xfId="0" applyNumberFormat="1" applyFont="1" applyFill="1" applyBorder="1" applyAlignment="1">
      <alignment horizontal="center" vertical="center" wrapText="1"/>
    </xf>
    <xf numFmtId="165" fontId="73" fillId="41" borderId="13" xfId="0" applyNumberFormat="1" applyFont="1" applyFill="1" applyBorder="1" applyAlignment="1">
      <alignment horizontal="center" vertical="center" wrapText="1"/>
    </xf>
    <xf numFmtId="165" fontId="59" fillId="39" borderId="17" xfId="0" applyNumberFormat="1" applyFont="1" applyFill="1" applyBorder="1" applyAlignment="1">
      <alignment vertical="center"/>
    </xf>
    <xf numFmtId="165" fontId="59" fillId="35" borderId="17" xfId="0" applyNumberFormat="1" applyFont="1" applyFill="1" applyBorder="1" applyAlignment="1">
      <alignment vertical="center"/>
    </xf>
    <xf numFmtId="165" fontId="63" fillId="40" borderId="17" xfId="0" applyNumberFormat="1" applyFont="1" applyFill="1" applyBorder="1" applyAlignment="1">
      <alignment vertical="center" wrapText="1"/>
    </xf>
    <xf numFmtId="165" fontId="63" fillId="40" borderId="18" xfId="0" applyNumberFormat="1" applyFont="1" applyFill="1" applyBorder="1" applyAlignment="1">
      <alignment vertical="center" wrapText="1"/>
    </xf>
    <xf numFmtId="3" fontId="3" fillId="35" borderId="38" xfId="0" applyNumberFormat="1" applyFont="1" applyFill="1" applyBorder="1" applyAlignment="1">
      <alignment horizontal="right" vertical="center" wrapText="1" indent="1"/>
    </xf>
    <xf numFmtId="3" fontId="2" fillId="35" borderId="39" xfId="0" applyNumberFormat="1" applyFont="1" applyFill="1" applyBorder="1" applyAlignment="1">
      <alignment horizontal="right" vertical="center" wrapText="1" indent="1"/>
    </xf>
    <xf numFmtId="49" fontId="67" fillId="0" borderId="0" xfId="0" applyNumberFormat="1" applyFont="1" applyAlignment="1">
      <alignment horizontal="left" vertical="center"/>
    </xf>
    <xf numFmtId="3" fontId="3" fillId="35" borderId="13" xfId="0" applyNumberFormat="1" applyFont="1" applyFill="1" applyBorder="1" applyAlignment="1">
      <alignment horizontal="center" vertical="center" wrapText="1"/>
    </xf>
    <xf numFmtId="3" fontId="57" fillId="0" borderId="0" xfId="0" applyNumberFormat="1" applyFont="1"/>
    <xf numFmtId="3" fontId="2" fillId="24" borderId="51" xfId="0" applyNumberFormat="1" applyFont="1" applyFill="1" applyBorder="1" applyAlignment="1">
      <alignment horizontal="right" vertical="center" wrapText="1" indent="1"/>
    </xf>
    <xf numFmtId="3" fontId="2" fillId="24" borderId="63" xfId="0" applyNumberFormat="1" applyFont="1" applyFill="1" applyBorder="1" applyAlignment="1">
      <alignment horizontal="right" vertical="center" wrapText="1" indent="1"/>
    </xf>
    <xf numFmtId="3" fontId="2" fillId="24" borderId="53" xfId="0" applyNumberFormat="1" applyFont="1" applyFill="1" applyBorder="1" applyAlignment="1">
      <alignment horizontal="right" vertical="center" wrapText="1" indent="1"/>
    </xf>
    <xf numFmtId="3" fontId="2" fillId="24" borderId="43" xfId="0"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3" fontId="2" fillId="24" borderId="62" xfId="0" applyNumberFormat="1" applyFont="1" applyFill="1" applyBorder="1" applyAlignment="1">
      <alignment horizontal="right" vertical="center" wrapText="1" indent="1"/>
    </xf>
    <xf numFmtId="49" fontId="7" fillId="0" borderId="0" xfId="0" applyNumberFormat="1" applyFont="1" applyAlignment="1">
      <alignment horizontal="left" vertical="center"/>
    </xf>
    <xf numFmtId="0" fontId="2" fillId="0" borderId="15"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3" fillId="0" borderId="70" xfId="0" applyFont="1" applyFill="1" applyBorder="1" applyAlignment="1">
      <alignment horizontal="center" vertical="center" wrapText="1"/>
    </xf>
    <xf numFmtId="0" fontId="6" fillId="0" borderId="70" xfId="0" applyFont="1" applyFill="1" applyBorder="1" applyAlignment="1">
      <alignment horizontal="left" vertical="center" wrapText="1" indent="1"/>
    </xf>
    <xf numFmtId="0" fontId="6" fillId="0" borderId="70" xfId="0" applyFont="1" applyFill="1" applyBorder="1" applyAlignment="1">
      <alignment horizontal="center" vertical="center" wrapText="1"/>
    </xf>
    <xf numFmtId="0" fontId="3" fillId="0" borderId="70" xfId="0" applyFont="1" applyFill="1" applyBorder="1" applyAlignment="1">
      <alignment horizontal="right" vertical="center" wrapText="1" indent="1"/>
    </xf>
    <xf numFmtId="49" fontId="77" fillId="0" borderId="50" xfId="39" applyNumberFormat="1" applyFont="1" applyBorder="1"/>
    <xf numFmtId="0" fontId="22" fillId="0" borderId="27" xfId="39" applyFont="1" applyBorder="1"/>
    <xf numFmtId="0" fontId="69" fillId="0" borderId="0" xfId="39" applyFont="1" applyAlignment="1">
      <alignment vertical="center" wrapText="1"/>
    </xf>
    <xf numFmtId="0" fontId="22" fillId="0" borderId="20" xfId="39" applyFont="1" applyBorder="1" applyAlignment="1">
      <alignment vertical="center"/>
    </xf>
    <xf numFmtId="0" fontId="22" fillId="0" borderId="50" xfId="39" applyFont="1" applyBorder="1" applyAlignment="1">
      <alignment vertical="center"/>
    </xf>
    <xf numFmtId="3" fontId="6" fillId="24" borderId="71" xfId="0" applyNumberFormat="1" applyFont="1" applyFill="1" applyBorder="1" applyAlignment="1">
      <alignment horizontal="right" vertical="center" wrapText="1" indent="1"/>
    </xf>
    <xf numFmtId="3" fontId="6" fillId="24" borderId="49" xfId="0" applyNumberFormat="1" applyFont="1" applyFill="1" applyBorder="1" applyAlignment="1">
      <alignment horizontal="right" vertical="center" wrapText="1" indent="1"/>
    </xf>
    <xf numFmtId="4" fontId="3" fillId="0" borderId="0" xfId="0" applyNumberFormat="1" applyFont="1" applyFill="1" applyAlignment="1">
      <alignment horizontal="right" vertical="center" indent="1"/>
    </xf>
    <xf numFmtId="0" fontId="1" fillId="0" borderId="0" xfId="0" applyFont="1"/>
    <xf numFmtId="0" fontId="61" fillId="0" borderId="0" xfId="0" applyFont="1"/>
    <xf numFmtId="0" fontId="78" fillId="0" borderId="0" xfId="0" applyFont="1"/>
    <xf numFmtId="3" fontId="22" fillId="0" borderId="0" xfId="44" applyNumberFormat="1" applyFont="1" applyBorder="1" applyAlignment="1">
      <alignment vertical="center"/>
    </xf>
    <xf numFmtId="4" fontId="6" fillId="24" borderId="17" xfId="0" applyNumberFormat="1" applyFont="1" applyFill="1" applyBorder="1" applyAlignment="1">
      <alignment horizontal="right" vertical="center" wrapText="1" indent="1"/>
    </xf>
    <xf numFmtId="3" fontId="6" fillId="24" borderId="14" xfId="39" applyNumberFormat="1" applyFont="1" applyFill="1" applyBorder="1" applyAlignment="1">
      <alignment horizontal="right" vertical="center" wrapText="1" indent="1"/>
    </xf>
    <xf numFmtId="3" fontId="3" fillId="35" borderId="14" xfId="39" applyNumberFormat="1" applyFont="1" applyFill="1" applyBorder="1" applyAlignment="1">
      <alignment horizontal="right" vertical="center" wrapText="1" indent="1"/>
    </xf>
    <xf numFmtId="0" fontId="3" fillId="0" borderId="16" xfId="39" applyFont="1" applyBorder="1" applyAlignment="1">
      <alignment horizontal="center" vertical="center" wrapText="1"/>
    </xf>
    <xf numFmtId="3" fontId="3" fillId="35" borderId="17" xfId="39" applyNumberFormat="1" applyFont="1" applyFill="1" applyBorder="1" applyAlignment="1">
      <alignment horizontal="right" vertical="center" wrapText="1" indent="1"/>
    </xf>
    <xf numFmtId="3" fontId="3" fillId="35" borderId="18" xfId="39" applyNumberFormat="1" applyFont="1" applyFill="1" applyBorder="1" applyAlignment="1">
      <alignment horizontal="right" vertical="center" wrapText="1" indent="1"/>
    </xf>
    <xf numFmtId="0" fontId="68" fillId="0" borderId="22" xfId="40" applyFont="1" applyBorder="1" applyAlignment="1">
      <alignment horizontal="center" vertical="center"/>
    </xf>
    <xf numFmtId="0" fontId="68" fillId="0" borderId="76" xfId="40" applyFont="1" applyBorder="1" applyAlignment="1">
      <alignment horizontal="center" vertical="center"/>
    </xf>
    <xf numFmtId="3" fontId="6" fillId="35" borderId="77" xfId="0" applyNumberFormat="1" applyFont="1" applyFill="1" applyBorder="1" applyAlignment="1">
      <alignment horizontal="right" vertical="center" wrapText="1" indent="1"/>
    </xf>
    <xf numFmtId="165" fontId="6" fillId="24" borderId="78" xfId="0" applyNumberFormat="1" applyFont="1" applyFill="1" applyBorder="1" applyAlignment="1">
      <alignment horizontal="right" vertical="center" wrapText="1" indent="1"/>
    </xf>
    <xf numFmtId="166" fontId="6" fillId="24" borderId="71" xfId="0" applyNumberFormat="1" applyFont="1" applyFill="1" applyBorder="1" applyAlignment="1">
      <alignment horizontal="right" vertical="center" wrapText="1" indent="1"/>
    </xf>
    <xf numFmtId="3" fontId="6" fillId="35" borderId="80" xfId="0" applyNumberFormat="1" applyFont="1" applyFill="1" applyBorder="1" applyAlignment="1">
      <alignment horizontal="right" vertical="center" wrapText="1" indent="1"/>
    </xf>
    <xf numFmtId="165" fontId="6" fillId="24" borderId="79" xfId="0" applyNumberFormat="1" applyFont="1" applyFill="1" applyBorder="1" applyAlignment="1">
      <alignment horizontal="right" vertical="center" wrapText="1" indent="1"/>
    </xf>
    <xf numFmtId="166" fontId="6" fillId="24" borderId="49" xfId="0" applyNumberFormat="1" applyFont="1" applyFill="1" applyBorder="1" applyAlignment="1">
      <alignment horizontal="right" vertical="center" wrapText="1" indent="1"/>
    </xf>
    <xf numFmtId="0" fontId="3" fillId="0" borderId="0" xfId="39" applyFont="1" applyBorder="1" applyAlignment="1">
      <alignment vertical="center" wrapText="1"/>
    </xf>
    <xf numFmtId="0" fontId="3" fillId="0" borderId="21" xfId="42" applyFont="1" applyBorder="1" applyAlignment="1">
      <alignment horizontal="center" vertical="center" wrapText="1"/>
    </xf>
    <xf numFmtId="1" fontId="6" fillId="24" borderId="14" xfId="0" applyNumberFormat="1" applyFont="1" applyFill="1" applyBorder="1" applyAlignment="1">
      <alignment horizontal="right" vertical="center" wrapText="1" indent="1"/>
    </xf>
    <xf numFmtId="3" fontId="71" fillId="35" borderId="13" xfId="0" applyNumberFormat="1" applyFont="1" applyFill="1" applyBorder="1" applyAlignment="1">
      <alignment horizontal="right" vertical="center" wrapText="1" indent="1"/>
    </xf>
    <xf numFmtId="3" fontId="70" fillId="24" borderId="71" xfId="0" applyNumberFormat="1" applyFont="1" applyFill="1" applyBorder="1" applyAlignment="1">
      <alignment horizontal="right" vertical="center" wrapText="1" indent="1"/>
    </xf>
    <xf numFmtId="0" fontId="71" fillId="0" borderId="0" xfId="0" applyFont="1" applyAlignment="1">
      <alignment vertical="center" wrapText="1"/>
    </xf>
    <xf numFmtId="0" fontId="70" fillId="0" borderId="0" xfId="0" applyFont="1" applyAlignment="1">
      <alignment horizontal="center" vertical="center"/>
    </xf>
    <xf numFmtId="3" fontId="70" fillId="24" borderId="13" xfId="0" applyNumberFormat="1" applyFont="1" applyFill="1" applyBorder="1" applyAlignment="1">
      <alignment horizontal="right" vertical="center" wrapText="1" indent="1"/>
    </xf>
    <xf numFmtId="0" fontId="6" fillId="0" borderId="29" xfId="43" applyNumberFormat="1" applyFont="1" applyFill="1" applyBorder="1" applyAlignment="1">
      <alignment horizontal="center" vertical="center" wrapText="1"/>
    </xf>
    <xf numFmtId="0" fontId="6" fillId="0" borderId="30" xfId="43" applyNumberFormat="1" applyFont="1" applyFill="1" applyBorder="1" applyAlignment="1">
      <alignment horizontal="center" vertical="center" wrapText="1"/>
    </xf>
    <xf numFmtId="0" fontId="6" fillId="0" borderId="81" xfId="43" applyNumberFormat="1" applyFont="1" applyFill="1" applyBorder="1" applyAlignment="1">
      <alignment horizontal="center" vertical="center" wrapText="1"/>
    </xf>
    <xf numFmtId="3" fontId="3" fillId="0" borderId="0" xfId="0" applyNumberFormat="1" applyFont="1" applyFill="1" applyBorder="1"/>
    <xf numFmtId="4" fontId="7" fillId="0" borderId="0" xfId="44" applyNumberFormat="1" applyFont="1" applyBorder="1" applyAlignment="1">
      <alignment vertical="center" wrapText="1"/>
    </xf>
    <xf numFmtId="0" fontId="83" fillId="0" borderId="0" xfId="0" applyFont="1" applyBorder="1" applyAlignment="1">
      <alignment horizontal="right"/>
    </xf>
    <xf numFmtId="49" fontId="78" fillId="0" borderId="0" xfId="0" applyNumberFormat="1" applyFont="1" applyBorder="1"/>
    <xf numFmtId="0" fontId="71" fillId="0" borderId="0" xfId="0" applyFont="1" applyBorder="1" applyAlignment="1">
      <alignment horizontal="right"/>
    </xf>
    <xf numFmtId="0" fontId="66" fillId="0" borderId="61" xfId="0" applyFont="1" applyBorder="1" applyAlignment="1">
      <alignment horizontal="left" vertical="center"/>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91" fillId="0" borderId="0" xfId="0" applyFont="1" applyAlignment="1">
      <alignment vertical="center"/>
    </xf>
    <xf numFmtId="0" fontId="22" fillId="0" borderId="0" xfId="0" applyFont="1" applyAlignment="1">
      <alignment vertical="center" wrapText="1"/>
    </xf>
    <xf numFmtId="49" fontId="22" fillId="0" borderId="0" xfId="0" applyNumberFormat="1" applyFont="1" applyAlignment="1">
      <alignment horizontal="left" vertical="center" wrapText="1" indent="1"/>
    </xf>
    <xf numFmtId="0" fontId="7" fillId="0" borderId="21" xfId="0" applyFont="1" applyBorder="1" applyAlignment="1">
      <alignment horizontal="center" vertical="center" wrapText="1"/>
    </xf>
    <xf numFmtId="3" fontId="3" fillId="35" borderId="26" xfId="42" applyNumberFormat="1" applyFont="1" applyFill="1" applyBorder="1" applyAlignment="1">
      <alignment horizontal="right" vertical="center" wrapText="1" indent="1"/>
    </xf>
    <xf numFmtId="3" fontId="6" fillId="47" borderId="13" xfId="42" applyNumberFormat="1" applyFont="1" applyFill="1" applyBorder="1" applyAlignment="1">
      <alignment horizontal="right" vertical="center" wrapText="1" indent="1"/>
    </xf>
    <xf numFmtId="3" fontId="6" fillId="47" borderId="14" xfId="42" applyNumberFormat="1" applyFont="1" applyFill="1" applyBorder="1" applyAlignment="1">
      <alignment horizontal="center" vertical="center" wrapText="1"/>
    </xf>
    <xf numFmtId="3" fontId="6" fillId="47" borderId="13" xfId="42" applyNumberFormat="1" applyFont="1" applyFill="1" applyBorder="1" applyAlignment="1">
      <alignment horizontal="center" vertical="center" wrapText="1"/>
    </xf>
    <xf numFmtId="3" fontId="6" fillId="47" borderId="14" xfId="42" applyNumberFormat="1" applyFont="1" applyFill="1" applyBorder="1" applyAlignment="1">
      <alignment horizontal="right" vertical="center" wrapText="1" indent="1"/>
    </xf>
    <xf numFmtId="3" fontId="3" fillId="35" borderId="19" xfId="42" applyNumberFormat="1" applyFont="1" applyFill="1" applyBorder="1" applyAlignment="1">
      <alignment horizontal="center" vertical="center" wrapText="1"/>
    </xf>
    <xf numFmtId="0" fontId="83" fillId="0" borderId="0" xfId="89" applyFont="1"/>
    <xf numFmtId="0" fontId="83" fillId="0" borderId="0" xfId="0" applyFont="1"/>
    <xf numFmtId="0" fontId="85" fillId="0" borderId="0" xfId="89" applyFont="1"/>
    <xf numFmtId="0" fontId="3" fillId="0" borderId="0" xfId="89" applyFont="1"/>
    <xf numFmtId="0" fontId="59" fillId="0" borderId="0" xfId="89" applyFont="1"/>
    <xf numFmtId="0" fontId="3" fillId="0" borderId="15" xfId="89" applyFont="1" applyBorder="1" applyAlignment="1">
      <alignment horizontal="center" vertical="center"/>
    </xf>
    <xf numFmtId="3" fontId="6" fillId="24" borderId="13" xfId="89" applyNumberFormat="1" applyFont="1" applyFill="1" applyBorder="1" applyAlignment="1">
      <alignment horizontal="right" vertical="center" wrapText="1" indent="1"/>
    </xf>
    <xf numFmtId="3" fontId="6" fillId="24" borderId="14" xfId="89" applyNumberFormat="1" applyFont="1" applyFill="1" applyBorder="1" applyAlignment="1">
      <alignment horizontal="right" vertical="center" wrapText="1" indent="1"/>
    </xf>
    <xf numFmtId="3" fontId="7" fillId="24" borderId="13" xfId="89" applyNumberFormat="1" applyFont="1" applyFill="1" applyBorder="1" applyAlignment="1">
      <alignment horizontal="right" vertical="center" wrapText="1" indent="1"/>
    </xf>
    <xf numFmtId="3" fontId="7" fillId="24" borderId="14" xfId="89" applyNumberFormat="1" applyFont="1" applyFill="1" applyBorder="1" applyAlignment="1">
      <alignment horizontal="right" vertical="center" wrapText="1" indent="1"/>
    </xf>
    <xf numFmtId="0" fontId="95" fillId="0" borderId="0" xfId="89" applyFont="1"/>
    <xf numFmtId="3" fontId="3" fillId="0" borderId="13" xfId="89" applyNumberFormat="1" applyFont="1" applyFill="1" applyBorder="1" applyAlignment="1">
      <alignment horizontal="right" vertical="center" wrapText="1" indent="1"/>
    </xf>
    <xf numFmtId="3" fontId="3" fillId="0" borderId="14" xfId="89" applyNumberFormat="1" applyFont="1" applyFill="1" applyBorder="1" applyAlignment="1">
      <alignment horizontal="right" vertical="center" wrapText="1" indent="1"/>
    </xf>
    <xf numFmtId="0" fontId="59" fillId="0" borderId="0" xfId="89" applyFont="1" applyAlignment="1">
      <alignment vertical="center"/>
    </xf>
    <xf numFmtId="0" fontId="3" fillId="0" borderId="0" xfId="89" applyFont="1" applyAlignment="1">
      <alignment vertical="center"/>
    </xf>
    <xf numFmtId="0" fontId="85" fillId="0" borderId="0" xfId="89" applyFont="1" applyFill="1"/>
    <xf numFmtId="0" fontId="69" fillId="0" borderId="0" xfId="89" applyFont="1" applyFill="1"/>
    <xf numFmtId="0" fontId="69" fillId="0" borderId="0" xfId="89" applyFont="1"/>
    <xf numFmtId="3" fontId="6" fillId="24" borderId="17" xfId="89" applyNumberFormat="1" applyFont="1" applyFill="1" applyBorder="1" applyAlignment="1">
      <alignment horizontal="right" vertical="center" wrapText="1" indent="1"/>
    </xf>
    <xf numFmtId="3" fontId="6" fillId="24" borderId="18" xfId="89" applyNumberFormat="1" applyFont="1" applyFill="1" applyBorder="1" applyAlignment="1">
      <alignment horizontal="right" vertical="center" wrapText="1" indent="1"/>
    </xf>
    <xf numFmtId="0" fontId="3" fillId="0" borderId="12" xfId="89" applyFont="1" applyBorder="1" applyAlignment="1">
      <alignment horizontal="center" vertical="center"/>
    </xf>
    <xf numFmtId="0" fontId="9" fillId="0" borderId="15" xfId="89" applyFont="1" applyBorder="1" applyAlignment="1">
      <alignment horizontal="center" vertical="center"/>
    </xf>
    <xf numFmtId="0" fontId="3" fillId="0" borderId="0" xfId="89" applyFont="1" applyAlignment="1">
      <alignment horizontal="center" vertical="center"/>
    </xf>
    <xf numFmtId="49" fontId="3" fillId="0" borderId="0" xfId="89" applyNumberFormat="1" applyFont="1" applyAlignment="1">
      <alignment horizontal="left" wrapText="1"/>
    </xf>
    <xf numFmtId="0" fontId="96" fillId="0" borderId="0" xfId="0" applyFont="1" applyAlignment="1">
      <alignment horizontal="left" vertical="center"/>
    </xf>
    <xf numFmtId="0" fontId="67" fillId="0" borderId="0" xfId="89" applyFont="1"/>
    <xf numFmtId="3" fontId="7" fillId="35" borderId="13" xfId="0" applyNumberFormat="1" applyFont="1" applyFill="1" applyBorder="1" applyAlignment="1">
      <alignment horizontal="center" vertical="center" wrapText="1"/>
    </xf>
    <xf numFmtId="49" fontId="69" fillId="0" borderId="0" xfId="0" applyNumberFormat="1" applyFont="1" applyBorder="1"/>
    <xf numFmtId="0" fontId="3" fillId="0" borderId="0" xfId="0" applyFont="1" applyBorder="1" applyAlignment="1">
      <alignment horizontal="left" vertical="center" wrapText="1" indent="3"/>
    </xf>
    <xf numFmtId="49" fontId="3" fillId="0" borderId="0" xfId="0" applyNumberFormat="1" applyFont="1" applyBorder="1" applyAlignment="1">
      <alignment horizontal="left" vertical="center" wrapText="1" indent="1"/>
    </xf>
    <xf numFmtId="0" fontId="3" fillId="0" borderId="0" xfId="0" applyFont="1" applyBorder="1" applyAlignment="1">
      <alignment horizontal="right" vertical="center" wrapText="1"/>
    </xf>
    <xf numFmtId="49" fontId="3" fillId="0" borderId="0" xfId="0" applyNumberFormat="1" applyFont="1" applyBorder="1" applyAlignment="1">
      <alignment vertical="center"/>
    </xf>
    <xf numFmtId="0" fontId="22" fillId="0" borderId="13" xfId="0" applyFont="1" applyBorder="1" applyAlignment="1">
      <alignment vertical="center"/>
    </xf>
    <xf numFmtId="0" fontId="6" fillId="0" borderId="13" xfId="0" applyFont="1" applyBorder="1" applyAlignment="1">
      <alignment horizontal="left" vertical="center"/>
    </xf>
    <xf numFmtId="3" fontId="3" fillId="35" borderId="17" xfId="42" applyNumberFormat="1" applyFont="1" applyFill="1" applyBorder="1" applyAlignment="1">
      <alignment horizontal="right" vertical="center" wrapText="1" indent="1"/>
    </xf>
    <xf numFmtId="3" fontId="2" fillId="24" borderId="18" xfId="42" applyNumberFormat="1" applyFont="1" applyFill="1" applyBorder="1" applyAlignment="1">
      <alignment horizontal="right" vertical="center" wrapText="1" indent="1"/>
    </xf>
    <xf numFmtId="3" fontId="70" fillId="24" borderId="14" xfId="0" applyNumberFormat="1" applyFont="1" applyFill="1" applyBorder="1" applyAlignment="1">
      <alignment horizontal="right" vertical="center" wrapText="1" indent="1"/>
    </xf>
    <xf numFmtId="0" fontId="75" fillId="0" borderId="0" xfId="0" applyFont="1" applyAlignment="1">
      <alignment horizontal="left" indent="1"/>
    </xf>
    <xf numFmtId="0" fontId="7" fillId="0" borderId="13" xfId="0" applyNumberFormat="1" applyFont="1" applyBorder="1" applyAlignment="1">
      <alignment horizontal="left" vertical="center" wrapText="1" indent="1"/>
    </xf>
    <xf numFmtId="0" fontId="3" fillId="0" borderId="16" xfId="89" applyFont="1" applyBorder="1" applyAlignment="1">
      <alignment horizontal="center" vertical="center"/>
    </xf>
    <xf numFmtId="0" fontId="2" fillId="0" borderId="13" xfId="0" applyNumberFormat="1" applyFont="1" applyBorder="1" applyAlignment="1">
      <alignment horizontal="center" vertical="center" wrapText="1"/>
    </xf>
    <xf numFmtId="0" fontId="2" fillId="0" borderId="13" xfId="0" applyNumberFormat="1" applyFont="1" applyBorder="1" applyAlignment="1">
      <alignment horizontal="left" vertical="center" wrapText="1" indent="1"/>
    </xf>
    <xf numFmtId="0" fontId="3" fillId="0" borderId="13" xfId="0" applyNumberFormat="1" applyFont="1" applyBorder="1" applyAlignment="1">
      <alignment horizontal="left" vertical="center" wrapText="1" indent="1"/>
    </xf>
    <xf numFmtId="0" fontId="2" fillId="0" borderId="17" xfId="0" applyNumberFormat="1" applyFont="1" applyBorder="1" applyAlignment="1">
      <alignment horizontal="left" vertical="center" wrapText="1" indent="1"/>
    </xf>
    <xf numFmtId="0" fontId="2" fillId="0" borderId="13" xfId="0" applyNumberFormat="1" applyFont="1" applyFill="1" applyBorder="1" applyAlignment="1">
      <alignment horizontal="left" vertical="center" wrapText="1" indent="1"/>
    </xf>
    <xf numFmtId="0" fontId="71" fillId="0" borderId="13" xfId="0" applyNumberFormat="1" applyFont="1" applyFill="1" applyBorder="1" applyAlignment="1">
      <alignment horizontal="left" vertical="center" wrapText="1" indent="1"/>
    </xf>
    <xf numFmtId="0" fontId="70" fillId="0" borderId="13" xfId="0" applyNumberFormat="1" applyFont="1" applyFill="1" applyBorder="1" applyAlignment="1">
      <alignment horizontal="left" vertical="center" wrapText="1" indent="1"/>
    </xf>
    <xf numFmtId="0" fontId="71" fillId="0" borderId="13" xfId="0" applyNumberFormat="1" applyFont="1" applyBorder="1" applyAlignment="1">
      <alignment horizontal="left" vertical="center" wrapText="1" indent="1"/>
    </xf>
    <xf numFmtId="0" fontId="66" fillId="0" borderId="13" xfId="0" applyNumberFormat="1" applyFont="1" applyFill="1" applyBorder="1" applyAlignment="1">
      <alignment horizontal="left" vertical="center" wrapText="1" indent="1"/>
    </xf>
    <xf numFmtId="0" fontId="68" fillId="0" borderId="13" xfId="0" applyNumberFormat="1" applyFont="1" applyBorder="1" applyAlignment="1">
      <alignment horizontal="left" vertical="center" wrapText="1" indent="1"/>
    </xf>
    <xf numFmtId="0" fontId="6" fillId="0" borderId="13" xfId="0" applyNumberFormat="1" applyFont="1" applyFill="1" applyBorder="1" applyAlignment="1">
      <alignment horizontal="left" vertical="center" wrapText="1" indent="1"/>
    </xf>
    <xf numFmtId="0" fontId="7" fillId="0" borderId="0" xfId="0" applyNumberFormat="1" applyFont="1" applyAlignment="1">
      <alignment horizontal="left" vertical="center" wrapText="1" indent="1"/>
    </xf>
    <xf numFmtId="0" fontId="6" fillId="0" borderId="13" xfId="0" applyNumberFormat="1" applyFont="1" applyFill="1" applyBorder="1" applyAlignment="1">
      <alignment horizontal="left" vertical="center" indent="1"/>
    </xf>
    <xf numFmtId="0" fontId="6" fillId="37" borderId="13" xfId="0" applyNumberFormat="1" applyFont="1" applyFill="1" applyBorder="1" applyAlignment="1">
      <alignment horizontal="left" vertical="center" indent="1"/>
    </xf>
    <xf numFmtId="0" fontId="7" fillId="0" borderId="19" xfId="0" applyNumberFormat="1" applyFont="1" applyFill="1" applyBorder="1" applyAlignment="1">
      <alignment horizontal="left" vertical="center" wrapText="1" indent="1"/>
    </xf>
    <xf numFmtId="0" fontId="90" fillId="0" borderId="17" xfId="0" applyNumberFormat="1" applyFont="1" applyFill="1" applyBorder="1" applyAlignment="1">
      <alignment horizontal="left" vertical="center" wrapText="1" indent="1"/>
    </xf>
    <xf numFmtId="0" fontId="3" fillId="0" borderId="0" xfId="0" applyNumberFormat="1" applyFont="1" applyAlignment="1">
      <alignment horizontal="left" vertical="center" wrapText="1"/>
    </xf>
    <xf numFmtId="0" fontId="2" fillId="0" borderId="15"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3" fillId="0" borderId="0" xfId="0" applyNumberFormat="1" applyFont="1" applyAlignment="1">
      <alignment vertical="center" wrapText="1"/>
    </xf>
    <xf numFmtId="0" fontId="3" fillId="0" borderId="15" xfId="0" applyNumberFormat="1" applyFont="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3" fillId="0" borderId="0" xfId="0" applyNumberFormat="1" applyFont="1"/>
    <xf numFmtId="0" fontId="2" fillId="0" borderId="0" xfId="0" applyNumberFormat="1" applyFont="1"/>
    <xf numFmtId="0" fontId="2" fillId="0" borderId="14" xfId="0" applyNumberFormat="1" applyFont="1" applyBorder="1" applyAlignment="1">
      <alignment horizontal="center" vertical="center" wrapText="1"/>
    </xf>
    <xf numFmtId="0" fontId="69" fillId="0" borderId="0" xfId="0" applyNumberFormat="1" applyFont="1" applyAlignment="1">
      <alignment horizontal="center"/>
    </xf>
    <xf numFmtId="0" fontId="2" fillId="0" borderId="38" xfId="0" applyNumberFormat="1" applyFont="1" applyBorder="1" applyAlignment="1">
      <alignment horizontal="center" vertical="center" wrapText="1"/>
    </xf>
    <xf numFmtId="0" fontId="7" fillId="0" borderId="0" xfId="0" applyNumberFormat="1" applyFont="1"/>
    <xf numFmtId="0" fontId="2" fillId="0" borderId="17" xfId="0" applyNumberFormat="1" applyFont="1" applyFill="1" applyBorder="1" applyAlignment="1">
      <alignment horizontal="left" vertical="center" wrapText="1" indent="1"/>
    </xf>
    <xf numFmtId="0" fontId="3" fillId="0" borderId="0" xfId="89" applyNumberFormat="1" applyFont="1"/>
    <xf numFmtId="0" fontId="59" fillId="0" borderId="0" xfId="89" applyNumberFormat="1" applyFont="1"/>
    <xf numFmtId="0" fontId="63" fillId="0" borderId="0" xfId="89" applyNumberFormat="1" applyFont="1"/>
    <xf numFmtId="0" fontId="2" fillId="0" borderId="0" xfId="89" applyNumberFormat="1" applyFont="1"/>
    <xf numFmtId="0" fontId="2" fillId="0" borderId="13" xfId="89" applyNumberFormat="1" applyFont="1" applyBorder="1" applyAlignment="1">
      <alignment horizontal="center" vertical="center" wrapText="1"/>
    </xf>
    <xf numFmtId="0" fontId="2" fillId="0" borderId="14" xfId="89" applyNumberFormat="1" applyFont="1" applyBorder="1" applyAlignment="1">
      <alignment horizontal="center" vertical="center" wrapText="1"/>
    </xf>
    <xf numFmtId="0" fontId="3" fillId="0" borderId="15" xfId="89" applyNumberFormat="1" applyFont="1" applyBorder="1" applyAlignment="1">
      <alignment horizontal="center" vertical="center"/>
    </xf>
    <xf numFmtId="0" fontId="70" fillId="0" borderId="13" xfId="89" applyNumberFormat="1" applyFont="1" applyFill="1" applyBorder="1" applyAlignment="1">
      <alignment horizontal="left" vertical="top" wrapText="1"/>
    </xf>
    <xf numFmtId="0" fontId="6" fillId="0" borderId="13" xfId="89" applyNumberFormat="1" applyFont="1" applyFill="1" applyBorder="1" applyAlignment="1">
      <alignment horizontal="center" vertical="center" wrapText="1"/>
    </xf>
    <xf numFmtId="0" fontId="6" fillId="0" borderId="14" xfId="89" applyNumberFormat="1" applyFont="1" applyFill="1" applyBorder="1" applyAlignment="1">
      <alignment horizontal="center" vertical="center" wrapText="1"/>
    </xf>
    <xf numFmtId="0" fontId="70" fillId="0" borderId="13" xfId="89" applyNumberFormat="1" applyFont="1" applyFill="1" applyBorder="1" applyAlignment="1">
      <alignment horizontal="left" vertical="top" wrapText="1" indent="1"/>
    </xf>
    <xf numFmtId="0" fontId="71" fillId="0" borderId="13" xfId="89" applyNumberFormat="1" applyFont="1" applyBorder="1" applyAlignment="1">
      <alignment horizontal="left" vertical="top" wrapText="1" indent="1"/>
    </xf>
    <xf numFmtId="0" fontId="71" fillId="0" borderId="13" xfId="89" applyNumberFormat="1" applyFont="1" applyBorder="1" applyAlignment="1">
      <alignment horizontal="left" wrapText="1" indent="1"/>
    </xf>
    <xf numFmtId="0" fontId="71" fillId="0" borderId="13" xfId="89" applyNumberFormat="1" applyFont="1" applyBorder="1" applyAlignment="1">
      <alignment horizontal="left" vertical="center" wrapText="1" indent="1"/>
    </xf>
    <xf numFmtId="0" fontId="71" fillId="0" borderId="13" xfId="89" applyNumberFormat="1" applyFont="1" applyFill="1" applyBorder="1" applyAlignment="1">
      <alignment horizontal="left" vertical="top" wrapText="1" indent="1"/>
    </xf>
    <xf numFmtId="0" fontId="71" fillId="0" borderId="13" xfId="89" applyNumberFormat="1" applyFont="1" applyFill="1" applyBorder="1" applyAlignment="1">
      <alignment horizontal="left" wrapText="1" indent="1"/>
    </xf>
    <xf numFmtId="0" fontId="71" fillId="0" borderId="13" xfId="89" applyNumberFormat="1" applyFont="1" applyFill="1" applyBorder="1" applyAlignment="1">
      <alignment horizontal="left" vertical="center" wrapText="1"/>
    </xf>
    <xf numFmtId="0" fontId="71" fillId="0" borderId="13" xfId="89" applyNumberFormat="1" applyFont="1" applyFill="1" applyBorder="1" applyAlignment="1" applyProtection="1">
      <alignment horizontal="left" vertical="top" wrapText="1" indent="1"/>
      <protection locked="0"/>
    </xf>
    <xf numFmtId="0" fontId="71" fillId="0" borderId="13" xfId="89" applyNumberFormat="1" applyFont="1" applyFill="1" applyBorder="1" applyAlignment="1">
      <alignment horizontal="left" vertical="center" wrapText="1" indent="1"/>
    </xf>
    <xf numFmtId="0" fontId="70" fillId="0" borderId="17" xfId="89" applyNumberFormat="1" applyFont="1" applyFill="1" applyBorder="1" applyAlignment="1">
      <alignment horizontal="left" vertical="top" wrapText="1" indent="1"/>
    </xf>
    <xf numFmtId="0" fontId="71" fillId="0" borderId="0" xfId="89" applyNumberFormat="1" applyFont="1" applyAlignment="1">
      <alignment horizontal="left" wrapText="1"/>
    </xf>
    <xf numFmtId="0" fontId="84" fillId="0" borderId="13" xfId="89" applyNumberFormat="1" applyFont="1" applyFill="1" applyBorder="1" applyAlignment="1">
      <alignment horizontal="left" vertical="top" wrapText="1" indent="1"/>
    </xf>
    <xf numFmtId="0" fontId="3" fillId="0" borderId="13" xfId="0" applyNumberFormat="1" applyFont="1" applyFill="1" applyBorder="1" applyAlignment="1">
      <alignment horizontal="left" vertical="center" wrapText="1" indent="1"/>
    </xf>
    <xf numFmtId="0" fontId="6" fillId="0" borderId="13"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65" fillId="0" borderId="0" xfId="40" applyNumberFormat="1"/>
    <xf numFmtId="0" fontId="66" fillId="0" borderId="23" xfId="40" applyNumberFormat="1" applyFont="1" applyBorder="1" applyAlignment="1">
      <alignment horizontal="center" vertical="center" wrapText="1"/>
    </xf>
    <xf numFmtId="0" fontId="66" fillId="0" borderId="25" xfId="40" applyNumberFormat="1" applyFont="1" applyBorder="1" applyAlignment="1">
      <alignment horizontal="center" vertical="center"/>
    </xf>
    <xf numFmtId="0" fontId="66" fillId="0" borderId="25" xfId="40" applyNumberFormat="1" applyFont="1" applyBorder="1" applyAlignment="1">
      <alignment horizontal="center" vertical="center" wrapText="1"/>
    </xf>
    <xf numFmtId="0" fontId="66" fillId="0" borderId="24" xfId="40" applyNumberFormat="1" applyFont="1" applyBorder="1" applyAlignment="1">
      <alignment horizontal="center" vertical="center" wrapText="1"/>
    </xf>
    <xf numFmtId="0" fontId="66" fillId="0" borderId="15" xfId="40" applyNumberFormat="1" applyFont="1" applyBorder="1" applyAlignment="1">
      <alignment vertical="center"/>
    </xf>
    <xf numFmtId="0" fontId="66" fillId="0" borderId="13" xfId="40" applyNumberFormat="1" applyFont="1" applyBorder="1" applyAlignment="1">
      <alignment vertical="center"/>
    </xf>
    <xf numFmtId="0" fontId="66" fillId="0" borderId="13" xfId="40" applyNumberFormat="1" applyFont="1" applyBorder="1" applyAlignment="1">
      <alignment horizontal="center" vertical="center"/>
    </xf>
    <xf numFmtId="0" fontId="66" fillId="0" borderId="14" xfId="40" applyNumberFormat="1" applyFont="1" applyBorder="1" applyAlignment="1">
      <alignment horizontal="center" vertical="center"/>
    </xf>
    <xf numFmtId="0" fontId="66" fillId="0" borderId="77" xfId="40" applyNumberFormat="1" applyFont="1" applyBorder="1" applyAlignment="1">
      <alignment horizontal="left" vertical="center" indent="1"/>
    </xf>
    <xf numFmtId="0" fontId="66" fillId="0" borderId="29" xfId="40" applyNumberFormat="1" applyFont="1" applyBorder="1" applyAlignment="1">
      <alignment horizontal="left" vertical="center" indent="1"/>
    </xf>
    <xf numFmtId="0" fontId="66" fillId="0" borderId="17" xfId="40" applyNumberFormat="1" applyFont="1" applyBorder="1" applyAlignment="1">
      <alignment horizontal="left" vertical="center" indent="1"/>
    </xf>
    <xf numFmtId="0" fontId="7" fillId="0" borderId="0" xfId="40" applyNumberFormat="1" applyFont="1"/>
    <xf numFmtId="0" fontId="2" fillId="0" borderId="20" xfId="0" applyNumberFormat="1" applyFont="1" applyBorder="1" applyAlignment="1">
      <alignment horizontal="center" vertical="center" wrapText="1"/>
    </xf>
    <xf numFmtId="0" fontId="2" fillId="0" borderId="22" xfId="0" applyNumberFormat="1" applyFont="1" applyBorder="1" applyAlignment="1">
      <alignment vertical="center" wrapText="1"/>
    </xf>
    <xf numFmtId="0" fontId="6" fillId="0" borderId="13" xfId="0" applyNumberFormat="1" applyFont="1" applyBorder="1" applyAlignment="1">
      <alignment horizontal="left" vertical="center" wrapText="1"/>
    </xf>
    <xf numFmtId="0" fontId="6" fillId="0" borderId="13" xfId="0" applyNumberFormat="1" applyFont="1" applyBorder="1" applyAlignment="1">
      <alignment horizontal="left" vertical="center" wrapText="1" indent="1"/>
    </xf>
    <xf numFmtId="0" fontId="6" fillId="0" borderId="17" xfId="0" applyNumberFormat="1" applyFont="1" applyBorder="1" applyAlignment="1">
      <alignment horizontal="left" vertical="center" wrapText="1" indent="1"/>
    </xf>
    <xf numFmtId="0" fontId="6" fillId="0" borderId="13" xfId="0" applyNumberFormat="1" applyFont="1" applyFill="1" applyBorder="1" applyAlignment="1">
      <alignment horizontal="center" vertical="center" wrapText="1"/>
    </xf>
    <xf numFmtId="0" fontId="0" fillId="0" borderId="0" xfId="0" applyNumberFormat="1" applyBorder="1"/>
    <xf numFmtId="0" fontId="29" fillId="0" borderId="0" xfId="0" applyNumberFormat="1" applyFont="1" applyBorder="1"/>
    <xf numFmtId="0" fontId="2" fillId="0" borderId="13" xfId="0" applyNumberFormat="1" applyFont="1" applyBorder="1" applyAlignment="1">
      <alignment horizontal="left" vertical="center" wrapText="1"/>
    </xf>
    <xf numFmtId="0" fontId="6" fillId="0" borderId="17" xfId="0" applyNumberFormat="1" applyFont="1" applyFill="1" applyBorder="1" applyAlignment="1">
      <alignment horizontal="left" vertical="center" wrapText="1" indent="1"/>
    </xf>
    <xf numFmtId="0" fontId="6" fillId="0" borderId="14" xfId="0" applyNumberFormat="1" applyFont="1" applyFill="1" applyBorder="1" applyAlignment="1">
      <alignment horizontal="center" vertical="center" wrapText="1"/>
    </xf>
    <xf numFmtId="0" fontId="3" fillId="0" borderId="0" xfId="39" applyNumberFormat="1" applyFont="1"/>
    <xf numFmtId="0" fontId="2" fillId="0" borderId="15" xfId="39" applyNumberFormat="1" applyFont="1" applyBorder="1" applyAlignment="1">
      <alignment horizontal="center" vertical="center" wrapText="1"/>
    </xf>
    <xf numFmtId="0" fontId="2" fillId="0" borderId="13" xfId="39" applyNumberFormat="1" applyFont="1" applyBorder="1" applyAlignment="1">
      <alignment horizontal="center" vertical="center" wrapText="1"/>
    </xf>
    <xf numFmtId="0" fontId="27" fillId="0" borderId="0" xfId="0" applyNumberFormat="1" applyFont="1" applyBorder="1" applyAlignment="1">
      <alignment horizontal="left"/>
    </xf>
    <xf numFmtId="0" fontId="3" fillId="0" borderId="0" xfId="0" applyNumberFormat="1" applyFont="1" applyBorder="1"/>
    <xf numFmtId="0" fontId="27"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2" fillId="0" borderId="13" xfId="0" applyNumberFormat="1" applyFont="1" applyBorder="1" applyAlignment="1">
      <alignment vertical="top" wrapText="1"/>
    </xf>
    <xf numFmtId="0" fontId="2" fillId="0" borderId="13"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66" fillId="0" borderId="13" xfId="0" applyNumberFormat="1" applyFont="1" applyBorder="1" applyAlignment="1">
      <alignment horizontal="left" vertical="center" wrapText="1" indent="1"/>
    </xf>
    <xf numFmtId="0" fontId="68" fillId="0" borderId="13" xfId="0" applyNumberFormat="1" applyFont="1" applyFill="1" applyBorder="1" applyAlignment="1">
      <alignment horizontal="left" vertical="center" wrapText="1" indent="1"/>
    </xf>
    <xf numFmtId="0" fontId="66" fillId="0" borderId="27" xfId="0" applyNumberFormat="1" applyFont="1" applyBorder="1" applyAlignment="1">
      <alignment horizontal="left" vertical="center" wrapText="1" indent="1"/>
    </xf>
    <xf numFmtId="0" fontId="66" fillId="0" borderId="74" xfId="0" applyNumberFormat="1" applyFont="1" applyBorder="1" applyAlignment="1">
      <alignment horizontal="left" vertical="center" wrapText="1" indent="1"/>
    </xf>
    <xf numFmtId="0" fontId="51" fillId="0" borderId="14" xfId="0" applyNumberFormat="1" applyFont="1" applyFill="1" applyBorder="1" applyAlignment="1">
      <alignment horizontal="center" vertical="center" wrapText="1"/>
    </xf>
    <xf numFmtId="0" fontId="3" fillId="0" borderId="0" xfId="0" applyNumberFormat="1" applyFont="1" applyFill="1" applyBorder="1"/>
    <xf numFmtId="0" fontId="2" fillId="0" borderId="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0" fontId="6" fillId="0" borderId="20" xfId="0" applyNumberFormat="1" applyFont="1" applyFill="1" applyBorder="1" applyAlignment="1">
      <alignment horizontal="center" vertical="center" wrapText="1"/>
    </xf>
    <xf numFmtId="0" fontId="90" fillId="0" borderId="13" xfId="0" applyNumberFormat="1" applyFont="1" applyFill="1" applyBorder="1" applyAlignment="1">
      <alignment horizontal="center" vertical="center" wrapText="1"/>
    </xf>
    <xf numFmtId="0" fontId="90" fillId="0" borderId="14"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2" fillId="0" borderId="13" xfId="0" applyNumberFormat="1" applyFont="1" applyFill="1" applyBorder="1" applyAlignment="1">
      <alignment vertical="center" wrapText="1"/>
    </xf>
    <xf numFmtId="0" fontId="72" fillId="0" borderId="13"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7" fillId="0" borderId="13"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22" fillId="0" borderId="0" xfId="0" applyNumberFormat="1" applyFont="1" applyFill="1" applyBorder="1" applyAlignment="1">
      <alignment vertical="center"/>
    </xf>
    <xf numFmtId="0" fontId="99" fillId="0" borderId="0" xfId="0" applyNumberFormat="1" applyFont="1" applyAlignment="1">
      <alignment horizontal="left" vertical="center"/>
    </xf>
    <xf numFmtId="0" fontId="75" fillId="0" borderId="0" xfId="0" applyNumberFormat="1" applyFont="1" applyFill="1" applyBorder="1" applyAlignment="1">
      <alignment vertical="center"/>
    </xf>
    <xf numFmtId="0" fontId="98" fillId="0" borderId="0" xfId="0" applyNumberFormat="1" applyFont="1" applyFill="1" applyBorder="1"/>
    <xf numFmtId="0" fontId="22" fillId="0" borderId="0" xfId="0" applyNumberFormat="1" applyFont="1" applyFill="1" applyBorder="1" applyAlignment="1"/>
    <xf numFmtId="0" fontId="94" fillId="0" borderId="0" xfId="0" applyNumberFormat="1" applyFont="1" applyFill="1" applyBorder="1" applyAlignment="1">
      <alignment vertical="center"/>
    </xf>
    <xf numFmtId="0" fontId="2" fillId="0" borderId="22"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8" fillId="0" borderId="13" xfId="42" applyNumberFormat="1" applyFont="1" applyBorder="1" applyAlignment="1">
      <alignment horizontal="left" vertical="center" wrapText="1" indent="1"/>
    </xf>
    <xf numFmtId="0" fontId="66" fillId="0" borderId="13" xfId="42" applyNumberFormat="1" applyFont="1" applyBorder="1" applyAlignment="1">
      <alignment horizontal="left" vertical="center" wrapText="1" indent="1"/>
    </xf>
    <xf numFmtId="0" fontId="6" fillId="0" borderId="13" xfId="42" applyNumberFormat="1" applyFont="1" applyBorder="1" applyAlignment="1">
      <alignment horizontal="left" vertical="center" wrapText="1" indent="1"/>
    </xf>
    <xf numFmtId="0" fontId="3" fillId="0" borderId="19" xfId="42" applyNumberFormat="1" applyFont="1" applyBorder="1" applyAlignment="1">
      <alignment horizontal="left" vertical="top" wrapText="1" indent="1"/>
    </xf>
    <xf numFmtId="0" fontId="6" fillId="0" borderId="19" xfId="42" applyNumberFormat="1" applyFont="1" applyBorder="1" applyAlignment="1">
      <alignment horizontal="left" vertical="top" wrapText="1" indent="1"/>
    </xf>
    <xf numFmtId="0" fontId="70" fillId="0" borderId="17" xfId="42" applyNumberFormat="1" applyFont="1" applyBorder="1" applyAlignment="1">
      <alignment horizontal="left" vertical="center" wrapText="1" indent="1"/>
    </xf>
    <xf numFmtId="0" fontId="3" fillId="0" borderId="0" xfId="0" applyNumberFormat="1" applyFont="1" applyBorder="1" applyAlignment="1">
      <alignment horizontal="right" vertical="center" wrapText="1"/>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0" fillId="0" borderId="0" xfId="0" applyNumberFormat="1"/>
    <xf numFmtId="0" fontId="68" fillId="0" borderId="17" xfId="42" applyNumberFormat="1" applyFont="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3" fillId="0" borderId="0" xfId="0" applyNumberFormat="1" applyFont="1" applyBorder="1" applyAlignment="1">
      <alignment horizontal="left" vertical="center" wrapText="1"/>
    </xf>
    <xf numFmtId="0" fontId="3" fillId="0" borderId="13" xfId="42" applyNumberFormat="1" applyFont="1" applyBorder="1" applyAlignment="1">
      <alignment horizontal="left" vertical="top" wrapText="1" indent="1"/>
    </xf>
    <xf numFmtId="0" fontId="4" fillId="0" borderId="0" xfId="0" applyNumberFormat="1" applyFont="1" applyAlignment="1">
      <alignment horizontal="center" vertical="center" wrapText="1"/>
    </xf>
    <xf numFmtId="0" fontId="9" fillId="0" borderId="13" xfId="0" applyNumberFormat="1" applyFont="1" applyFill="1" applyBorder="1" applyAlignment="1">
      <alignment horizontal="left" vertical="center" wrapText="1" indent="1"/>
    </xf>
    <xf numFmtId="0" fontId="2" fillId="0" borderId="17" xfId="0" applyNumberFormat="1" applyFont="1" applyFill="1" applyBorder="1" applyAlignment="1">
      <alignment horizontal="left" wrapText="1" indent="1"/>
    </xf>
    <xf numFmtId="0" fontId="6" fillId="0" borderId="13" xfId="0" applyNumberFormat="1" applyFont="1" applyBorder="1" applyAlignment="1">
      <alignment vertical="center" wrapText="1"/>
    </xf>
    <xf numFmtId="0" fontId="68" fillId="0" borderId="19" xfId="0" applyNumberFormat="1" applyFont="1" applyBorder="1" applyAlignment="1">
      <alignment horizontal="left" vertical="center" wrapText="1" indent="1"/>
    </xf>
    <xf numFmtId="0" fontId="66" fillId="0" borderId="19" xfId="0" applyNumberFormat="1" applyFont="1" applyBorder="1" applyAlignment="1">
      <alignment horizontal="left" vertical="center" wrapText="1" indent="1"/>
    </xf>
    <xf numFmtId="0" fontId="66" fillId="0" borderId="17" xfId="0" applyNumberFormat="1" applyFont="1" applyFill="1" applyBorder="1" applyAlignment="1">
      <alignment horizontal="left" vertical="center" wrapText="1" indent="1"/>
    </xf>
    <xf numFmtId="0" fontId="7" fillId="0" borderId="29" xfId="39" applyNumberFormat="1" applyFont="1" applyBorder="1" applyAlignment="1">
      <alignment horizontal="center" vertical="center" wrapText="1"/>
    </xf>
    <xf numFmtId="0" fontId="7" fillId="0" borderId="34" xfId="39" applyNumberFormat="1" applyFont="1" applyBorder="1" applyAlignment="1">
      <alignment horizontal="center" vertical="center" wrapText="1"/>
    </xf>
    <xf numFmtId="0" fontId="6" fillId="0" borderId="13" xfId="39" applyNumberFormat="1" applyFont="1" applyBorder="1" applyAlignment="1">
      <alignment horizontal="center" vertical="center" wrapText="1"/>
    </xf>
    <xf numFmtId="0" fontId="6" fillId="0" borderId="14" xfId="39" applyNumberFormat="1" applyFont="1" applyBorder="1" applyAlignment="1">
      <alignment horizontal="center" vertical="center" wrapText="1"/>
    </xf>
    <xf numFmtId="0" fontId="6" fillId="0" borderId="13" xfId="39" applyNumberFormat="1" applyFont="1" applyBorder="1" applyAlignment="1">
      <alignment horizontal="left" vertical="center" wrapText="1" indent="1"/>
    </xf>
    <xf numFmtId="0" fontId="6" fillId="0" borderId="17" xfId="39" applyNumberFormat="1" applyFont="1" applyBorder="1" applyAlignment="1">
      <alignment horizontal="left" vertical="center" wrapText="1" indent="1"/>
    </xf>
    <xf numFmtId="0" fontId="6" fillId="0" borderId="0" xfId="44" applyNumberFormat="1" applyFont="1" applyBorder="1" applyAlignment="1">
      <alignment vertical="center" wrapText="1"/>
    </xf>
    <xf numFmtId="0" fontId="66" fillId="0" borderId="13" xfId="44" applyNumberFormat="1" applyFont="1" applyBorder="1" applyAlignment="1">
      <alignment horizontal="center" vertical="center" wrapText="1"/>
    </xf>
    <xf numFmtId="0" fontId="6" fillId="0" borderId="13" xfId="44" applyNumberFormat="1" applyFont="1" applyBorder="1" applyAlignment="1">
      <alignment horizontal="center" vertical="center" wrapText="1"/>
    </xf>
    <xf numFmtId="0" fontId="6" fillId="0" borderId="14" xfId="44" applyNumberFormat="1" applyFont="1" applyBorder="1" applyAlignment="1">
      <alignment horizontal="center" vertical="center" wrapText="1"/>
    </xf>
    <xf numFmtId="0" fontId="6" fillId="0" borderId="0" xfId="44" applyNumberFormat="1" applyFont="1" applyBorder="1" applyAlignment="1">
      <alignment horizontal="center" vertical="center" wrapText="1"/>
    </xf>
    <xf numFmtId="0" fontId="6" fillId="0" borderId="15" xfId="44" applyNumberFormat="1" applyFont="1" applyBorder="1" applyAlignment="1">
      <alignment vertical="center" wrapText="1"/>
    </xf>
    <xf numFmtId="0" fontId="7" fillId="0" borderId="0" xfId="43" applyNumberFormat="1" applyFont="1" applyAlignment="1">
      <alignment vertical="center" wrapText="1"/>
    </xf>
    <xf numFmtId="0" fontId="6" fillId="37" borderId="31" xfId="43" applyNumberFormat="1" applyFont="1" applyFill="1" applyBorder="1" applyAlignment="1">
      <alignment horizontal="center" vertical="center" wrapText="1"/>
    </xf>
    <xf numFmtId="0" fontId="6" fillId="37" borderId="51" xfId="43" applyNumberFormat="1" applyFont="1" applyFill="1" applyBorder="1" applyAlignment="1">
      <alignment horizontal="center" vertical="center" wrapText="1"/>
    </xf>
    <xf numFmtId="0" fontId="6" fillId="37" borderId="62" xfId="43" applyNumberFormat="1" applyFont="1" applyFill="1" applyBorder="1" applyAlignment="1">
      <alignment horizontal="center" vertical="center" wrapText="1"/>
    </xf>
    <xf numFmtId="0" fontId="6" fillId="0" borderId="0" xfId="43" applyNumberFormat="1" applyFont="1" applyAlignment="1">
      <alignment horizontal="center" vertical="center" wrapText="1"/>
    </xf>
    <xf numFmtId="0" fontId="6" fillId="0" borderId="22" xfId="43" applyNumberFormat="1" applyFont="1" applyFill="1" applyBorder="1" applyAlignment="1">
      <alignment horizontal="center" vertical="center" wrapText="1"/>
    </xf>
    <xf numFmtId="0" fontId="6" fillId="37" borderId="29" xfId="43" applyNumberFormat="1" applyFont="1" applyFill="1" applyBorder="1" applyAlignment="1">
      <alignment horizontal="center" vertical="center" wrapText="1"/>
    </xf>
    <xf numFmtId="0" fontId="6" fillId="37" borderId="37" xfId="43" applyNumberFormat="1" applyFont="1" applyFill="1" applyBorder="1" applyAlignment="1">
      <alignment horizontal="center" vertical="center" wrapText="1"/>
    </xf>
    <xf numFmtId="0" fontId="6" fillId="37" borderId="42" xfId="43" applyNumberFormat="1" applyFont="1" applyFill="1" applyBorder="1" applyAlignment="1">
      <alignment horizontal="center" vertical="center" wrapText="1"/>
    </xf>
    <xf numFmtId="0" fontId="22" fillId="0" borderId="29" xfId="41" applyNumberFormat="1" applyFont="1" applyBorder="1"/>
    <xf numFmtId="0" fontId="22" fillId="0" borderId="13" xfId="41" applyNumberFormat="1" applyFont="1" applyBorder="1"/>
    <xf numFmtId="0" fontId="22" fillId="0" borderId="13" xfId="41" applyNumberFormat="1" applyFont="1" applyBorder="1" applyAlignment="1">
      <alignment vertical="center"/>
    </xf>
    <xf numFmtId="0" fontId="82" fillId="0" borderId="13" xfId="41" applyNumberFormat="1" applyFont="1" applyBorder="1"/>
    <xf numFmtId="0" fontId="7" fillId="0" borderId="22" xfId="41" applyNumberFormat="1" applyFont="1" applyBorder="1" applyAlignment="1">
      <alignment horizontal="left" indent="1"/>
    </xf>
    <xf numFmtId="0" fontId="7" fillId="0" borderId="29" xfId="41" applyNumberFormat="1" applyFont="1" applyBorder="1"/>
    <xf numFmtId="0" fontId="7" fillId="0" borderId="37" xfId="41" applyNumberFormat="1" applyFont="1" applyBorder="1" applyAlignment="1">
      <alignment horizontal="center"/>
    </xf>
    <xf numFmtId="0" fontId="7" fillId="0" borderId="15" xfId="41" applyNumberFormat="1" applyFont="1" applyBorder="1" applyAlignment="1">
      <alignment horizontal="left" indent="1"/>
    </xf>
    <xf numFmtId="0" fontId="7" fillId="0" borderId="13" xfId="41" applyNumberFormat="1" applyFont="1" applyBorder="1"/>
    <xf numFmtId="0" fontId="7" fillId="0" borderId="20" xfId="41" applyNumberFormat="1" applyFont="1" applyBorder="1" applyAlignment="1">
      <alignment horizontal="center"/>
    </xf>
    <xf numFmtId="0" fontId="7" fillId="0" borderId="15" xfId="41" applyNumberFormat="1" applyFont="1" applyFill="1" applyBorder="1" applyAlignment="1">
      <alignment horizontal="left" indent="1"/>
    </xf>
    <xf numFmtId="0" fontId="7" fillId="0" borderId="21" xfId="41" applyNumberFormat="1" applyFont="1" applyFill="1" applyBorder="1" applyAlignment="1">
      <alignment horizontal="left" indent="1"/>
    </xf>
    <xf numFmtId="0" fontId="68" fillId="0" borderId="19" xfId="41" applyNumberFormat="1" applyFont="1" applyBorder="1"/>
    <xf numFmtId="0" fontId="7" fillId="0" borderId="19" xfId="41" applyNumberFormat="1" applyFont="1" applyBorder="1"/>
    <xf numFmtId="0" fontId="7" fillId="0" borderId="35" xfId="41" applyNumberFormat="1" applyFont="1" applyBorder="1" applyAlignment="1">
      <alignment horizontal="center"/>
    </xf>
    <xf numFmtId="0" fontId="51" fillId="32" borderId="51" xfId="41" applyNumberFormat="1" applyFont="1" applyFill="1" applyBorder="1" applyAlignment="1">
      <alignment horizontal="center" vertical="center"/>
    </xf>
    <xf numFmtId="0" fontId="22" fillId="0" borderId="22" xfId="41" applyNumberFormat="1" applyFont="1" applyBorder="1" applyAlignment="1">
      <alignment horizontal="left" indent="1"/>
    </xf>
    <xf numFmtId="0" fontId="22" fillId="0" borderId="37" xfId="41" applyNumberFormat="1" applyFont="1" applyBorder="1" applyAlignment="1">
      <alignment horizontal="center"/>
    </xf>
    <xf numFmtId="0" fontId="22" fillId="0" borderId="15" xfId="41" applyNumberFormat="1" applyFont="1" applyBorder="1" applyAlignment="1">
      <alignment horizontal="left" indent="1"/>
    </xf>
    <xf numFmtId="0" fontId="22" fillId="0" borderId="20" xfId="41" applyNumberFormat="1" applyFont="1" applyBorder="1" applyAlignment="1">
      <alignment horizontal="center"/>
    </xf>
    <xf numFmtId="0" fontId="22" fillId="0" borderId="15" xfId="41" applyNumberFormat="1" applyFont="1" applyFill="1" applyBorder="1" applyAlignment="1">
      <alignment horizontal="left" indent="1"/>
    </xf>
    <xf numFmtId="0" fontId="51" fillId="32" borderId="20" xfId="41" applyNumberFormat="1" applyFont="1" applyFill="1" applyBorder="1" applyAlignment="1">
      <alignment horizontal="center"/>
    </xf>
    <xf numFmtId="0" fontId="51" fillId="0" borderId="20" xfId="41" applyNumberFormat="1" applyFont="1" applyBorder="1" applyAlignment="1">
      <alignment horizontal="center"/>
    </xf>
    <xf numFmtId="0" fontId="51" fillId="32" borderId="28" xfId="41" applyNumberFormat="1" applyFont="1" applyFill="1" applyBorder="1" applyAlignment="1">
      <alignment horizontal="center"/>
    </xf>
    <xf numFmtId="0" fontId="69" fillId="0" borderId="0" xfId="89" applyFont="1" applyFill="1" applyAlignment="1"/>
    <xf numFmtId="0" fontId="9" fillId="0" borderId="0" xfId="0" applyFont="1" applyAlignment="1">
      <alignment horizontal="left" wrapText="1" indent="1"/>
    </xf>
    <xf numFmtId="0" fontId="69" fillId="0" borderId="0" xfId="39" applyNumberFormat="1" applyFont="1"/>
    <xf numFmtId="0" fontId="7" fillId="0" borderId="15" xfId="89" applyFont="1" applyBorder="1" applyAlignment="1">
      <alignment horizontal="center" vertical="center"/>
    </xf>
    <xf numFmtId="49" fontId="7" fillId="36" borderId="13" xfId="89" applyNumberFormat="1" applyFont="1" applyFill="1" applyBorder="1" applyAlignment="1">
      <alignment horizontal="left" vertical="top" wrapText="1" indent="1"/>
    </xf>
    <xf numFmtId="0" fontId="3" fillId="0" borderId="15" xfId="89" applyFont="1" applyFill="1" applyBorder="1" applyAlignment="1">
      <alignment horizontal="center" vertical="center"/>
    </xf>
    <xf numFmtId="49" fontId="2" fillId="0" borderId="13" xfId="89" applyNumberFormat="1" applyFont="1" applyBorder="1" applyAlignment="1">
      <alignment horizontal="left" vertical="top" wrapText="1" indent="1"/>
    </xf>
    <xf numFmtId="49" fontId="2" fillId="36" borderId="13" xfId="89" applyNumberFormat="1" applyFont="1" applyFill="1" applyBorder="1" applyAlignment="1">
      <alignment horizontal="left" vertical="top" wrapText="1" indent="1"/>
    </xf>
    <xf numFmtId="3" fontId="6" fillId="35" borderId="28" xfId="0" applyNumberFormat="1" applyFont="1" applyFill="1" applyBorder="1" applyAlignment="1">
      <alignment horizontal="right" vertical="center" wrapText="1" indent="1"/>
    </xf>
    <xf numFmtId="0" fontId="3" fillId="0" borderId="21" xfId="0" applyFont="1" applyBorder="1" applyAlignment="1">
      <alignment horizontal="center" vertical="center" wrapText="1"/>
    </xf>
    <xf numFmtId="3" fontId="6" fillId="35" borderId="35" xfId="0" applyNumberFormat="1" applyFont="1" applyFill="1" applyBorder="1" applyAlignment="1">
      <alignment horizontal="right" vertical="center" wrapText="1" indent="1"/>
    </xf>
    <xf numFmtId="0" fontId="6" fillId="37" borderId="14" xfId="0" applyNumberFormat="1" applyFont="1" applyFill="1" applyBorder="1" applyAlignment="1">
      <alignment horizontal="center" vertical="center" wrapText="1"/>
    </xf>
    <xf numFmtId="0" fontId="98" fillId="0" borderId="20" xfId="0" applyNumberFormat="1" applyFont="1" applyBorder="1" applyAlignment="1">
      <alignment horizontal="center" vertical="center" wrapText="1"/>
    </xf>
    <xf numFmtId="0" fontId="98" fillId="0" borderId="14"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6" fillId="37" borderId="37" xfId="0" applyNumberFormat="1" applyFont="1" applyFill="1" applyBorder="1" applyAlignment="1">
      <alignment horizontal="center" vertical="center" wrapText="1"/>
    </xf>
    <xf numFmtId="3" fontId="6" fillId="24" borderId="28" xfId="0" applyNumberFormat="1" applyFont="1" applyFill="1" applyBorder="1" applyAlignment="1">
      <alignment horizontal="center" vertical="center" wrapText="1"/>
    </xf>
    <xf numFmtId="0" fontId="6" fillId="0" borderId="13" xfId="0" applyFont="1" applyBorder="1" applyAlignment="1">
      <alignment horizontal="left" vertical="center" wrapText="1" indent="1"/>
    </xf>
    <xf numFmtId="0" fontId="6" fillId="0" borderId="17" xfId="0" applyFont="1" applyBorder="1" applyAlignment="1">
      <alignment horizontal="left" vertical="center" wrapText="1" indent="1"/>
    </xf>
    <xf numFmtId="3" fontId="6" fillId="35" borderId="13" xfId="0" applyNumberFormat="1" applyFont="1" applyFill="1" applyBorder="1" applyAlignment="1">
      <alignment horizontal="right" vertical="center" wrapText="1" indent="1"/>
    </xf>
    <xf numFmtId="3" fontId="6" fillId="35" borderId="13" xfId="0" applyNumberFormat="1" applyFont="1" applyFill="1" applyBorder="1" applyAlignment="1">
      <alignment horizontal="center" vertical="center" wrapText="1"/>
    </xf>
    <xf numFmtId="0" fontId="6" fillId="0" borderId="19"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42" borderId="13" xfId="0" applyFont="1" applyFill="1" applyBorder="1" applyAlignment="1">
      <alignment horizontal="left" vertical="top" wrapText="1" indent="1"/>
    </xf>
    <xf numFmtId="0" fontId="7" fillId="35" borderId="14" xfId="0" quotePrefix="1" applyFont="1" applyFill="1" applyBorder="1" applyAlignment="1">
      <alignment horizontal="left" vertical="center" wrapText="1" indent="1"/>
    </xf>
    <xf numFmtId="0" fontId="7" fillId="0" borderId="13" xfId="0" applyFont="1" applyBorder="1" applyAlignment="1">
      <alignment horizontal="left" vertical="center" wrapText="1" indent="1"/>
    </xf>
    <xf numFmtId="0" fontId="7" fillId="38" borderId="13" xfId="0" applyFont="1" applyFill="1" applyBorder="1" applyAlignment="1">
      <alignment horizontal="left" vertical="center" wrapText="1" indent="1"/>
    </xf>
    <xf numFmtId="0" fontId="7" fillId="46" borderId="13" xfId="0" applyFont="1" applyFill="1" applyBorder="1" applyAlignment="1">
      <alignment horizontal="left" vertical="center" wrapText="1" indent="1"/>
    </xf>
    <xf numFmtId="0" fontId="67" fillId="0" borderId="0" xfId="0" applyFont="1" applyAlignment="1">
      <alignment vertical="center" wrapText="1"/>
    </xf>
    <xf numFmtId="0" fontId="3" fillId="43" borderId="0" xfId="0" applyFont="1" applyFill="1" applyAlignment="1">
      <alignment vertical="center" wrapText="1"/>
    </xf>
    <xf numFmtId="0" fontId="2" fillId="0" borderId="13" xfId="0" applyFont="1" applyBorder="1" applyAlignment="1">
      <alignment horizontal="center" vertical="center" wrapText="1"/>
    </xf>
    <xf numFmtId="0" fontId="70" fillId="0" borderId="0" xfId="0" applyFont="1" applyAlignment="1">
      <alignment vertical="center" wrapText="1"/>
    </xf>
    <xf numFmtId="0" fontId="2" fillId="0" borderId="0" xfId="0" applyFont="1" applyAlignment="1">
      <alignment vertical="center" wrapText="1"/>
    </xf>
    <xf numFmtId="0" fontId="2" fillId="0" borderId="13" xfId="0" applyFont="1" applyBorder="1" applyAlignment="1">
      <alignment horizontal="left" vertical="center" wrapText="1" indent="1"/>
    </xf>
    <xf numFmtId="0" fontId="2" fillId="0" borderId="20" xfId="0" applyFont="1" applyBorder="1" applyAlignment="1">
      <alignment horizontal="center" vertical="center" wrapText="1"/>
    </xf>
    <xf numFmtId="0" fontId="2" fillId="0" borderId="55" xfId="0" applyFont="1" applyBorder="1" applyAlignment="1">
      <alignment horizontal="center" vertical="center" wrapText="1"/>
    </xf>
    <xf numFmtId="4" fontId="6" fillId="24" borderId="13" xfId="0" applyNumberFormat="1" applyFont="1" applyFill="1" applyBorder="1" applyAlignment="1">
      <alignment horizontal="right" vertical="center" wrapText="1" indent="1"/>
    </xf>
    <xf numFmtId="4" fontId="6" fillId="24" borderId="20" xfId="0" applyNumberFormat="1" applyFont="1" applyFill="1" applyBorder="1" applyAlignment="1">
      <alignment horizontal="right" vertical="center" wrapText="1" indent="1"/>
    </xf>
    <xf numFmtId="4" fontId="6" fillId="24" borderId="60" xfId="0" applyNumberFormat="1" applyFont="1" applyFill="1" applyBorder="1" applyAlignment="1">
      <alignment horizontal="right" vertical="center" wrapText="1" indent="1"/>
    </xf>
    <xf numFmtId="4" fontId="3" fillId="0" borderId="23" xfId="0" applyNumberFormat="1" applyFont="1" applyBorder="1" applyAlignment="1">
      <alignment vertical="center" wrapText="1"/>
    </xf>
    <xf numFmtId="4" fontId="3" fillId="0" borderId="25" xfId="0" applyNumberFormat="1" applyFont="1" applyBorder="1" applyAlignment="1">
      <alignment vertical="center" wrapText="1"/>
    </xf>
    <xf numFmtId="4" fontId="3" fillId="0" borderId="24" xfId="0" applyNumberFormat="1" applyFont="1" applyBorder="1" applyAlignment="1">
      <alignment vertical="center" wrapText="1"/>
    </xf>
    <xf numFmtId="0" fontId="3" fillId="0" borderId="13" xfId="0" applyFont="1" applyBorder="1" applyAlignment="1">
      <alignment horizontal="left" vertical="center" wrapText="1" indent="1"/>
    </xf>
    <xf numFmtId="4" fontId="3" fillId="35" borderId="13" xfId="27" applyNumberFormat="1" applyFont="1" applyFill="1" applyBorder="1" applyAlignment="1">
      <alignment horizontal="right" vertical="center" wrapText="1" indent="1"/>
    </xf>
    <xf numFmtId="4" fontId="3" fillId="0" borderId="15" xfId="0" applyNumberFormat="1" applyFont="1" applyBorder="1" applyAlignment="1">
      <alignment vertical="center" wrapText="1"/>
    </xf>
    <xf numFmtId="4" fontId="3" fillId="0" borderId="13" xfId="0" applyNumberFormat="1" applyFont="1" applyBorder="1" applyAlignment="1">
      <alignment vertical="center" wrapText="1"/>
    </xf>
    <xf numFmtId="4" fontId="3" fillId="0" borderId="14" xfId="0" applyNumberFormat="1" applyFont="1" applyBorder="1" applyAlignment="1">
      <alignment vertical="center" wrapText="1"/>
    </xf>
    <xf numFmtId="4" fontId="3" fillId="37" borderId="13" xfId="27" applyNumberFormat="1" applyFont="1" applyFill="1" applyBorder="1" applyAlignment="1">
      <alignment horizontal="right" vertical="center" wrapText="1" indent="1"/>
    </xf>
    <xf numFmtId="4" fontId="6" fillId="37" borderId="13" xfId="0" applyNumberFormat="1" applyFont="1" applyFill="1" applyBorder="1" applyAlignment="1">
      <alignment horizontal="right" vertical="center" wrapText="1" indent="1"/>
    </xf>
    <xf numFmtId="4" fontId="6" fillId="37" borderId="20" xfId="0" applyNumberFormat="1" applyFont="1" applyFill="1" applyBorder="1" applyAlignment="1">
      <alignment horizontal="right" vertical="center" wrapText="1" indent="1"/>
    </xf>
    <xf numFmtId="4" fontId="3" fillId="0" borderId="60"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38" xfId="0" applyNumberFormat="1" applyFont="1" applyBorder="1" applyAlignment="1">
      <alignment horizontal="center" vertical="center" wrapText="1"/>
    </xf>
    <xf numFmtId="4" fontId="3" fillId="0" borderId="60" xfId="0" applyNumberFormat="1" applyFont="1" applyBorder="1" applyAlignment="1">
      <alignment vertical="center" wrapText="1"/>
    </xf>
    <xf numFmtId="4" fontId="3" fillId="0" borderId="38" xfId="0" applyNumberFormat="1" applyFont="1" applyBorder="1" applyAlignment="1">
      <alignment vertical="center" wrapText="1"/>
    </xf>
    <xf numFmtId="0" fontId="2" fillId="0" borderId="17" xfId="0" applyFont="1" applyBorder="1" applyAlignment="1">
      <alignment horizontal="left" vertical="center" wrapText="1" indent="1"/>
    </xf>
    <xf numFmtId="4" fontId="6" fillId="24" borderId="28" xfId="0" applyNumberFormat="1" applyFont="1" applyFill="1" applyBorder="1" applyAlignment="1">
      <alignment horizontal="right" vertical="center" wrapText="1" indent="1"/>
    </xf>
    <xf numFmtId="4" fontId="6" fillId="24" borderId="75" xfId="0" applyNumberFormat="1" applyFont="1" applyFill="1" applyBorder="1" applyAlignment="1">
      <alignment horizontal="right" vertical="center" wrapText="1" indent="1"/>
    </xf>
    <xf numFmtId="4" fontId="3" fillId="0" borderId="16" xfId="0" applyNumberFormat="1" applyFont="1" applyBorder="1" applyAlignment="1">
      <alignment vertical="center" wrapText="1"/>
    </xf>
    <xf numFmtId="4" fontId="3" fillId="0" borderId="17" xfId="0" applyNumberFormat="1" applyFont="1" applyBorder="1" applyAlignment="1">
      <alignment vertical="center" wrapText="1"/>
    </xf>
    <xf numFmtId="4" fontId="3" fillId="0" borderId="18" xfId="0" applyNumberFormat="1" applyFont="1" applyBorder="1" applyAlignment="1">
      <alignment vertical="center" wrapText="1"/>
    </xf>
    <xf numFmtId="0" fontId="81" fillId="44" borderId="42" xfId="0" applyFont="1" applyFill="1" applyBorder="1" applyAlignment="1">
      <alignment horizontal="center" vertical="center" wrapText="1"/>
    </xf>
    <xf numFmtId="0" fontId="71" fillId="43" borderId="0" xfId="0" applyFont="1" applyFill="1" applyAlignment="1">
      <alignment vertical="center" wrapText="1"/>
    </xf>
    <xf numFmtId="0" fontId="2" fillId="0" borderId="12" xfId="0" applyFont="1" applyBorder="1" applyAlignment="1">
      <alignment horizontal="center" vertical="center" wrapText="1"/>
    </xf>
    <xf numFmtId="0" fontId="81" fillId="44" borderId="55" xfId="0" applyFont="1" applyFill="1" applyBorder="1" applyAlignment="1">
      <alignment horizontal="center" vertical="center" wrapText="1"/>
    </xf>
    <xf numFmtId="4" fontId="81" fillId="44" borderId="43" xfId="0" applyNumberFormat="1" applyFont="1" applyFill="1" applyBorder="1" applyAlignment="1">
      <alignment horizontal="right" vertical="center" wrapText="1" indent="1"/>
    </xf>
    <xf numFmtId="4" fontId="71" fillId="0" borderId="23" xfId="0" applyNumberFormat="1" applyFont="1" applyBorder="1" applyAlignment="1">
      <alignment vertical="center" wrapText="1"/>
    </xf>
    <xf numFmtId="4" fontId="71" fillId="0" borderId="25" xfId="0" applyNumberFormat="1" applyFont="1" applyBorder="1" applyAlignment="1">
      <alignment vertical="center" wrapText="1"/>
    </xf>
    <xf numFmtId="4" fontId="71" fillId="0" borderId="24" xfId="0" applyNumberFormat="1" applyFont="1" applyBorder="1" applyAlignment="1">
      <alignment vertical="center" wrapText="1"/>
    </xf>
    <xf numFmtId="4" fontId="71" fillId="0" borderId="15" xfId="0" applyNumberFormat="1" applyFont="1" applyBorder="1" applyAlignment="1">
      <alignment vertical="center" wrapText="1"/>
    </xf>
    <xf numFmtId="4" fontId="71" fillId="0" borderId="13" xfId="0" applyNumberFormat="1" applyFont="1" applyBorder="1" applyAlignment="1">
      <alignment vertical="center" wrapText="1"/>
    </xf>
    <xf numFmtId="4" fontId="71" fillId="0" borderId="14" xfId="0" applyNumberFormat="1" applyFont="1" applyBorder="1" applyAlignment="1">
      <alignment vertical="center" wrapText="1"/>
    </xf>
    <xf numFmtId="4" fontId="71" fillId="0" borderId="60" xfId="0" applyNumberFormat="1" applyFont="1" applyBorder="1" applyAlignment="1">
      <alignment horizontal="center" vertical="center" wrapText="1"/>
    </xf>
    <xf numFmtId="4" fontId="71" fillId="0" borderId="13" xfId="0" applyNumberFormat="1" applyFont="1" applyBorder="1" applyAlignment="1">
      <alignment horizontal="center" vertical="center" wrapText="1"/>
    </xf>
    <xf numFmtId="4" fontId="71" fillId="0" borderId="38" xfId="0" applyNumberFormat="1" applyFont="1" applyBorder="1" applyAlignment="1">
      <alignment horizontal="center" vertical="center" wrapText="1"/>
    </xf>
    <xf numFmtId="4" fontId="71" fillId="0" borderId="60" xfId="0" applyNumberFormat="1" applyFont="1" applyBorder="1" applyAlignment="1">
      <alignment vertical="center" wrapText="1"/>
    </xf>
    <xf numFmtId="4" fontId="71" fillId="0" borderId="38" xfId="0" applyNumberFormat="1" applyFont="1" applyBorder="1" applyAlignment="1">
      <alignment vertical="center" wrapText="1"/>
    </xf>
    <xf numFmtId="4" fontId="81" fillId="44" borderId="54" xfId="0" applyNumberFormat="1" applyFont="1" applyFill="1" applyBorder="1" applyAlignment="1">
      <alignment horizontal="right" vertical="center" wrapText="1" indent="1"/>
    </xf>
    <xf numFmtId="4" fontId="71" fillId="0" borderId="16" xfId="0" applyNumberFormat="1" applyFont="1" applyBorder="1" applyAlignment="1">
      <alignment vertical="center" wrapText="1"/>
    </xf>
    <xf numFmtId="4" fontId="71" fillId="0" borderId="17" xfId="0" applyNumberFormat="1" applyFont="1" applyBorder="1" applyAlignment="1">
      <alignment vertical="center" wrapText="1"/>
    </xf>
    <xf numFmtId="4" fontId="71" fillId="0" borderId="18" xfId="0" applyNumberFormat="1" applyFont="1" applyBorder="1" applyAlignment="1">
      <alignment vertical="center" wrapText="1"/>
    </xf>
    <xf numFmtId="4" fontId="2" fillId="24" borderId="17" xfId="0" applyNumberFormat="1" applyFont="1" applyFill="1" applyBorder="1" applyAlignment="1">
      <alignment horizontal="right" vertical="center" wrapText="1" indent="1"/>
    </xf>
    <xf numFmtId="0" fontId="7" fillId="0" borderId="0" xfId="90" applyFont="1"/>
    <xf numFmtId="0" fontId="3" fillId="0" borderId="0" xfId="90" applyFont="1"/>
    <xf numFmtId="0" fontId="2" fillId="0" borderId="15" xfId="90" applyFont="1" applyBorder="1" applyAlignment="1">
      <alignment horizontal="center" vertical="center" wrapText="1"/>
    </xf>
    <xf numFmtId="49" fontId="2" fillId="0" borderId="13" xfId="90" applyNumberFormat="1" applyFont="1" applyBorder="1" applyAlignment="1">
      <alignment horizontal="center" vertical="center" wrapText="1"/>
    </xf>
    <xf numFmtId="0" fontId="2" fillId="0" borderId="13" xfId="90" applyFont="1" applyBorder="1" applyAlignment="1">
      <alignment horizontal="center" vertical="center" wrapText="1"/>
    </xf>
    <xf numFmtId="0" fontId="2" fillId="0" borderId="14" xfId="90" applyFont="1" applyBorder="1" applyAlignment="1">
      <alignment horizontal="center" vertical="center" wrapText="1"/>
    </xf>
    <xf numFmtId="0" fontId="3" fillId="0" borderId="15" xfId="90" applyFont="1" applyBorder="1" applyAlignment="1">
      <alignment horizontal="center" wrapText="1"/>
    </xf>
    <xf numFmtId="49" fontId="2" fillId="0" borderId="13" xfId="90" applyNumberFormat="1" applyFont="1" applyBorder="1" applyAlignment="1">
      <alignment vertical="top" wrapText="1"/>
    </xf>
    <xf numFmtId="3" fontId="3" fillId="0" borderId="13" xfId="90" applyNumberFormat="1" applyFont="1" applyFill="1" applyBorder="1" applyAlignment="1">
      <alignment horizontal="center" wrapText="1"/>
    </xf>
    <xf numFmtId="3" fontId="3" fillId="0" borderId="38" xfId="90" applyNumberFormat="1" applyFont="1" applyFill="1" applyBorder="1" applyAlignment="1">
      <alignment horizontal="center" wrapText="1"/>
    </xf>
    <xf numFmtId="0" fontId="3" fillId="0" borderId="15" xfId="90" applyFont="1" applyBorder="1" applyAlignment="1">
      <alignment horizontal="center" vertical="center" wrapText="1"/>
    </xf>
    <xf numFmtId="49" fontId="2" fillId="0" borderId="13" xfId="90" applyNumberFormat="1" applyFont="1" applyBorder="1" applyAlignment="1">
      <alignment horizontal="left" vertical="center" wrapText="1" indent="1"/>
    </xf>
    <xf numFmtId="3" fontId="6" fillId="24" borderId="13" xfId="90" applyNumberFormat="1" applyFont="1" applyFill="1" applyBorder="1" applyAlignment="1">
      <alignment horizontal="right" vertical="center" wrapText="1" indent="1"/>
    </xf>
    <xf numFmtId="3" fontId="6" fillId="24" borderId="38" xfId="90" applyNumberFormat="1" applyFont="1" applyFill="1" applyBorder="1" applyAlignment="1">
      <alignment horizontal="right" vertical="center" wrapText="1" indent="1"/>
    </xf>
    <xf numFmtId="49" fontId="3" fillId="0" borderId="13" xfId="90" applyNumberFormat="1" applyFont="1" applyBorder="1" applyAlignment="1">
      <alignment horizontal="left" vertical="center" wrapText="1" indent="1"/>
    </xf>
    <xf numFmtId="3" fontId="3" fillId="35" borderId="13" xfId="90" applyNumberFormat="1" applyFont="1" applyFill="1" applyBorder="1" applyAlignment="1">
      <alignment horizontal="right" vertical="center" wrapText="1" indent="1"/>
    </xf>
    <xf numFmtId="3" fontId="3" fillId="35" borderId="38" xfId="90" applyNumberFormat="1" applyFont="1" applyFill="1" applyBorder="1" applyAlignment="1">
      <alignment horizontal="right" vertical="center" wrapText="1" indent="1"/>
    </xf>
    <xf numFmtId="3" fontId="3" fillId="24" borderId="13" xfId="90" applyNumberFormat="1" applyFont="1" applyFill="1" applyBorder="1" applyAlignment="1">
      <alignment horizontal="right" vertical="center" wrapText="1" indent="1"/>
    </xf>
    <xf numFmtId="3" fontId="3" fillId="24" borderId="38" xfId="90" applyNumberFormat="1" applyFont="1" applyFill="1" applyBorder="1" applyAlignment="1">
      <alignment horizontal="right" vertical="center" wrapText="1" indent="1"/>
    </xf>
    <xf numFmtId="3" fontId="6" fillId="35" borderId="13" xfId="90" applyNumberFormat="1" applyFont="1" applyFill="1" applyBorder="1" applyAlignment="1">
      <alignment horizontal="right" vertical="center" wrapText="1" indent="1"/>
    </xf>
    <xf numFmtId="3" fontId="6" fillId="35" borderId="38" xfId="90" applyNumberFormat="1" applyFont="1" applyFill="1" applyBorder="1" applyAlignment="1">
      <alignment horizontal="right" vertical="center" wrapText="1" indent="1"/>
    </xf>
    <xf numFmtId="49" fontId="7" fillId="0" borderId="13" xfId="90" applyNumberFormat="1" applyFont="1" applyBorder="1" applyAlignment="1">
      <alignment horizontal="left" vertical="center" wrapText="1" indent="1"/>
    </xf>
    <xf numFmtId="3" fontId="3" fillId="0" borderId="13" xfId="90" applyNumberFormat="1" applyFont="1" applyFill="1" applyBorder="1" applyAlignment="1">
      <alignment horizontal="right" vertical="center" wrapText="1" indent="1"/>
    </xf>
    <xf numFmtId="3" fontId="3" fillId="0" borderId="38" xfId="90" applyNumberFormat="1" applyFont="1" applyFill="1" applyBorder="1" applyAlignment="1">
      <alignment horizontal="right" vertical="center" wrapText="1" indent="1"/>
    </xf>
    <xf numFmtId="49" fontId="3" fillId="0" borderId="13" xfId="90" applyNumberFormat="1" applyFont="1" applyFill="1" applyBorder="1" applyAlignment="1">
      <alignment horizontal="left" vertical="center" wrapText="1" indent="1"/>
    </xf>
    <xf numFmtId="0" fontId="69" fillId="0" borderId="15" xfId="90" applyFont="1" applyFill="1" applyBorder="1" applyAlignment="1">
      <alignment horizontal="center" vertical="center" wrapText="1"/>
    </xf>
    <xf numFmtId="49" fontId="69" fillId="36" borderId="13" xfId="90" applyNumberFormat="1" applyFont="1" applyFill="1" applyBorder="1" applyAlignment="1">
      <alignment horizontal="left" vertical="center" wrapText="1" indent="1"/>
    </xf>
    <xf numFmtId="3" fontId="7" fillId="35" borderId="13" xfId="90" applyNumberFormat="1" applyFont="1" applyFill="1" applyBorder="1" applyAlignment="1">
      <alignment horizontal="right" vertical="center" wrapText="1" indent="1"/>
    </xf>
    <xf numFmtId="3" fontId="7" fillId="35" borderId="38" xfId="90" applyNumberFormat="1" applyFont="1" applyFill="1" applyBorder="1" applyAlignment="1">
      <alignment horizontal="right" vertical="center" wrapText="1" indent="1"/>
    </xf>
    <xf numFmtId="0" fontId="3" fillId="0" borderId="15" xfId="90" applyFont="1" applyFill="1" applyBorder="1" applyAlignment="1">
      <alignment horizontal="center" vertical="center" wrapText="1"/>
    </xf>
    <xf numFmtId="0" fontId="3" fillId="0" borderId="16" xfId="90" applyFont="1" applyFill="1" applyBorder="1" applyAlignment="1">
      <alignment horizontal="center" vertical="center" wrapText="1"/>
    </xf>
    <xf numFmtId="49" fontId="2" fillId="0" borderId="17" xfId="90" applyNumberFormat="1" applyFont="1" applyBorder="1" applyAlignment="1">
      <alignment horizontal="left" vertical="center" wrapText="1" indent="1"/>
    </xf>
    <xf numFmtId="3" fontId="6" fillId="24" borderId="17" xfId="90" applyNumberFormat="1" applyFont="1" applyFill="1" applyBorder="1" applyAlignment="1">
      <alignment horizontal="right" vertical="center" wrapText="1" indent="1"/>
    </xf>
    <xf numFmtId="0" fontId="3" fillId="0" borderId="0" xfId="90" applyFont="1" applyFill="1" applyBorder="1" applyAlignment="1">
      <alignment horizontal="center" vertical="center" wrapText="1"/>
    </xf>
    <xf numFmtId="49" fontId="2" fillId="0" borderId="0" xfId="90" applyNumberFormat="1" applyFont="1" applyFill="1" applyBorder="1" applyAlignment="1">
      <alignment horizontal="left" vertical="top" wrapText="1" indent="1"/>
    </xf>
    <xf numFmtId="3" fontId="6" fillId="0" borderId="0" xfId="90" applyNumberFormat="1" applyFont="1" applyFill="1" applyBorder="1" applyAlignment="1">
      <alignment horizontal="right" vertical="center" wrapText="1" indent="1"/>
    </xf>
    <xf numFmtId="49" fontId="3" fillId="0" borderId="0" xfId="90" applyNumberFormat="1" applyFont="1"/>
    <xf numFmtId="0" fontId="105" fillId="0" borderId="13" xfId="42" applyNumberFormat="1" applyFont="1" applyBorder="1" applyAlignment="1">
      <alignment horizontal="left" vertical="center" wrapText="1" indent="1"/>
    </xf>
    <xf numFmtId="0" fontId="106" fillId="0" borderId="13" xfId="42" applyNumberFormat="1" applyFont="1" applyBorder="1" applyAlignment="1">
      <alignment horizontal="left" vertical="center" wrapText="1" indent="1"/>
    </xf>
    <xf numFmtId="3" fontId="6" fillId="35" borderId="19" xfId="42" applyNumberFormat="1" applyFont="1" applyFill="1" applyBorder="1" applyAlignment="1">
      <alignment horizontal="center" vertical="center" wrapText="1"/>
    </xf>
    <xf numFmtId="3" fontId="106" fillId="35" borderId="13" xfId="42" applyNumberFormat="1" applyFont="1" applyFill="1" applyBorder="1" applyAlignment="1">
      <alignment horizontal="center" vertical="center" wrapText="1"/>
    </xf>
    <xf numFmtId="3" fontId="68" fillId="35" borderId="13" xfId="42" applyNumberFormat="1" applyFont="1" applyFill="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2" fontId="6" fillId="24" borderId="13" xfId="0" applyNumberFormat="1" applyFont="1" applyFill="1" applyBorder="1" applyAlignment="1">
      <alignment horizontal="right" vertical="center" wrapText="1" indent="1"/>
    </xf>
    <xf numFmtId="2" fontId="3" fillId="35" borderId="13" xfId="0" applyNumberFormat="1" applyFont="1" applyFill="1" applyBorder="1" applyAlignment="1">
      <alignment vertical="center" wrapText="1"/>
    </xf>
    <xf numFmtId="2" fontId="3" fillId="35" borderId="13" xfId="0" applyNumberFormat="1" applyFont="1" applyFill="1" applyBorder="1" applyAlignment="1">
      <alignment vertical="center"/>
    </xf>
    <xf numFmtId="2" fontId="6" fillId="24" borderId="13" xfId="0" applyNumberFormat="1" applyFont="1" applyFill="1" applyBorder="1" applyAlignment="1">
      <alignment vertical="center" wrapText="1"/>
    </xf>
    <xf numFmtId="2" fontId="3" fillId="35" borderId="13" xfId="0" applyNumberFormat="1" applyFont="1" applyFill="1" applyBorder="1" applyAlignment="1">
      <alignment horizontal="center" vertical="center" wrapText="1"/>
    </xf>
    <xf numFmtId="2" fontId="3" fillId="0" borderId="19" xfId="0" applyNumberFormat="1" applyFont="1" applyFill="1" applyBorder="1" applyAlignment="1">
      <alignment vertical="center" wrapText="1"/>
    </xf>
    <xf numFmtId="2" fontId="3" fillId="35" borderId="19" xfId="0" applyNumberFormat="1" applyFont="1" applyFill="1" applyBorder="1" applyAlignment="1">
      <alignment vertical="center" wrapText="1"/>
    </xf>
    <xf numFmtId="2" fontId="6" fillId="24" borderId="17" xfId="0" applyNumberFormat="1" applyFont="1" applyFill="1" applyBorder="1" applyAlignment="1">
      <alignment horizontal="right" vertical="center" wrapText="1" indent="1"/>
    </xf>
    <xf numFmtId="2" fontId="6" fillId="24" borderId="13" xfId="89" applyNumberFormat="1" applyFont="1" applyFill="1" applyBorder="1" applyAlignment="1">
      <alignment horizontal="right" vertical="center" wrapText="1" indent="1"/>
    </xf>
    <xf numFmtId="2" fontId="3" fillId="35" borderId="13" xfId="89" applyNumberFormat="1" applyFont="1" applyFill="1" applyBorder="1" applyAlignment="1">
      <alignment horizontal="right" vertical="center" wrapText="1" indent="1"/>
    </xf>
    <xf numFmtId="2" fontId="2" fillId="0" borderId="13" xfId="89" applyNumberFormat="1" applyFont="1" applyFill="1" applyBorder="1" applyAlignment="1">
      <alignment horizontal="center" vertical="center" wrapText="1"/>
    </xf>
    <xf numFmtId="2" fontId="6" fillId="35" borderId="13" xfId="89" applyNumberFormat="1" applyFont="1" applyFill="1" applyBorder="1" applyAlignment="1">
      <alignment horizontal="right" vertical="center" wrapText="1" indent="1"/>
    </xf>
    <xf numFmtId="2" fontId="3" fillId="35" borderId="13" xfId="89" applyNumberFormat="1" applyFont="1" applyFill="1" applyBorder="1" applyAlignment="1">
      <alignment horizontal="right" vertical="center" wrapText="1"/>
    </xf>
    <xf numFmtId="2" fontId="6" fillId="24" borderId="17" xfId="89" applyNumberFormat="1" applyFont="1" applyFill="1" applyBorder="1" applyAlignment="1">
      <alignment horizontal="right" vertical="center" wrapText="1" indent="1"/>
    </xf>
    <xf numFmtId="4" fontId="6" fillId="24" borderId="38" xfId="0" applyNumberFormat="1" applyFont="1" applyFill="1" applyBorder="1" applyAlignment="1">
      <alignment horizontal="right" vertical="center" wrapText="1" indent="1"/>
    </xf>
    <xf numFmtId="1" fontId="3" fillId="35" borderId="38" xfId="0" applyNumberFormat="1" applyFont="1" applyFill="1" applyBorder="1" applyAlignment="1">
      <alignment horizontal="right" vertical="center" wrapText="1" indent="1"/>
    </xf>
    <xf numFmtId="4" fontId="6" fillId="24" borderId="39" xfId="90" applyNumberFormat="1" applyFont="1" applyFill="1" applyBorder="1" applyAlignment="1">
      <alignment horizontal="right" vertical="center" wrapText="1" indent="1"/>
    </xf>
    <xf numFmtId="0" fontId="6" fillId="0" borderId="0" xfId="90" applyFont="1"/>
    <xf numFmtId="3" fontId="7" fillId="35" borderId="14" xfId="90" applyNumberFormat="1" applyFont="1" applyFill="1" applyBorder="1" applyAlignment="1">
      <alignment horizontal="right" vertical="center" wrapText="1" indent="1"/>
    </xf>
    <xf numFmtId="3" fontId="2" fillId="35" borderId="13" xfId="90" applyNumberFormat="1" applyFont="1" applyFill="1" applyBorder="1" applyAlignment="1">
      <alignment horizontal="right" vertical="center" wrapText="1" indent="1"/>
    </xf>
    <xf numFmtId="3" fontId="2" fillId="35" borderId="14" xfId="90" applyNumberFormat="1" applyFont="1" applyFill="1" applyBorder="1" applyAlignment="1">
      <alignment horizontal="right" vertical="center" wrapText="1" indent="1"/>
    </xf>
    <xf numFmtId="3" fontId="67" fillId="0" borderId="0" xfId="44" applyNumberFormat="1" applyFont="1" applyBorder="1" applyAlignment="1">
      <alignment vertical="center" wrapText="1"/>
    </xf>
    <xf numFmtId="0" fontId="94" fillId="0" borderId="0" xfId="0" applyFont="1" applyAlignment="1">
      <alignment vertical="center" wrapText="1"/>
    </xf>
    <xf numFmtId="4" fontId="2" fillId="35" borderId="14" xfId="0" applyNumberFormat="1" applyFont="1" applyFill="1" applyBorder="1" applyAlignment="1">
      <alignment horizontal="right" vertical="center" wrapText="1" indent="1"/>
    </xf>
    <xf numFmtId="4" fontId="2" fillId="24" borderId="14" xfId="0" applyNumberFormat="1" applyFont="1" applyFill="1" applyBorder="1" applyAlignment="1">
      <alignment horizontal="right" vertical="center" wrapText="1" indent="1"/>
    </xf>
    <xf numFmtId="4" fontId="7" fillId="35" borderId="14" xfId="0" applyNumberFormat="1" applyFont="1" applyFill="1" applyBorder="1" applyAlignment="1">
      <alignment horizontal="right" vertical="center" wrapText="1" indent="1"/>
    </xf>
    <xf numFmtId="4" fontId="2" fillId="24" borderId="18" xfId="0" applyNumberFormat="1" applyFont="1" applyFill="1" applyBorder="1" applyAlignment="1">
      <alignment horizontal="right" vertical="center" wrapText="1" indent="1"/>
    </xf>
    <xf numFmtId="4" fontId="67" fillId="0" borderId="0" xfId="44" applyNumberFormat="1" applyFont="1" applyBorder="1" applyAlignment="1">
      <alignment vertical="center" wrapText="1"/>
    </xf>
    <xf numFmtId="2" fontId="97" fillId="0" borderId="0" xfId="89" applyNumberFormat="1" applyFont="1"/>
    <xf numFmtId="3" fontId="0" fillId="0" borderId="0" xfId="0" applyNumberFormat="1" applyBorder="1"/>
    <xf numFmtId="3" fontId="1" fillId="0" borderId="0" xfId="0" applyNumberFormat="1" applyFont="1" applyBorder="1"/>
    <xf numFmtId="0" fontId="69" fillId="0" borderId="0" xfId="90" applyFont="1"/>
    <xf numFmtId="3" fontId="3" fillId="0" borderId="0" xfId="90" applyNumberFormat="1" applyFont="1"/>
    <xf numFmtId="2" fontId="3" fillId="0" borderId="0" xfId="0" applyNumberFormat="1" applyFont="1" applyAlignment="1">
      <alignment vertical="center"/>
    </xf>
    <xf numFmtId="4" fontId="3" fillId="24" borderId="38" xfId="90" applyNumberFormat="1" applyFont="1" applyFill="1" applyBorder="1" applyAlignment="1">
      <alignment horizontal="right" vertical="center" wrapText="1" indent="1"/>
    </xf>
    <xf numFmtId="49" fontId="69" fillId="0" borderId="0" xfId="89" applyNumberFormat="1" applyFont="1" applyAlignment="1">
      <alignment horizontal="left" wrapText="1"/>
    </xf>
    <xf numFmtId="2" fontId="95" fillId="0" borderId="0" xfId="89" applyNumberFormat="1" applyFont="1"/>
    <xf numFmtId="4" fontId="3" fillId="0" borderId="0" xfId="0" applyNumberFormat="1" applyFont="1" applyAlignment="1">
      <alignment vertical="center" wrapText="1"/>
    </xf>
    <xf numFmtId="3" fontId="7" fillId="35" borderId="37" xfId="91" applyNumberFormat="1" applyFont="1" applyFill="1" applyBorder="1" applyAlignment="1">
      <alignment horizontal="right" vertical="center" wrapText="1" indent="1"/>
    </xf>
    <xf numFmtId="3" fontId="7" fillId="35" borderId="20" xfId="91" applyNumberFormat="1" applyFont="1" applyFill="1" applyBorder="1" applyAlignment="1">
      <alignment horizontal="right" vertical="center" wrapText="1" indent="1"/>
    </xf>
    <xf numFmtId="3" fontId="7" fillId="48" borderId="20" xfId="91" applyNumberFormat="1" applyFont="1" applyFill="1" applyBorder="1" applyAlignment="1">
      <alignment horizontal="right" vertical="center" wrapText="1" indent="1"/>
    </xf>
    <xf numFmtId="3" fontId="7" fillId="35" borderId="35" xfId="91" applyNumberFormat="1" applyFont="1" applyFill="1" applyBorder="1" applyAlignment="1">
      <alignment horizontal="right" vertical="center" wrapText="1" indent="1"/>
    </xf>
    <xf numFmtId="3" fontId="7" fillId="35" borderId="46" xfId="91" applyNumberFormat="1" applyFont="1" applyFill="1" applyBorder="1" applyAlignment="1">
      <alignment horizontal="right" vertical="center" wrapText="1" indent="1"/>
    </xf>
    <xf numFmtId="4" fontId="3" fillId="35" borderId="13" xfId="42" applyNumberFormat="1" applyFont="1" applyFill="1" applyBorder="1" applyAlignment="1">
      <alignment horizontal="center" vertical="center" wrapText="1"/>
    </xf>
    <xf numFmtId="4" fontId="3" fillId="35" borderId="13" xfId="42" applyNumberFormat="1" applyFont="1" applyFill="1" applyBorder="1" applyAlignment="1">
      <alignment horizontal="right" vertical="center" wrapText="1" indent="1"/>
    </xf>
    <xf numFmtId="4" fontId="3" fillId="35" borderId="19" xfId="42" applyNumberFormat="1" applyFont="1" applyFill="1" applyBorder="1" applyAlignment="1">
      <alignment horizontal="center" vertical="center" wrapText="1"/>
    </xf>
    <xf numFmtId="4" fontId="68" fillId="35" borderId="13" xfId="42" applyNumberFormat="1" applyFont="1" applyFill="1" applyBorder="1" applyAlignment="1">
      <alignment horizontal="right" vertical="center" wrapText="1" indent="1"/>
    </xf>
    <xf numFmtId="4" fontId="6" fillId="24" borderId="13" xfId="42" applyNumberFormat="1" applyFont="1" applyFill="1" applyBorder="1" applyAlignment="1">
      <alignment horizontal="right" vertical="center" wrapText="1" indent="1"/>
    </xf>
    <xf numFmtId="4" fontId="2" fillId="24" borderId="17" xfId="42" applyNumberFormat="1" applyFont="1" applyFill="1" applyBorder="1" applyAlignment="1">
      <alignment horizontal="right" vertical="center" wrapText="1" indent="1"/>
    </xf>
    <xf numFmtId="4" fontId="3" fillId="35" borderId="19" xfId="42" applyNumberFormat="1" applyFont="1" applyFill="1" applyBorder="1" applyAlignment="1">
      <alignment horizontal="right" vertical="center" wrapText="1" indent="1"/>
    </xf>
    <xf numFmtId="4" fontId="6" fillId="47" borderId="13" xfId="42" applyNumberFormat="1" applyFont="1" applyFill="1" applyBorder="1" applyAlignment="1">
      <alignment horizontal="right" vertical="center" wrapText="1" indent="1"/>
    </xf>
    <xf numFmtId="4" fontId="6" fillId="47" borderId="14" xfId="42" applyNumberFormat="1" applyFont="1" applyFill="1" applyBorder="1" applyAlignment="1">
      <alignment horizontal="right" vertical="center" wrapText="1" indent="1"/>
    </xf>
    <xf numFmtId="4" fontId="6" fillId="24" borderId="14" xfId="42" applyNumberFormat="1" applyFont="1" applyFill="1" applyBorder="1" applyAlignment="1">
      <alignment horizontal="right" vertical="center" wrapText="1" indent="1"/>
    </xf>
    <xf numFmtId="4" fontId="6" fillId="47" borderId="14" xfId="42" applyNumberFormat="1" applyFont="1" applyFill="1" applyBorder="1" applyAlignment="1">
      <alignment horizontal="center" vertical="center" wrapText="1"/>
    </xf>
    <xf numFmtId="4" fontId="6" fillId="47" borderId="13" xfId="42" applyNumberFormat="1" applyFont="1" applyFill="1" applyBorder="1" applyAlignment="1">
      <alignment horizontal="center" vertical="center" wrapText="1"/>
    </xf>
    <xf numFmtId="4" fontId="3" fillId="47" borderId="19" xfId="42" applyNumberFormat="1" applyFont="1" applyFill="1" applyBorder="1" applyAlignment="1">
      <alignment horizontal="right" vertical="center" wrapText="1"/>
    </xf>
    <xf numFmtId="4" fontId="3" fillId="47" borderId="26" xfId="42" applyNumberFormat="1" applyFont="1" applyFill="1" applyBorder="1" applyAlignment="1">
      <alignment horizontal="center" vertical="center" wrapText="1"/>
    </xf>
    <xf numFmtId="4" fontId="3" fillId="47" borderId="19" xfId="42" applyNumberFormat="1" applyFont="1" applyFill="1" applyBorder="1" applyAlignment="1">
      <alignment horizontal="center" vertical="center" wrapText="1"/>
    </xf>
    <xf numFmtId="4" fontId="3" fillId="47" borderId="26" xfId="42" applyNumberFormat="1" applyFont="1" applyFill="1" applyBorder="1" applyAlignment="1">
      <alignment horizontal="right" vertical="center" wrapText="1" indent="1"/>
    </xf>
    <xf numFmtId="4" fontId="3" fillId="47" borderId="19" xfId="42" applyNumberFormat="1" applyFont="1" applyFill="1" applyBorder="1" applyAlignment="1">
      <alignment horizontal="right" vertical="center" wrapText="1" indent="1"/>
    </xf>
    <xf numFmtId="4" fontId="2" fillId="24" borderId="18" xfId="42" applyNumberFormat="1" applyFont="1" applyFill="1" applyBorder="1" applyAlignment="1">
      <alignment horizontal="right" vertical="center" wrapText="1" indent="1"/>
    </xf>
    <xf numFmtId="0" fontId="108" fillId="0" borderId="0" xfId="0" applyFont="1"/>
    <xf numFmtId="0" fontId="1" fillId="0" borderId="0" xfId="0" applyFont="1" applyAlignment="1">
      <alignment wrapText="1"/>
    </xf>
    <xf numFmtId="0" fontId="3" fillId="0" borderId="0" xfId="0" applyFont="1" applyAlignment="1">
      <alignment horizontal="left" wrapText="1"/>
    </xf>
    <xf numFmtId="0" fontId="79" fillId="0" borderId="0" xfId="0" applyFont="1" applyAlignment="1">
      <alignment horizontal="left" vertical="center" wrapText="1"/>
    </xf>
    <xf numFmtId="0" fontId="107" fillId="0" borderId="0" xfId="0" applyFont="1" applyBorder="1" applyAlignment="1">
      <alignment horizontal="left" vertical="center" wrapText="1"/>
    </xf>
    <xf numFmtId="0" fontId="1" fillId="0" borderId="88" xfId="0" applyFont="1" applyBorder="1" applyAlignment="1">
      <alignment vertical="top" wrapText="1"/>
    </xf>
    <xf numFmtId="0" fontId="0" fillId="0" borderId="88" xfId="0" applyBorder="1" applyAlignment="1">
      <alignment vertical="top" wrapText="1"/>
    </xf>
    <xf numFmtId="0" fontId="0" fillId="0" borderId="88" xfId="0" applyBorder="1" applyAlignment="1">
      <alignment vertical="top"/>
    </xf>
    <xf numFmtId="0" fontId="1" fillId="0" borderId="88" xfId="0" applyFont="1" applyBorder="1" applyAlignment="1">
      <alignment vertical="top"/>
    </xf>
    <xf numFmtId="4" fontId="0" fillId="0" borderId="88" xfId="0" applyNumberFormat="1" applyBorder="1" applyAlignment="1">
      <alignment vertical="top"/>
    </xf>
    <xf numFmtId="0" fontId="0" fillId="0" borderId="89" xfId="0" applyBorder="1" applyAlignment="1">
      <alignment vertical="top"/>
    </xf>
    <xf numFmtId="0" fontId="0" fillId="0" borderId="90" xfId="0" applyBorder="1" applyAlignment="1">
      <alignment vertical="top"/>
    </xf>
    <xf numFmtId="0" fontId="0" fillId="0" borderId="91" xfId="0" applyBorder="1" applyAlignment="1">
      <alignment vertical="top"/>
    </xf>
    <xf numFmtId="4" fontId="0" fillId="0" borderId="90" xfId="0" applyNumberFormat="1" applyBorder="1" applyAlignment="1">
      <alignment vertical="top"/>
    </xf>
    <xf numFmtId="4" fontId="3" fillId="0" borderId="0" xfId="0" applyNumberFormat="1" applyFont="1" applyFill="1" applyBorder="1"/>
    <xf numFmtId="3" fontId="22" fillId="0" borderId="0" xfId="0" applyNumberFormat="1" applyFont="1" applyFill="1" applyBorder="1" applyAlignment="1">
      <alignment vertical="center"/>
    </xf>
    <xf numFmtId="2" fontId="3" fillId="0" borderId="0" xfId="0" applyNumberFormat="1" applyFont="1" applyFill="1" applyBorder="1"/>
    <xf numFmtId="0" fontId="27" fillId="0" borderId="0" xfId="0" applyFont="1" applyAlignment="1">
      <alignment horizontal="left" vertical="center"/>
    </xf>
    <xf numFmtId="4" fontId="69" fillId="35" borderId="13" xfId="42" applyNumberFormat="1" applyFont="1" applyFill="1" applyBorder="1" applyAlignment="1">
      <alignment horizontal="center" vertical="center" wrapText="1"/>
    </xf>
    <xf numFmtId="3" fontId="69" fillId="35" borderId="13" xfId="42" applyNumberFormat="1" applyFont="1" applyFill="1" applyBorder="1" applyAlignment="1">
      <alignment horizontal="center" vertical="center" wrapText="1"/>
    </xf>
    <xf numFmtId="4" fontId="69" fillId="35" borderId="13" xfId="42" applyNumberFormat="1" applyFont="1" applyFill="1" applyBorder="1" applyAlignment="1">
      <alignment horizontal="right" vertical="center" wrapText="1" indent="1"/>
    </xf>
    <xf numFmtId="3" fontId="75" fillId="0" borderId="0" xfId="0" applyNumberFormat="1" applyFont="1" applyFill="1" applyAlignment="1">
      <alignment horizontal="left" vertical="center" wrapText="1"/>
    </xf>
    <xf numFmtId="3" fontId="3" fillId="0" borderId="0" xfId="0" applyNumberFormat="1" applyFont="1"/>
    <xf numFmtId="3" fontId="96" fillId="0" borderId="0" xfId="0" applyNumberFormat="1" applyFont="1"/>
    <xf numFmtId="3" fontId="0" fillId="0" borderId="0" xfId="0" applyNumberFormat="1"/>
    <xf numFmtId="3" fontId="3" fillId="0" borderId="0" xfId="0" applyNumberFormat="1" applyFont="1" applyAlignment="1">
      <alignment vertical="center" wrapText="1"/>
    </xf>
    <xf numFmtId="0" fontId="69" fillId="0" borderId="0" xfId="0" applyFont="1" applyAlignment="1">
      <alignment horizontal="center" vertical="center" wrapText="1"/>
    </xf>
    <xf numFmtId="0" fontId="78" fillId="0" borderId="0" xfId="0" applyFont="1" applyAlignment="1">
      <alignment vertical="center"/>
    </xf>
    <xf numFmtId="49" fontId="78" fillId="0" borderId="0" xfId="0" applyNumberFormat="1" applyFont="1" applyBorder="1" applyAlignment="1">
      <alignment wrapText="1"/>
    </xf>
    <xf numFmtId="0" fontId="109" fillId="0" borderId="0" xfId="89" applyFont="1" applyAlignment="1">
      <alignment horizontal="left" wrapText="1"/>
    </xf>
    <xf numFmtId="0" fontId="79" fillId="0" borderId="0" xfId="43" applyFont="1" applyAlignment="1">
      <alignment vertical="center" wrapText="1"/>
    </xf>
    <xf numFmtId="0" fontId="78" fillId="0" borderId="0" xfId="0" applyFont="1" applyAlignment="1">
      <alignment vertical="center" wrapText="1"/>
    </xf>
    <xf numFmtId="0" fontId="78" fillId="0" borderId="0" xfId="0" applyFont="1" applyBorder="1" applyAlignment="1">
      <alignment vertical="center" wrapText="1"/>
    </xf>
    <xf numFmtId="0" fontId="78" fillId="0" borderId="0" xfId="0" applyFont="1" applyFill="1" applyAlignment="1">
      <alignment vertical="center" wrapText="1"/>
    </xf>
    <xf numFmtId="0" fontId="3" fillId="0" borderId="0" xfId="39" applyFont="1" applyFill="1" applyBorder="1" applyAlignment="1">
      <alignment vertical="center" wrapText="1"/>
    </xf>
    <xf numFmtId="0" fontId="3" fillId="0" borderId="0" xfId="0" applyFont="1" applyFill="1" applyBorder="1" applyAlignment="1">
      <alignment vertical="center" wrapText="1"/>
    </xf>
    <xf numFmtId="0" fontId="69" fillId="0" borderId="0" xfId="0" applyFont="1" applyFill="1" applyBorder="1" applyAlignment="1">
      <alignment vertical="center" wrapText="1"/>
    </xf>
    <xf numFmtId="0" fontId="3" fillId="0" borderId="0" xfId="39" applyFont="1" applyFill="1" applyBorder="1" applyAlignment="1">
      <alignment horizontal="center" vertical="center" wrapText="1"/>
    </xf>
    <xf numFmtId="4" fontId="3" fillId="0" borderId="65" xfId="0" applyNumberFormat="1" applyFont="1" applyFill="1" applyBorder="1" applyAlignment="1">
      <alignment horizontal="right" vertical="center" wrapText="1" indent="1"/>
    </xf>
    <xf numFmtId="0" fontId="1" fillId="0" borderId="0" xfId="0" applyFont="1" applyFill="1"/>
    <xf numFmtId="166" fontId="3" fillId="0" borderId="0" xfId="0" applyNumberFormat="1" applyFont="1" applyFill="1" applyAlignment="1">
      <alignment horizontal="right" vertical="center" indent="1"/>
    </xf>
    <xf numFmtId="0" fontId="3" fillId="0" borderId="0" xfId="0" applyFont="1" applyFill="1" applyAlignment="1">
      <alignment horizontal="center" vertical="center"/>
    </xf>
    <xf numFmtId="166" fontId="3" fillId="0" borderId="0" xfId="89" applyNumberFormat="1" applyFont="1" applyFill="1"/>
    <xf numFmtId="0" fontId="3" fillId="0" borderId="0" xfId="89" applyFont="1" applyFill="1"/>
    <xf numFmtId="0" fontId="59" fillId="0" borderId="0" xfId="89" applyFont="1" applyFill="1"/>
    <xf numFmtId="0" fontId="4" fillId="0" borderId="30" xfId="0" applyNumberFormat="1" applyFont="1" applyBorder="1" applyAlignment="1">
      <alignment horizontal="center" vertical="center" wrapText="1"/>
    </xf>
    <xf numFmtId="0" fontId="60" fillId="0" borderId="31" xfId="0" applyNumberFormat="1" applyFont="1" applyBorder="1" applyAlignment="1">
      <alignment horizontal="left"/>
    </xf>
    <xf numFmtId="0" fontId="60" fillId="0" borderId="36" xfId="0" applyNumberFormat="1" applyFont="1" applyBorder="1" applyAlignment="1">
      <alignment horizontal="left"/>
    </xf>
    <xf numFmtId="0" fontId="6" fillId="0" borderId="73" xfId="0" applyNumberFormat="1" applyFont="1" applyBorder="1" applyAlignment="1">
      <alignment horizontal="left" vertical="center" wrapText="1" indent="1"/>
    </xf>
    <xf numFmtId="0" fontId="6" fillId="0" borderId="48" xfId="0" applyNumberFormat="1" applyFont="1" applyBorder="1" applyAlignment="1">
      <alignment horizontal="left" vertical="center" wrapText="1" indent="1"/>
    </xf>
    <xf numFmtId="0" fontId="6" fillId="0" borderId="52" xfId="0" applyNumberFormat="1" applyFont="1" applyBorder="1" applyAlignment="1">
      <alignment horizontal="left" vertical="center" wrapText="1" indent="1"/>
    </xf>
    <xf numFmtId="0" fontId="10" fillId="0" borderId="30"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0" fontId="6" fillId="0" borderId="22" xfId="0" applyNumberFormat="1" applyFont="1" applyBorder="1" applyAlignment="1">
      <alignment horizontal="left" vertical="center" wrapText="1" indent="1"/>
    </xf>
    <xf numFmtId="0" fontId="6" fillId="0" borderId="29" xfId="0" applyNumberFormat="1" applyFont="1" applyBorder="1" applyAlignment="1">
      <alignment horizontal="left" vertical="center" wrapText="1" indent="1"/>
    </xf>
    <xf numFmtId="0" fontId="6" fillId="0" borderId="34" xfId="0" applyNumberFormat="1"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48" xfId="0" applyNumberFormat="1" applyFont="1" applyBorder="1" applyAlignment="1">
      <alignment horizontal="left" wrapText="1"/>
    </xf>
    <xf numFmtId="49" fontId="3" fillId="0" borderId="32" xfId="0" applyNumberFormat="1" applyFont="1" applyBorder="1" applyAlignment="1">
      <alignment horizontal="left" wrapText="1"/>
    </xf>
    <xf numFmtId="0" fontId="10" fillId="0" borderId="30"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36" xfId="0" applyNumberFormat="1" applyFont="1" applyBorder="1" applyAlignment="1">
      <alignment horizontal="center" vertical="center"/>
    </xf>
    <xf numFmtId="0" fontId="2" fillId="0" borderId="15"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10" fillId="0" borderId="67" xfId="89" applyNumberFormat="1" applyFont="1" applyBorder="1" applyAlignment="1">
      <alignment horizontal="center" vertical="center"/>
    </xf>
    <xf numFmtId="0" fontId="10" fillId="0" borderId="68" xfId="89" applyNumberFormat="1" applyFont="1" applyBorder="1" applyAlignment="1">
      <alignment horizontal="center" vertical="center"/>
    </xf>
    <xf numFmtId="0" fontId="10" fillId="0" borderId="69" xfId="89" applyNumberFormat="1" applyFont="1" applyBorder="1" applyAlignment="1">
      <alignment horizontal="center" vertical="center"/>
    </xf>
    <xf numFmtId="0" fontId="6" fillId="0" borderId="59" xfId="89" applyNumberFormat="1" applyFont="1" applyBorder="1" applyAlignment="1">
      <alignment horizontal="left" vertical="center" wrapText="1" indent="1"/>
    </xf>
    <xf numFmtId="0" fontId="6" fillId="0" borderId="70" xfId="89" applyNumberFormat="1" applyFont="1" applyBorder="1" applyAlignment="1">
      <alignment horizontal="left" vertical="center" wrapText="1" indent="1"/>
    </xf>
    <xf numFmtId="0" fontId="6" fillId="0" borderId="41" xfId="89" applyNumberFormat="1" applyFont="1" applyBorder="1" applyAlignment="1">
      <alignment horizontal="left" vertical="center" wrapText="1" indent="1"/>
    </xf>
    <xf numFmtId="0" fontId="2" fillId="0" borderId="15" xfId="89" applyNumberFormat="1" applyFont="1" applyBorder="1" applyAlignment="1">
      <alignment horizontal="center" vertical="center" wrapText="1"/>
    </xf>
    <xf numFmtId="0" fontId="2" fillId="0" borderId="19" xfId="89" applyNumberFormat="1" applyFont="1" applyBorder="1" applyAlignment="1">
      <alignment horizontal="center" vertical="center" wrapText="1"/>
    </xf>
    <xf numFmtId="0" fontId="2" fillId="0" borderId="29" xfId="89" applyNumberFormat="1" applyFont="1" applyBorder="1" applyAlignment="1">
      <alignment horizontal="center" vertical="center" wrapText="1"/>
    </xf>
    <xf numFmtId="0" fontId="4" fillId="0" borderId="13" xfId="89" applyNumberFormat="1" applyFont="1" applyBorder="1" applyAlignment="1">
      <alignment horizontal="center" vertical="center"/>
    </xf>
    <xf numFmtId="0" fontId="4" fillId="0" borderId="20" xfId="89" applyNumberFormat="1" applyFont="1" applyBorder="1" applyAlignment="1">
      <alignment horizontal="center" vertical="center"/>
    </xf>
    <xf numFmtId="0" fontId="4" fillId="0" borderId="38" xfId="89" applyNumberFormat="1" applyFont="1" applyBorder="1" applyAlignment="1">
      <alignment horizontal="center" vertical="center"/>
    </xf>
    <xf numFmtId="0" fontId="71" fillId="0" borderId="24"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6" fillId="0" borderId="59" xfId="0" applyFont="1" applyBorder="1" applyAlignment="1">
      <alignment horizontal="left" vertical="center" wrapText="1" indent="1"/>
    </xf>
    <xf numFmtId="0" fontId="6" fillId="0" borderId="70" xfId="0" applyFont="1" applyBorder="1" applyAlignment="1">
      <alignment horizontal="left" vertical="center" wrapText="1" indent="1"/>
    </xf>
    <xf numFmtId="0" fontId="6" fillId="0" borderId="41" xfId="0" applyFont="1" applyBorder="1" applyAlignment="1">
      <alignment horizontal="left" vertical="center" wrapText="1" inden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3" xfId="0" applyFont="1" applyBorder="1" applyAlignment="1">
      <alignment horizontal="center" vertical="center" wrapText="1"/>
    </xf>
    <xf numFmtId="49" fontId="3" fillId="0" borderId="20" xfId="0" applyNumberFormat="1" applyFont="1" applyBorder="1" applyAlignment="1">
      <alignment horizontal="left"/>
    </xf>
    <xf numFmtId="49" fontId="3" fillId="0" borderId="50" xfId="0" applyNumberFormat="1" applyFont="1" applyBorder="1" applyAlignment="1">
      <alignment horizontal="left"/>
    </xf>
    <xf numFmtId="49" fontId="3" fillId="0" borderId="27" xfId="0" applyNumberFormat="1" applyFont="1" applyBorder="1" applyAlignment="1">
      <alignment horizontal="left"/>
    </xf>
    <xf numFmtId="49" fontId="7" fillId="0" borderId="20" xfId="0" applyNumberFormat="1" applyFont="1" applyBorder="1" applyAlignment="1">
      <alignment horizontal="left"/>
    </xf>
    <xf numFmtId="49" fontId="7" fillId="0" borderId="50" xfId="0" applyNumberFormat="1" applyFont="1" applyBorder="1" applyAlignment="1">
      <alignment horizontal="left"/>
    </xf>
    <xf numFmtId="49" fontId="7" fillId="0" borderId="27" xfId="0" applyNumberFormat="1" applyFont="1" applyBorder="1" applyAlignment="1">
      <alignment horizontal="left"/>
    </xf>
    <xf numFmtId="0" fontId="91" fillId="0" borderId="0" xfId="0" applyFont="1" applyAlignment="1">
      <alignment horizontal="left" vertical="center" wrapText="1"/>
    </xf>
    <xf numFmtId="0" fontId="71" fillId="0" borderId="2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7"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0" xfId="0" applyFont="1" applyAlignment="1">
      <alignment horizontal="center" vertical="center" wrapText="1"/>
    </xf>
    <xf numFmtId="0" fontId="70" fillId="0" borderId="29" xfId="0" applyFont="1" applyBorder="1" applyAlignment="1">
      <alignment horizontal="center" vertical="center" wrapText="1"/>
    </xf>
    <xf numFmtId="0" fontId="70" fillId="0" borderId="13" xfId="0" applyFont="1" applyBorder="1" applyAlignment="1">
      <alignment horizontal="center" vertical="center" wrapText="1"/>
    </xf>
    <xf numFmtId="0" fontId="66" fillId="0" borderId="12" xfId="90" applyFont="1" applyBorder="1" applyAlignment="1">
      <alignment horizontal="center" vertical="center" wrapText="1"/>
    </xf>
    <xf numFmtId="0" fontId="66" fillId="0" borderId="73" xfId="90" applyFont="1" applyBorder="1" applyAlignment="1">
      <alignment horizontal="center" vertical="center" wrapText="1"/>
    </xf>
    <xf numFmtId="0" fontId="3" fillId="0" borderId="20" xfId="0" applyFont="1" applyBorder="1" applyAlignment="1">
      <alignment horizontal="left"/>
    </xf>
    <xf numFmtId="0" fontId="3" fillId="0" borderId="50" xfId="0" applyFont="1" applyBorder="1" applyAlignment="1">
      <alignment horizontal="left"/>
    </xf>
    <xf numFmtId="0" fontId="3" fillId="0" borderId="27" xfId="0" applyFont="1" applyBorder="1" applyAlignment="1">
      <alignment horizontal="left"/>
    </xf>
    <xf numFmtId="0" fontId="7" fillId="0" borderId="20" xfId="0" applyFont="1" applyBorder="1" applyAlignment="1">
      <alignment horizontal="left"/>
    </xf>
    <xf numFmtId="0" fontId="7" fillId="0" borderId="50" xfId="0" applyFont="1" applyBorder="1" applyAlignment="1">
      <alignment horizontal="left"/>
    </xf>
    <xf numFmtId="0" fontId="7" fillId="0" borderId="27" xfId="0" applyFont="1" applyBorder="1" applyAlignment="1">
      <alignment horizontal="left"/>
    </xf>
    <xf numFmtId="0" fontId="88" fillId="44" borderId="55" xfId="90" applyFont="1" applyFill="1" applyBorder="1" applyAlignment="1">
      <alignment horizontal="center" vertical="center" wrapText="1"/>
    </xf>
    <xf numFmtId="0" fontId="88" fillId="44" borderId="45" xfId="90" applyFont="1" applyFill="1" applyBorder="1" applyAlignment="1">
      <alignment horizontal="center" vertical="center" wrapText="1"/>
    </xf>
    <xf numFmtId="0" fontId="6" fillId="0" borderId="61" xfId="40" applyNumberFormat="1" applyFont="1" applyBorder="1" applyAlignment="1">
      <alignment horizontal="center" vertical="center"/>
    </xf>
    <xf numFmtId="0" fontId="6" fillId="0" borderId="56" xfId="40" applyNumberFormat="1" applyFont="1" applyBorder="1" applyAlignment="1">
      <alignment horizontal="center" vertical="center"/>
    </xf>
    <xf numFmtId="0" fontId="6" fillId="0" borderId="57" xfId="40" applyNumberFormat="1" applyFont="1" applyBorder="1" applyAlignment="1">
      <alignment horizontal="center" vertical="center"/>
    </xf>
    <xf numFmtId="0" fontId="66" fillId="0" borderId="64" xfId="40" applyNumberFormat="1" applyFont="1" applyBorder="1" applyAlignment="1">
      <alignment horizontal="left" vertical="center" wrapText="1" indent="1"/>
    </xf>
    <xf numFmtId="0" fontId="66" fillId="0" borderId="65" xfId="40" applyNumberFormat="1" applyFont="1" applyBorder="1" applyAlignment="1">
      <alignment horizontal="left" vertical="center" wrapText="1" indent="1"/>
    </xf>
    <xf numFmtId="0" fontId="66" fillId="0" borderId="66" xfId="40" applyNumberFormat="1" applyFont="1" applyBorder="1" applyAlignment="1">
      <alignment horizontal="left" vertical="center" wrapText="1" indent="1"/>
    </xf>
    <xf numFmtId="0" fontId="65" fillId="0" borderId="20" xfId="40" applyNumberFormat="1" applyBorder="1" applyAlignment="1">
      <alignment horizontal="left" vertical="center" wrapText="1"/>
    </xf>
    <xf numFmtId="0" fontId="65" fillId="0" borderId="50" xfId="40" applyNumberFormat="1" applyBorder="1" applyAlignment="1">
      <alignment horizontal="left" vertical="center" wrapText="1"/>
    </xf>
    <xf numFmtId="0" fontId="65" fillId="0" borderId="27" xfId="40" applyNumberFormat="1" applyBorder="1" applyAlignment="1">
      <alignment horizontal="left" vertical="center" wrapText="1"/>
    </xf>
    <xf numFmtId="0" fontId="22" fillId="0" borderId="37" xfId="0" applyNumberFormat="1" applyFont="1" applyBorder="1" applyAlignment="1">
      <alignment horizontal="left" vertical="center"/>
    </xf>
    <xf numFmtId="0" fontId="22" fillId="0" borderId="48" xfId="0" applyNumberFormat="1" applyFont="1" applyBorder="1" applyAlignment="1">
      <alignment horizontal="left" vertical="center"/>
    </xf>
    <xf numFmtId="0" fontId="22" fillId="0" borderId="32" xfId="0" applyNumberFormat="1" applyFont="1" applyBorder="1" applyAlignment="1">
      <alignment horizontal="left" vertical="center"/>
    </xf>
    <xf numFmtId="0" fontId="22" fillId="0" borderId="35" xfId="0" applyNumberFormat="1" applyFont="1" applyBorder="1" applyAlignment="1">
      <alignment horizontal="left" vertical="center"/>
    </xf>
    <xf numFmtId="0" fontId="22" fillId="0" borderId="46" xfId="0" applyNumberFormat="1" applyFont="1" applyBorder="1" applyAlignment="1">
      <alignment horizontal="left" vertical="center"/>
    </xf>
    <xf numFmtId="0" fontId="22" fillId="0" borderId="47" xfId="0" applyNumberFormat="1" applyFont="1" applyBorder="1" applyAlignment="1">
      <alignment horizontal="left" vertical="center"/>
    </xf>
    <xf numFmtId="0" fontId="10" fillId="0" borderId="67" xfId="0" applyNumberFormat="1" applyFont="1" applyBorder="1" applyAlignment="1">
      <alignment horizontal="center" vertical="center" wrapText="1"/>
    </xf>
    <xf numFmtId="0" fontId="10" fillId="0" borderId="68" xfId="0" applyNumberFormat="1" applyFont="1" applyBorder="1" applyAlignment="1">
      <alignment horizontal="center" vertical="center" wrapText="1"/>
    </xf>
    <xf numFmtId="0" fontId="10" fillId="0" borderId="69"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6" fillId="0" borderId="59" xfId="0" applyNumberFormat="1" applyFont="1" applyBorder="1" applyAlignment="1">
      <alignment horizontal="left" vertical="center" wrapText="1" indent="1"/>
    </xf>
    <xf numFmtId="0" fontId="6" fillId="0" borderId="40" xfId="0" applyNumberFormat="1" applyFont="1" applyBorder="1" applyAlignment="1">
      <alignment horizontal="left" vertical="center" wrapText="1" indent="1"/>
    </xf>
    <xf numFmtId="0" fontId="6" fillId="0" borderId="70"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22" fillId="0" borderId="37" xfId="0" applyFont="1" applyBorder="1" applyAlignment="1">
      <alignment horizontal="left" vertical="center"/>
    </xf>
    <xf numFmtId="0" fontId="22" fillId="0" borderId="48" xfId="0" applyFont="1" applyBorder="1" applyAlignment="1">
      <alignment horizontal="left" vertical="center"/>
    </xf>
    <xf numFmtId="0" fontId="22" fillId="0" borderId="32" xfId="0" applyFont="1" applyBorder="1" applyAlignment="1">
      <alignment horizontal="left" vertical="center"/>
    </xf>
    <xf numFmtId="0" fontId="22" fillId="0" borderId="35" xfId="0" applyFont="1" applyBorder="1" applyAlignment="1">
      <alignment horizontal="left" vertical="center"/>
    </xf>
    <xf numFmtId="0" fontId="22" fillId="0" borderId="46" xfId="0" applyFont="1" applyBorder="1" applyAlignment="1">
      <alignment horizontal="left" vertical="center"/>
    </xf>
    <xf numFmtId="0" fontId="22" fillId="0" borderId="47" xfId="0" applyFont="1" applyBorder="1" applyAlignment="1">
      <alignment horizontal="left" vertical="center"/>
    </xf>
    <xf numFmtId="0" fontId="22" fillId="0" borderId="37" xfId="0" applyNumberFormat="1" applyFont="1" applyBorder="1" applyAlignment="1">
      <alignment horizontal="left" vertical="center" wrapText="1"/>
    </xf>
    <xf numFmtId="0" fontId="22" fillId="0" borderId="48" xfId="0" applyNumberFormat="1" applyFont="1" applyBorder="1" applyAlignment="1">
      <alignment horizontal="left" vertical="center" wrapText="1"/>
    </xf>
    <xf numFmtId="0" fontId="22" fillId="0" borderId="32" xfId="0" applyNumberFormat="1" applyFont="1" applyBorder="1" applyAlignment="1">
      <alignment horizontal="left" vertical="center" wrapText="1"/>
    </xf>
    <xf numFmtId="0" fontId="4" fillId="0" borderId="23"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6" fillId="0" borderId="60" xfId="0" applyNumberFormat="1" applyFont="1" applyBorder="1" applyAlignment="1">
      <alignment horizontal="left" vertical="center" wrapText="1" indent="1"/>
    </xf>
    <xf numFmtId="0" fontId="6" fillId="0" borderId="50" xfId="0" applyNumberFormat="1" applyFont="1" applyBorder="1" applyAlignment="1">
      <alignment horizontal="left" vertical="center" wrapText="1" indent="1"/>
    </xf>
    <xf numFmtId="0" fontId="6" fillId="0" borderId="38" xfId="0" applyNumberFormat="1" applyFont="1" applyBorder="1" applyAlignment="1">
      <alignment horizontal="left" vertical="center" wrapText="1" indent="1"/>
    </xf>
    <xf numFmtId="0" fontId="22" fillId="0" borderId="37" xfId="90" applyFont="1" applyBorder="1" applyAlignment="1">
      <alignment horizontal="left" vertical="center" wrapText="1"/>
    </xf>
    <xf numFmtId="0" fontId="22" fillId="0" borderId="48" xfId="90" applyFont="1" applyBorder="1" applyAlignment="1">
      <alignment horizontal="left" vertical="center"/>
    </xf>
    <xf numFmtId="0" fontId="22" fillId="0" borderId="32" xfId="90" applyFont="1" applyBorder="1" applyAlignment="1">
      <alignment horizontal="left" vertical="center"/>
    </xf>
    <xf numFmtId="0" fontId="4" fillId="0" borderId="67" xfId="90" applyFont="1" applyBorder="1" applyAlignment="1">
      <alignment horizontal="center" vertical="center" wrapText="1"/>
    </xf>
    <xf numFmtId="0" fontId="4" fillId="0" borderId="68" xfId="90" applyFont="1" applyBorder="1" applyAlignment="1">
      <alignment horizontal="center" vertical="center"/>
    </xf>
    <xf numFmtId="0" fontId="4" fillId="0" borderId="69" xfId="90" applyFont="1" applyBorder="1" applyAlignment="1">
      <alignment horizontal="center" vertical="center"/>
    </xf>
    <xf numFmtId="0" fontId="6" fillId="0" borderId="23" xfId="90" applyFont="1" applyBorder="1" applyAlignment="1">
      <alignment horizontal="left" vertical="center" wrapText="1" indent="1"/>
    </xf>
    <xf numFmtId="0" fontId="6" fillId="0" borderId="25" xfId="90" applyFont="1" applyBorder="1" applyAlignment="1">
      <alignment horizontal="left" vertical="center" wrapText="1" indent="1"/>
    </xf>
    <xf numFmtId="0" fontId="6" fillId="0" borderId="24" xfId="90" applyFont="1" applyBorder="1" applyAlignment="1">
      <alignment horizontal="left" vertical="center" wrapText="1" indent="1"/>
    </xf>
    <xf numFmtId="0" fontId="22" fillId="0" borderId="35" xfId="90" applyFont="1" applyBorder="1" applyAlignment="1">
      <alignment horizontal="left" vertical="center"/>
    </xf>
    <xf numFmtId="0" fontId="22" fillId="0" borderId="46" xfId="90" applyFont="1" applyBorder="1" applyAlignment="1">
      <alignment horizontal="left" vertical="center"/>
    </xf>
    <xf numFmtId="0" fontId="22" fillId="0" borderId="47" xfId="90" applyFont="1" applyBorder="1" applyAlignment="1">
      <alignment horizontal="left" vertical="center"/>
    </xf>
    <xf numFmtId="0" fontId="22" fillId="36" borderId="86" xfId="90" applyFont="1" applyFill="1" applyBorder="1" applyAlignment="1">
      <alignment horizontal="left" vertical="center"/>
    </xf>
    <xf numFmtId="0" fontId="22" fillId="36" borderId="0" xfId="90" applyFont="1" applyFill="1" applyBorder="1" applyAlignment="1">
      <alignment horizontal="left" vertical="center"/>
    </xf>
    <xf numFmtId="0" fontId="22" fillId="36" borderId="87" xfId="90" applyFont="1" applyFill="1" applyBorder="1" applyAlignment="1">
      <alignment horizontal="left" vertical="center"/>
    </xf>
    <xf numFmtId="0" fontId="22" fillId="0" borderId="86" xfId="90" applyFont="1" applyBorder="1" applyAlignment="1">
      <alignment horizontal="left" vertical="center" wrapText="1"/>
    </xf>
    <xf numFmtId="0" fontId="22" fillId="0" borderId="0" xfId="90" applyFont="1" applyBorder="1" applyAlignment="1">
      <alignment horizontal="left" vertical="center"/>
    </xf>
    <xf numFmtId="0" fontId="22" fillId="0" borderId="87" xfId="90" applyFont="1" applyBorder="1" applyAlignment="1">
      <alignment horizontal="left" vertical="center"/>
    </xf>
    <xf numFmtId="0" fontId="22" fillId="0" borderId="37" xfId="0" applyFont="1" applyBorder="1" applyAlignment="1">
      <alignment horizontal="left" vertical="center" wrapText="1"/>
    </xf>
    <xf numFmtId="0" fontId="22" fillId="0" borderId="48" xfId="0" applyFont="1" applyBorder="1" applyAlignment="1">
      <alignment horizontal="left" vertical="center" wrapText="1"/>
    </xf>
    <xf numFmtId="0" fontId="22" fillId="0" borderId="32" xfId="0" applyFont="1" applyBorder="1" applyAlignment="1">
      <alignment horizontal="left"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70" fillId="0" borderId="29" xfId="0" applyNumberFormat="1" applyFont="1" applyBorder="1" applyAlignment="1">
      <alignment horizontal="center" vertical="center" wrapText="1"/>
    </xf>
    <xf numFmtId="0" fontId="70" fillId="0" borderId="13" xfId="0" applyNumberFormat="1" applyFont="1" applyBorder="1" applyAlignment="1">
      <alignment horizontal="center" vertical="center" wrapText="1"/>
    </xf>
    <xf numFmtId="0" fontId="70" fillId="36" borderId="34" xfId="0" applyNumberFormat="1" applyFont="1" applyFill="1" applyBorder="1" applyAlignment="1">
      <alignment horizontal="center" vertical="center" wrapText="1"/>
    </xf>
    <xf numFmtId="0" fontId="70" fillId="36" borderId="14" xfId="0" applyNumberFormat="1" applyFont="1" applyFill="1" applyBorder="1" applyAlignment="1">
      <alignment horizontal="center" vertical="center" wrapText="1"/>
    </xf>
    <xf numFmtId="0" fontId="4" fillId="0" borderId="61" xfId="0" applyNumberFormat="1" applyFont="1" applyBorder="1" applyAlignment="1">
      <alignment horizontal="center" vertical="center" wrapText="1"/>
    </xf>
    <xf numFmtId="0" fontId="4" fillId="0" borderId="56"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6" fillId="0" borderId="70" xfId="0" applyNumberFormat="1" applyFont="1" applyBorder="1" applyAlignment="1">
      <alignment horizontal="left" vertical="center" wrapText="1" indent="1"/>
    </xf>
    <xf numFmtId="0" fontId="6" fillId="0" borderId="41" xfId="0" applyNumberFormat="1" applyFont="1" applyBorder="1" applyAlignment="1">
      <alignment horizontal="left" vertical="center" wrapText="1" indent="1"/>
    </xf>
    <xf numFmtId="0" fontId="70" fillId="36" borderId="29" xfId="0" applyNumberFormat="1" applyFont="1" applyFill="1" applyBorder="1" applyAlignment="1">
      <alignment horizontal="center" vertical="center" wrapText="1"/>
    </xf>
    <xf numFmtId="0" fontId="70" fillId="36" borderId="13" xfId="0" applyNumberFormat="1" applyFont="1" applyFill="1" applyBorder="1" applyAlignment="1">
      <alignment horizontal="center" vertical="center" wrapText="1"/>
    </xf>
    <xf numFmtId="0" fontId="70" fillId="45" borderId="29" xfId="0" applyNumberFormat="1" applyFont="1" applyFill="1" applyBorder="1" applyAlignment="1">
      <alignment horizontal="center" vertical="center" wrapText="1"/>
    </xf>
    <xf numFmtId="0" fontId="70" fillId="45" borderId="13" xfId="0" applyNumberFormat="1" applyFont="1" applyFill="1" applyBorder="1" applyAlignment="1">
      <alignment horizontal="center" vertical="center" wrapText="1"/>
    </xf>
    <xf numFmtId="0" fontId="3" fillId="0" borderId="12" xfId="0" applyFont="1" applyFill="1" applyBorder="1" applyAlignment="1">
      <alignment horizontal="left" wrapText="1"/>
    </xf>
    <xf numFmtId="0" fontId="0" fillId="0" borderId="0" xfId="0" applyAlignment="1"/>
    <xf numFmtId="0" fontId="79" fillId="0" borderId="12" xfId="0" applyFont="1" applyBorder="1" applyAlignment="1">
      <alignment horizontal="left" wrapText="1"/>
    </xf>
    <xf numFmtId="0" fontId="2" fillId="0" borderId="14" xfId="0" applyNumberFormat="1" applyFont="1" applyFill="1" applyBorder="1" applyAlignment="1">
      <alignment horizontal="center" vertical="center" wrapText="1"/>
    </xf>
    <xf numFmtId="0" fontId="4" fillId="0" borderId="61"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6" fillId="0" borderId="59" xfId="0" applyNumberFormat="1" applyFont="1" applyFill="1" applyBorder="1" applyAlignment="1">
      <alignment horizontal="left" vertical="center" wrapText="1" indent="1"/>
    </xf>
    <xf numFmtId="0" fontId="6" fillId="0" borderId="70" xfId="0" applyNumberFormat="1" applyFont="1" applyFill="1" applyBorder="1" applyAlignment="1">
      <alignment horizontal="left" vertical="center" wrapText="1" indent="1"/>
    </xf>
    <xf numFmtId="0" fontId="6" fillId="0" borderId="65" xfId="0" applyNumberFormat="1" applyFont="1" applyFill="1" applyBorder="1" applyAlignment="1">
      <alignment horizontal="left" vertical="center" wrapText="1" indent="1"/>
    </xf>
    <xf numFmtId="0" fontId="6" fillId="0" borderId="41" xfId="0" applyNumberFormat="1" applyFont="1" applyFill="1" applyBorder="1" applyAlignment="1">
      <alignment horizontal="left" vertical="center" wrapText="1" indent="1"/>
    </xf>
    <xf numFmtId="0" fontId="63" fillId="0" borderId="15"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100" fillId="0" borderId="30" xfId="42" applyNumberFormat="1" applyFont="1" applyBorder="1" applyAlignment="1">
      <alignment horizontal="center" vertical="center" wrapText="1"/>
    </xf>
    <xf numFmtId="0" fontId="100" fillId="0" borderId="31" xfId="42" applyNumberFormat="1" applyFont="1" applyBorder="1" applyAlignment="1">
      <alignment horizontal="center" vertical="center" wrapText="1"/>
    </xf>
    <xf numFmtId="0" fontId="100" fillId="0" borderId="36" xfId="42"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73" xfId="0" applyFont="1" applyBorder="1" applyAlignment="1">
      <alignment horizontal="left" vertical="center" wrapText="1" indent="1"/>
    </xf>
    <xf numFmtId="0" fontId="6" fillId="0" borderId="48" xfId="0" applyFont="1" applyBorder="1" applyAlignment="1">
      <alignment horizontal="left" vertical="center" wrapText="1" indent="1"/>
    </xf>
    <xf numFmtId="0" fontId="6" fillId="0" borderId="52" xfId="0" applyFont="1" applyBorder="1" applyAlignment="1">
      <alignment horizontal="left" vertical="center" wrapText="1" indent="1"/>
    </xf>
    <xf numFmtId="0" fontId="4" fillId="0" borderId="30" xfId="42" applyNumberFormat="1" applyFont="1" applyBorder="1" applyAlignment="1">
      <alignment horizontal="center" vertical="center" wrapText="1"/>
    </xf>
    <xf numFmtId="0" fontId="4" fillId="0" borderId="31" xfId="42" applyNumberFormat="1" applyFont="1" applyBorder="1" applyAlignment="1">
      <alignment horizontal="center" vertical="center" wrapText="1"/>
    </xf>
    <xf numFmtId="0" fontId="4" fillId="0" borderId="36" xfId="42"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10" fillId="0" borderId="61" xfId="0" applyNumberFormat="1" applyFont="1" applyBorder="1" applyAlignment="1">
      <alignment horizontal="center" vertical="center" wrapText="1"/>
    </xf>
    <xf numFmtId="0" fontId="10" fillId="0" borderId="56" xfId="0" applyNumberFormat="1" applyFont="1" applyBorder="1" applyAlignment="1">
      <alignment horizontal="center" vertical="center" wrapText="1"/>
    </xf>
    <xf numFmtId="0" fontId="10" fillId="0" borderId="57" xfId="0" applyNumberFormat="1" applyFont="1" applyBorder="1" applyAlignment="1">
      <alignment horizontal="center" vertical="center" wrapText="1"/>
    </xf>
    <xf numFmtId="0" fontId="28" fillId="0" borderId="46" xfId="0" applyNumberFormat="1" applyFont="1" applyBorder="1" applyAlignment="1">
      <alignment horizontal="left" vertical="center" wrapText="1"/>
    </xf>
    <xf numFmtId="0" fontId="27" fillId="0" borderId="35" xfId="0" applyNumberFormat="1" applyFont="1" applyBorder="1" applyAlignment="1">
      <alignment horizontal="left" vertical="center"/>
    </xf>
    <xf numFmtId="0" fontId="27" fillId="0" borderId="46" xfId="0" applyNumberFormat="1" applyFont="1" applyBorder="1" applyAlignment="1">
      <alignment horizontal="left" vertical="center"/>
    </xf>
    <xf numFmtId="0" fontId="27" fillId="0" borderId="47" xfId="0" applyNumberFormat="1" applyFont="1" applyBorder="1" applyAlignment="1">
      <alignment horizontal="left" vertical="center"/>
    </xf>
    <xf numFmtId="0" fontId="27" fillId="0" borderId="37" xfId="0" applyNumberFormat="1" applyFont="1" applyBorder="1" applyAlignment="1">
      <alignment horizontal="left" vertical="center"/>
    </xf>
    <xf numFmtId="0" fontId="27" fillId="0" borderId="48" xfId="0" applyNumberFormat="1" applyFont="1" applyBorder="1" applyAlignment="1">
      <alignment horizontal="left" vertical="center"/>
    </xf>
    <xf numFmtId="0" fontId="27" fillId="0" borderId="32" xfId="0" applyNumberFormat="1" applyFont="1" applyBorder="1" applyAlignment="1">
      <alignment horizontal="left" vertical="center"/>
    </xf>
    <xf numFmtId="0" fontId="4" fillId="0" borderId="31"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6" fillId="0" borderId="58" xfId="0" applyNumberFormat="1" applyFont="1" applyBorder="1" applyAlignment="1">
      <alignment horizontal="center" vertical="center" wrapText="1"/>
    </xf>
    <xf numFmtId="0" fontId="76" fillId="0" borderId="61" xfId="0" applyNumberFormat="1" applyFont="1" applyBorder="1" applyAlignment="1">
      <alignment horizontal="center" vertical="center" wrapText="1"/>
    </xf>
    <xf numFmtId="0" fontId="76" fillId="0" borderId="56" xfId="0" applyNumberFormat="1" applyFont="1" applyBorder="1" applyAlignment="1">
      <alignment horizontal="center" vertical="center" wrapText="1"/>
    </xf>
    <xf numFmtId="0" fontId="76" fillId="0" borderId="57" xfId="0" applyNumberFormat="1" applyFont="1" applyBorder="1" applyAlignment="1">
      <alignment horizontal="center" vertical="center" wrapText="1"/>
    </xf>
    <xf numFmtId="0" fontId="22" fillId="0" borderId="13" xfId="0" applyFont="1" applyBorder="1" applyAlignment="1">
      <alignment horizontal="left" vertical="center"/>
    </xf>
    <xf numFmtId="0" fontId="4" fillId="0" borderId="67" xfId="39" applyNumberFormat="1" applyFont="1" applyBorder="1" applyAlignment="1">
      <alignment horizontal="center" vertical="center" wrapText="1"/>
    </xf>
    <xf numFmtId="0" fontId="4" fillId="0" borderId="68" xfId="39" applyNumberFormat="1" applyFont="1" applyBorder="1" applyAlignment="1">
      <alignment horizontal="center" vertical="center" wrapText="1"/>
    </xf>
    <xf numFmtId="0" fontId="4" fillId="0" borderId="72" xfId="39" applyNumberFormat="1" applyFont="1" applyBorder="1" applyAlignment="1">
      <alignment horizontal="center" vertical="center" wrapText="1"/>
    </xf>
    <xf numFmtId="0" fontId="4" fillId="0" borderId="69" xfId="39" applyNumberFormat="1" applyFont="1" applyBorder="1" applyAlignment="1">
      <alignment horizontal="center" vertical="center" wrapText="1"/>
    </xf>
    <xf numFmtId="0" fontId="6" fillId="0" borderId="30" xfId="39" applyNumberFormat="1" applyFont="1" applyBorder="1" applyAlignment="1">
      <alignment horizontal="left" vertical="center" wrapText="1" indent="1"/>
    </xf>
    <xf numFmtId="0" fontId="6" fillId="0" borderId="31" xfId="39" applyNumberFormat="1" applyFont="1" applyBorder="1" applyAlignment="1">
      <alignment horizontal="left" vertical="center" wrapText="1" indent="1"/>
    </xf>
    <xf numFmtId="0" fontId="6" fillId="0" borderId="51" xfId="39" applyNumberFormat="1" applyFont="1" applyBorder="1" applyAlignment="1">
      <alignment horizontal="left" vertical="center" wrapText="1" indent="1"/>
    </xf>
    <xf numFmtId="0" fontId="6" fillId="0" borderId="36" xfId="39" applyNumberFormat="1" applyFont="1" applyBorder="1" applyAlignment="1">
      <alignment horizontal="left" vertical="center" wrapText="1" indent="1"/>
    </xf>
    <xf numFmtId="0" fontId="6" fillId="0" borderId="25" xfId="39" applyNumberFormat="1" applyFont="1" applyBorder="1" applyAlignment="1">
      <alignment horizontal="center" vertical="center" wrapText="1"/>
    </xf>
    <xf numFmtId="0" fontId="6" fillId="0" borderId="24" xfId="39" applyNumberFormat="1" applyFont="1" applyBorder="1" applyAlignment="1">
      <alignment horizontal="center" vertical="center" wrapText="1"/>
    </xf>
    <xf numFmtId="0" fontId="22" fillId="0" borderId="13" xfId="39" applyFont="1" applyBorder="1" applyAlignment="1">
      <alignment horizontal="left" vertical="center" wrapText="1"/>
    </xf>
    <xf numFmtId="0" fontId="6" fillId="0" borderId="29" xfId="39" applyNumberFormat="1" applyFont="1" applyBorder="1" applyAlignment="1">
      <alignment horizontal="center" vertical="center" wrapText="1"/>
    </xf>
    <xf numFmtId="0" fontId="2" fillId="0" borderId="37" xfId="39" applyNumberFormat="1" applyFont="1" applyBorder="1" applyAlignment="1">
      <alignment horizontal="center" vertical="center" wrapText="1"/>
    </xf>
    <xf numFmtId="0" fontId="2" fillId="0" borderId="13" xfId="39" applyNumberFormat="1" applyFont="1" applyBorder="1" applyAlignment="1">
      <alignment horizontal="center" vertical="center" wrapText="1"/>
    </xf>
    <xf numFmtId="0" fontId="75" fillId="0" borderId="58" xfId="0" applyNumberFormat="1" applyFont="1" applyBorder="1" applyAlignment="1">
      <alignment horizontal="center" vertical="center" wrapText="1"/>
    </xf>
    <xf numFmtId="0" fontId="75" fillId="0" borderId="41" xfId="0" applyNumberFormat="1" applyFont="1" applyBorder="1" applyAlignment="1">
      <alignment horizontal="center" vertical="center" wrapText="1"/>
    </xf>
    <xf numFmtId="0" fontId="75" fillId="0" borderId="50" xfId="0" applyNumberFormat="1" applyFont="1" applyBorder="1" applyAlignment="1">
      <alignment horizontal="center" vertical="center" wrapText="1"/>
    </xf>
    <xf numFmtId="0" fontId="75" fillId="0" borderId="38" xfId="0" applyNumberFormat="1" applyFont="1" applyBorder="1" applyAlignment="1">
      <alignment horizontal="center" vertical="center" wrapText="1"/>
    </xf>
    <xf numFmtId="0" fontId="76" fillId="0" borderId="84" xfId="0" applyNumberFormat="1" applyFont="1" applyBorder="1" applyAlignment="1">
      <alignment horizontal="center" vertical="center" wrapText="1"/>
    </xf>
    <xf numFmtId="0" fontId="76" fillId="0" borderId="85" xfId="0" applyNumberFormat="1" applyFont="1" applyBorder="1" applyAlignment="1">
      <alignment horizontal="center" vertical="center" wrapText="1"/>
    </xf>
    <xf numFmtId="0" fontId="10" fillId="0" borderId="61" xfId="44" applyNumberFormat="1" applyFont="1" applyBorder="1" applyAlignment="1">
      <alignment horizontal="center" vertical="center" wrapText="1"/>
    </xf>
    <xf numFmtId="0" fontId="10" fillId="0" borderId="56" xfId="44" applyNumberFormat="1" applyFont="1" applyBorder="1" applyAlignment="1">
      <alignment horizontal="center" vertical="center" wrapText="1"/>
    </xf>
    <xf numFmtId="0" fontId="10" fillId="0" borderId="57" xfId="44" applyNumberFormat="1"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6" fillId="0" borderId="22" xfId="44" applyNumberFormat="1" applyFont="1" applyBorder="1" applyAlignment="1">
      <alignment horizontal="center" vertical="center" wrapText="1"/>
    </xf>
    <xf numFmtId="0" fontId="6" fillId="0" borderId="15" xfId="44"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51" fillId="32" borderId="15" xfId="41" applyNumberFormat="1" applyFont="1" applyFill="1" applyBorder="1" applyAlignment="1"/>
    <xf numFmtId="0" fontId="51" fillId="32" borderId="13" xfId="41" applyNumberFormat="1" applyFont="1" applyFill="1" applyBorder="1" applyAlignment="1"/>
    <xf numFmtId="0" fontId="51" fillId="0" borderId="15" xfId="41" applyNumberFormat="1" applyFont="1" applyBorder="1" applyAlignment="1"/>
    <xf numFmtId="0" fontId="51" fillId="0" borderId="13" xfId="41" applyNumberFormat="1" applyFont="1" applyBorder="1" applyAlignment="1"/>
    <xf numFmtId="0" fontId="51" fillId="32" borderId="16" xfId="41" applyNumberFormat="1" applyFont="1" applyFill="1" applyBorder="1" applyAlignment="1"/>
    <xf numFmtId="0" fontId="51" fillId="32" borderId="17" xfId="41" applyNumberFormat="1" applyFont="1" applyFill="1" applyBorder="1" applyAlignment="1"/>
    <xf numFmtId="0" fontId="10" fillId="0" borderId="61" xfId="43" applyNumberFormat="1" applyFont="1" applyBorder="1" applyAlignment="1">
      <alignment horizontal="center" vertical="center" wrapText="1"/>
    </xf>
    <xf numFmtId="0" fontId="10" fillId="0" borderId="56" xfId="43" applyNumberFormat="1" applyFont="1" applyBorder="1" applyAlignment="1">
      <alignment horizontal="center" vertical="center" wrapText="1"/>
    </xf>
    <xf numFmtId="0" fontId="10" fillId="0" borderId="57" xfId="43" applyNumberFormat="1" applyFont="1" applyBorder="1" applyAlignment="1">
      <alignment horizontal="center" vertical="center" wrapText="1"/>
    </xf>
    <xf numFmtId="0" fontId="6" fillId="0" borderId="61" xfId="43" applyNumberFormat="1" applyFont="1" applyBorder="1" applyAlignment="1">
      <alignment horizontal="left" vertical="center" wrapText="1" indent="1"/>
    </xf>
    <xf numFmtId="0" fontId="6" fillId="0" borderId="56" xfId="43" applyNumberFormat="1" applyFont="1" applyBorder="1" applyAlignment="1">
      <alignment horizontal="left" vertical="center" wrapText="1" indent="1"/>
    </xf>
    <xf numFmtId="0" fontId="6" fillId="0" borderId="57" xfId="43" applyNumberFormat="1" applyFont="1" applyBorder="1" applyAlignment="1">
      <alignment horizontal="left" vertical="center" wrapText="1" indent="1"/>
    </xf>
    <xf numFmtId="0" fontId="6" fillId="0" borderId="61" xfId="0" applyNumberFormat="1" applyFont="1" applyBorder="1" applyAlignment="1">
      <alignment horizontal="left" vertical="center" wrapText="1"/>
    </xf>
    <xf numFmtId="0" fontId="6" fillId="0" borderId="56" xfId="0" applyNumberFormat="1" applyFont="1" applyBorder="1" applyAlignment="1">
      <alignment horizontal="left" vertical="center" wrapText="1"/>
    </xf>
    <xf numFmtId="0" fontId="6" fillId="0" borderId="57" xfId="0" applyNumberFormat="1" applyFont="1" applyBorder="1" applyAlignment="1">
      <alignment horizontal="left" vertical="center" wrapText="1"/>
    </xf>
    <xf numFmtId="0" fontId="10" fillId="0" borderId="64" xfId="0" applyNumberFormat="1" applyFont="1" applyBorder="1" applyAlignment="1">
      <alignment horizontal="center" vertical="center" wrapText="1"/>
    </xf>
    <xf numFmtId="0" fontId="10" fillId="0" borderId="65" xfId="0" applyNumberFormat="1" applyFont="1" applyBorder="1" applyAlignment="1">
      <alignment horizontal="center" vertical="center" wrapText="1"/>
    </xf>
    <xf numFmtId="0" fontId="10" fillId="0" borderId="66" xfId="0" applyNumberFormat="1" applyFont="1" applyBorder="1" applyAlignment="1">
      <alignment horizontal="center" vertical="center" wrapText="1"/>
    </xf>
    <xf numFmtId="0" fontId="51" fillId="32" borderId="30" xfId="41" applyNumberFormat="1" applyFont="1" applyFill="1" applyBorder="1" applyAlignment="1">
      <alignment horizontal="left" vertical="center" indent="1"/>
    </xf>
    <xf numFmtId="0" fontId="51" fillId="32" borderId="31" xfId="41" applyNumberFormat="1" applyFont="1" applyFill="1" applyBorder="1" applyAlignment="1">
      <alignment horizontal="left" vertical="center" indent="1"/>
    </xf>
    <xf numFmtId="0" fontId="2" fillId="0" borderId="60"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6" fillId="37" borderId="35" xfId="0" applyNumberFormat="1" applyFont="1" applyFill="1" applyBorder="1" applyAlignment="1">
      <alignment horizontal="center" vertical="center" wrapText="1"/>
    </xf>
    <xf numFmtId="0" fontId="6" fillId="37" borderId="37" xfId="0" applyNumberFormat="1" applyFont="1" applyFill="1" applyBorder="1" applyAlignment="1">
      <alignment horizontal="center" vertical="center" wrapText="1"/>
    </xf>
    <xf numFmtId="0" fontId="6" fillId="37" borderId="83" xfId="0" applyNumberFormat="1" applyFont="1" applyFill="1" applyBorder="1" applyAlignment="1">
      <alignment horizontal="center" vertical="center" wrapText="1"/>
    </xf>
    <xf numFmtId="0" fontId="6" fillId="37" borderId="82" xfId="0" applyNumberFormat="1" applyFont="1" applyFill="1" applyBorder="1" applyAlignment="1">
      <alignment horizontal="center" vertical="center" wrapText="1"/>
    </xf>
    <xf numFmtId="0" fontId="22" fillId="0" borderId="20" xfId="0" applyFont="1" applyBorder="1" applyAlignment="1">
      <alignment horizontal="left" vertical="center"/>
    </xf>
    <xf numFmtId="0" fontId="22" fillId="0" borderId="50" xfId="0" applyFont="1" applyBorder="1" applyAlignment="1">
      <alignment horizontal="left" vertical="center"/>
    </xf>
    <xf numFmtId="0" fontId="22" fillId="0" borderId="27" xfId="0" applyFont="1" applyBorder="1" applyAlignment="1">
      <alignment horizontal="left" vertical="center"/>
    </xf>
    <xf numFmtId="0" fontId="66" fillId="0" borderId="58" xfId="0" applyNumberFormat="1" applyFont="1" applyBorder="1" applyAlignment="1">
      <alignment horizontal="center" vertical="center" wrapText="1"/>
    </xf>
    <xf numFmtId="0" fontId="66" fillId="0" borderId="65" xfId="0" applyNumberFormat="1" applyFont="1" applyBorder="1" applyAlignment="1">
      <alignment horizontal="center" vertical="center" wrapText="1"/>
    </xf>
    <xf numFmtId="0" fontId="66" fillId="0" borderId="66" xfId="0" applyNumberFormat="1" applyFont="1" applyBorder="1" applyAlignment="1">
      <alignment horizontal="center" vertical="center" wrapText="1"/>
    </xf>
    <xf numFmtId="0" fontId="6" fillId="37" borderId="19" xfId="0" applyNumberFormat="1" applyFont="1" applyFill="1" applyBorder="1" applyAlignment="1">
      <alignment horizontal="center" vertical="center" wrapText="1"/>
    </xf>
    <xf numFmtId="0" fontId="6" fillId="37" borderId="29" xfId="0" applyNumberFormat="1" applyFont="1" applyFill="1" applyBorder="1" applyAlignment="1">
      <alignment horizontal="center" vertical="center" wrapText="1"/>
    </xf>
    <xf numFmtId="0" fontId="7" fillId="0" borderId="48" xfId="0" applyFont="1" applyBorder="1" applyAlignment="1">
      <alignment horizontal="left"/>
    </xf>
    <xf numFmtId="0" fontId="4" fillId="0" borderId="5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0" xfId="0" applyFont="1" applyBorder="1" applyAlignment="1">
      <alignment horizontal="center" vertical="center" wrapText="1"/>
    </xf>
  </cellXfs>
  <cellStyles count="9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a" xfId="0" builtinId="0"/>
    <cellStyle name="Normálna 2" xfId="39"/>
    <cellStyle name="Normálna 2 2" xfId="90"/>
    <cellStyle name="Normálna 3" xfId="89"/>
    <cellStyle name="normálne 2" xfId="40"/>
    <cellStyle name="normálne 3" xfId="41"/>
    <cellStyle name="normálne 4" xfId="42"/>
    <cellStyle name="normálne_Databazy_VVŠ_2007_ severská" xfId="43"/>
    <cellStyle name="normálne_Databazy_VVŠ_2007_ severská 2" xfId="91"/>
    <cellStyle name="normálne_sprava_VVŠ_2004_tabuľky_vláda" xfId="44"/>
    <cellStyle name="normální_List1" xfId="45"/>
    <cellStyle name="Note" xfId="4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X" xfId="68"/>
    <cellStyle name="SAPBEXHLevel1" xfId="69"/>
    <cellStyle name="SAPBEXHLevel1X" xfId="70"/>
    <cellStyle name="SAPBEXHLevel2" xfId="71"/>
    <cellStyle name="SAPBEXHLevel2X" xfId="72"/>
    <cellStyle name="SAPBEXHLevel3" xfId="73"/>
    <cellStyle name="SAPBEXHLevel3X" xfId="7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0000FF"/>
      <color rgb="FF99FFCC"/>
      <color rgb="FF66FF99"/>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G27"/>
  <sheetViews>
    <sheetView zoomScaleNormal="100" workbookViewId="0">
      <pane xSplit="2" ySplit="4" topLeftCell="C5" activePane="bottomRight" state="frozen"/>
      <selection activeCell="B7" sqref="B7:Q7"/>
      <selection pane="topRight" activeCell="B7" sqref="B7:Q7"/>
      <selection pane="bottomLeft" activeCell="B7" sqref="B7:Q7"/>
      <selection pane="bottomRight" activeCell="D11" sqref="D11"/>
    </sheetView>
  </sheetViews>
  <sheetFormatPr defaultColWidth="9.140625" defaultRowHeight="15.75" x14ac:dyDescent="0.2"/>
  <cols>
    <col min="1" max="1" width="9.140625" style="18" customWidth="1"/>
    <col min="2" max="2" width="77.85546875" style="25" customWidth="1"/>
    <col min="3" max="6" width="17.42578125" style="13" customWidth="1"/>
    <col min="7" max="16384" width="9.140625" style="13"/>
  </cols>
  <sheetData>
    <row r="1" spans="1:7" s="309" customFormat="1" ht="87" customHeight="1" thickBot="1" x14ac:dyDescent="0.25">
      <c r="A1" s="711" t="s">
        <v>629</v>
      </c>
      <c r="B1" s="712"/>
      <c r="C1" s="712"/>
      <c r="D1" s="712"/>
      <c r="E1" s="713"/>
    </row>
    <row r="2" spans="1:7" s="309" customFormat="1" ht="35.1" customHeight="1" x14ac:dyDescent="0.2">
      <c r="A2" s="714" t="s">
        <v>951</v>
      </c>
      <c r="B2" s="715"/>
      <c r="C2" s="715"/>
      <c r="D2" s="715"/>
      <c r="E2" s="716"/>
    </row>
    <row r="3" spans="1:7" s="312" customFormat="1" ht="43.5" customHeight="1" x14ac:dyDescent="0.2">
      <c r="A3" s="310" t="s">
        <v>80</v>
      </c>
      <c r="B3" s="293" t="s">
        <v>79</v>
      </c>
      <c r="C3" s="293" t="s">
        <v>133</v>
      </c>
      <c r="D3" s="293" t="s">
        <v>134</v>
      </c>
      <c r="E3" s="311" t="s">
        <v>83</v>
      </c>
    </row>
    <row r="4" spans="1:7" s="312" customFormat="1" ht="17.25" customHeight="1" x14ac:dyDescent="0.2">
      <c r="A4" s="313"/>
      <c r="B4" s="294"/>
      <c r="C4" s="314" t="s">
        <v>118</v>
      </c>
      <c r="D4" s="314" t="s">
        <v>119</v>
      </c>
      <c r="E4" s="315" t="s">
        <v>9</v>
      </c>
    </row>
    <row r="5" spans="1:7" x14ac:dyDescent="0.2">
      <c r="A5" s="19">
        <v>1</v>
      </c>
      <c r="B5" s="294" t="s">
        <v>165</v>
      </c>
      <c r="C5" s="26">
        <f>C6</f>
        <v>26838844</v>
      </c>
      <c r="D5" s="26">
        <f>D6</f>
        <v>465000</v>
      </c>
      <c r="E5" s="27">
        <f>SUM(C5:D5)</f>
        <v>27303844</v>
      </c>
    </row>
    <row r="6" spans="1:7" x14ac:dyDescent="0.2">
      <c r="A6" s="19">
        <f>A5+1</f>
        <v>2</v>
      </c>
      <c r="B6" s="295" t="s">
        <v>105</v>
      </c>
      <c r="C6" s="78">
        <v>26838844</v>
      </c>
      <c r="D6" s="78">
        <v>465000</v>
      </c>
      <c r="E6" s="27">
        <f>SUM(C6:D6)</f>
        <v>27303844</v>
      </c>
      <c r="F6" s="56"/>
      <c r="G6" s="697"/>
    </row>
    <row r="7" spans="1:7" ht="15.75" customHeight="1" x14ac:dyDescent="0.2">
      <c r="A7" s="19">
        <f>A6+1</f>
        <v>3</v>
      </c>
      <c r="B7" s="294" t="s">
        <v>166</v>
      </c>
      <c r="C7" s="26">
        <f>SUM(C8:C12)</f>
        <v>14757965</v>
      </c>
      <c r="D7" s="26">
        <f>SUM(D8:D12)</f>
        <v>0</v>
      </c>
      <c r="E7" s="27">
        <f>SUM(C7:D7)</f>
        <v>14757965</v>
      </c>
    </row>
    <row r="8" spans="1:7" x14ac:dyDescent="0.2">
      <c r="A8" s="19">
        <f t="shared" ref="A8:A19" si="0">A7+1</f>
        <v>4</v>
      </c>
      <c r="B8" s="295" t="s">
        <v>106</v>
      </c>
      <c r="C8" s="28">
        <v>13397704</v>
      </c>
      <c r="D8" s="182" t="s">
        <v>139</v>
      </c>
      <c r="E8" s="27">
        <f t="shared" ref="E8:E19" si="1">SUM(C8:D8)</f>
        <v>13397704</v>
      </c>
    </row>
    <row r="9" spans="1:7" x14ac:dyDescent="0.2">
      <c r="A9" s="19">
        <f t="shared" si="0"/>
        <v>5</v>
      </c>
      <c r="B9" s="295" t="s">
        <v>107</v>
      </c>
      <c r="C9" s="28">
        <v>1143526</v>
      </c>
      <c r="D9" s="182" t="s">
        <v>139</v>
      </c>
      <c r="E9" s="27">
        <f t="shared" si="1"/>
        <v>1143526</v>
      </c>
    </row>
    <row r="10" spans="1:7" x14ac:dyDescent="0.2">
      <c r="A10" s="19">
        <f t="shared" si="0"/>
        <v>6</v>
      </c>
      <c r="B10" s="295" t="s">
        <v>108</v>
      </c>
      <c r="C10" s="182" t="s">
        <v>139</v>
      </c>
      <c r="D10" s="182" t="s">
        <v>139</v>
      </c>
      <c r="E10" s="27">
        <f t="shared" si="1"/>
        <v>0</v>
      </c>
    </row>
    <row r="11" spans="1:7" x14ac:dyDescent="0.2">
      <c r="A11" s="19">
        <f t="shared" si="0"/>
        <v>7</v>
      </c>
      <c r="B11" s="295" t="s">
        <v>109</v>
      </c>
      <c r="C11" s="182" t="s">
        <v>139</v>
      </c>
      <c r="D11" s="182" t="s">
        <v>139</v>
      </c>
      <c r="E11" s="27">
        <f t="shared" si="1"/>
        <v>0</v>
      </c>
    </row>
    <row r="12" spans="1:7" x14ac:dyDescent="0.2">
      <c r="A12" s="19">
        <f t="shared" si="0"/>
        <v>8</v>
      </c>
      <c r="B12" s="295" t="s">
        <v>53</v>
      </c>
      <c r="C12" s="28">
        <v>216735</v>
      </c>
      <c r="D12" s="182" t="s">
        <v>139</v>
      </c>
      <c r="E12" s="27">
        <f t="shared" si="1"/>
        <v>216735</v>
      </c>
    </row>
    <row r="13" spans="1:7" ht="15.75" customHeight="1" x14ac:dyDescent="0.2">
      <c r="A13" s="19">
        <f t="shared" si="0"/>
        <v>9</v>
      </c>
      <c r="B13" s="294" t="s">
        <v>167</v>
      </c>
      <c r="C13" s="26">
        <f>C14</f>
        <v>20000</v>
      </c>
      <c r="D13" s="26">
        <f>D14</f>
        <v>0</v>
      </c>
      <c r="E13" s="27">
        <f t="shared" si="1"/>
        <v>20000</v>
      </c>
    </row>
    <row r="14" spans="1:7" x14ac:dyDescent="0.2">
      <c r="A14" s="19">
        <f t="shared" si="0"/>
        <v>10</v>
      </c>
      <c r="B14" s="295" t="s">
        <v>54</v>
      </c>
      <c r="C14" s="28">
        <v>20000</v>
      </c>
      <c r="D14" s="28"/>
      <c r="E14" s="27">
        <f t="shared" si="1"/>
        <v>20000</v>
      </c>
    </row>
    <row r="15" spans="1:7" x14ac:dyDescent="0.2">
      <c r="A15" s="19">
        <f t="shared" si="0"/>
        <v>11</v>
      </c>
      <c r="B15" s="294" t="s">
        <v>168</v>
      </c>
      <c r="C15" s="26">
        <f>SUM(C16:C18)</f>
        <v>2378708</v>
      </c>
      <c r="D15" s="26">
        <f>SUM(D16:D18)</f>
        <v>0</v>
      </c>
      <c r="E15" s="27">
        <f t="shared" si="1"/>
        <v>2378708</v>
      </c>
    </row>
    <row r="16" spans="1:7" x14ac:dyDescent="0.2">
      <c r="A16" s="19">
        <f t="shared" si="0"/>
        <v>12</v>
      </c>
      <c r="B16" s="295" t="s">
        <v>642</v>
      </c>
      <c r="C16" s="28">
        <v>583077</v>
      </c>
      <c r="D16" s="182" t="s">
        <v>139</v>
      </c>
      <c r="E16" s="27">
        <f t="shared" si="1"/>
        <v>583077</v>
      </c>
    </row>
    <row r="17" spans="1:6" x14ac:dyDescent="0.2">
      <c r="A17" s="19">
        <f t="shared" si="0"/>
        <v>13</v>
      </c>
      <c r="B17" s="295" t="s">
        <v>55</v>
      </c>
      <c r="C17" s="28">
        <f>451340</f>
        <v>451340</v>
      </c>
      <c r="D17" s="182" t="s">
        <v>139</v>
      </c>
      <c r="E17" s="27">
        <f t="shared" si="1"/>
        <v>451340</v>
      </c>
      <c r="F17" s="12"/>
    </row>
    <row r="18" spans="1:6" x14ac:dyDescent="0.2">
      <c r="A18" s="19">
        <f t="shared" si="0"/>
        <v>14</v>
      </c>
      <c r="B18" s="295" t="s">
        <v>56</v>
      </c>
      <c r="C18" s="28">
        <v>1344291</v>
      </c>
      <c r="D18" s="182" t="s">
        <v>139</v>
      </c>
      <c r="E18" s="27">
        <f t="shared" si="1"/>
        <v>1344291</v>
      </c>
    </row>
    <row r="19" spans="1:6" ht="16.5" thickBot="1" x14ac:dyDescent="0.25">
      <c r="A19" s="20">
        <f t="shared" si="0"/>
        <v>15</v>
      </c>
      <c r="B19" s="296" t="s">
        <v>169</v>
      </c>
      <c r="C19" s="29">
        <f>C5+C7+C13+C15</f>
        <v>43995517</v>
      </c>
      <c r="D19" s="29">
        <f>D5+D7+D13+D15</f>
        <v>465000</v>
      </c>
      <c r="E19" s="30">
        <f t="shared" si="1"/>
        <v>44460517</v>
      </c>
    </row>
    <row r="20" spans="1:6" x14ac:dyDescent="0.2">
      <c r="A20" s="281" t="s">
        <v>626</v>
      </c>
      <c r="B20" s="282" t="s">
        <v>695</v>
      </c>
      <c r="C20" s="16"/>
      <c r="D20" s="16"/>
    </row>
    <row r="21" spans="1:6" x14ac:dyDescent="0.2">
      <c r="A21" s="17"/>
      <c r="B21" s="59"/>
      <c r="F21" s="56"/>
    </row>
    <row r="22" spans="1:6" x14ac:dyDescent="0.2">
      <c r="F22" s="56"/>
    </row>
    <row r="23" spans="1:6" x14ac:dyDescent="0.25">
      <c r="B23" s="666"/>
      <c r="F23" s="56"/>
    </row>
    <row r="24" spans="1:6" x14ac:dyDescent="0.2">
      <c r="F24" s="56"/>
    </row>
    <row r="25" spans="1:6" x14ac:dyDescent="0.2">
      <c r="F25" s="56"/>
    </row>
    <row r="26" spans="1:6" x14ac:dyDescent="0.2">
      <c r="F26" s="56"/>
    </row>
    <row r="27" spans="1:6" x14ac:dyDescent="0.2">
      <c r="F27" s="56"/>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G15"/>
  <sheetViews>
    <sheetView zoomScaleNormal="100" workbookViewId="0">
      <pane xSplit="2" ySplit="5" topLeftCell="C6" activePane="bottomRight" state="frozen"/>
      <selection pane="topRight" activeCell="C1" sqref="C1"/>
      <selection pane="bottomLeft" activeCell="A6" sqref="A6"/>
      <selection pane="bottomRight" activeCell="F16" sqref="F16"/>
    </sheetView>
  </sheetViews>
  <sheetFormatPr defaultColWidth="9.140625" defaultRowHeight="15.75" x14ac:dyDescent="0.2"/>
  <cols>
    <col min="1" max="1" width="8.140625" style="13" customWidth="1"/>
    <col min="2" max="2" width="93.140625" style="41" customWidth="1"/>
    <col min="3" max="3" width="17.28515625" style="13" customWidth="1"/>
    <col min="4" max="4" width="17.140625" style="13" customWidth="1"/>
    <col min="5" max="5" width="15.7109375" style="13" customWidth="1"/>
    <col min="6" max="6" width="18" style="13" customWidth="1"/>
    <col min="7" max="16384" width="9.140625" style="13"/>
  </cols>
  <sheetData>
    <row r="1" spans="1:7" s="312" customFormat="1" ht="50.1" customHeight="1" thickBot="1" x14ac:dyDescent="0.25">
      <c r="A1" s="810" t="s">
        <v>698</v>
      </c>
      <c r="B1" s="811"/>
      <c r="C1" s="811"/>
      <c r="D1" s="811"/>
      <c r="E1" s="811"/>
      <c r="F1" s="812"/>
      <c r="G1" s="347"/>
    </row>
    <row r="2" spans="1:7" s="312" customFormat="1" ht="36.75" customHeight="1" x14ac:dyDescent="0.2">
      <c r="A2" s="821" t="s">
        <v>954</v>
      </c>
      <c r="B2" s="822"/>
      <c r="C2" s="823" t="s">
        <v>624</v>
      </c>
      <c r="D2" s="823"/>
      <c r="E2" s="823"/>
      <c r="F2" s="824"/>
    </row>
    <row r="3" spans="1:7" s="312" customFormat="1" ht="15.6" customHeight="1" x14ac:dyDescent="0.2">
      <c r="A3" s="819" t="s">
        <v>80</v>
      </c>
      <c r="B3" s="817" t="s">
        <v>152</v>
      </c>
      <c r="C3" s="813">
        <v>2021</v>
      </c>
      <c r="D3" s="814"/>
      <c r="E3" s="815">
        <v>2022</v>
      </c>
      <c r="F3" s="816"/>
    </row>
    <row r="4" spans="1:7" s="312" customFormat="1" ht="69" customHeight="1" x14ac:dyDescent="0.2">
      <c r="A4" s="820"/>
      <c r="B4" s="818"/>
      <c r="C4" s="489" t="s">
        <v>481</v>
      </c>
      <c r="D4" s="489" t="s">
        <v>625</v>
      </c>
      <c r="E4" s="489" t="s">
        <v>481</v>
      </c>
      <c r="F4" s="490" t="s">
        <v>875</v>
      </c>
    </row>
    <row r="5" spans="1:7" s="312" customFormat="1" x14ac:dyDescent="0.2">
      <c r="A5" s="362"/>
      <c r="B5" s="363"/>
      <c r="C5" s="366" t="s">
        <v>118</v>
      </c>
      <c r="D5" s="366" t="s">
        <v>119</v>
      </c>
      <c r="E5" s="366" t="s">
        <v>120</v>
      </c>
      <c r="F5" s="311" t="s">
        <v>126</v>
      </c>
    </row>
    <row r="6" spans="1:7" ht="38.25" customHeight="1" x14ac:dyDescent="0.2">
      <c r="A6" s="19">
        <v>1</v>
      </c>
      <c r="B6" s="51" t="s">
        <v>861</v>
      </c>
      <c r="C6" s="279">
        <v>25200</v>
      </c>
      <c r="D6" s="82" t="s">
        <v>139</v>
      </c>
      <c r="E6" s="81">
        <v>50200</v>
      </c>
      <c r="F6" s="83" t="s">
        <v>139</v>
      </c>
    </row>
    <row r="7" spans="1:7" ht="38.25" customHeight="1" x14ac:dyDescent="0.2">
      <c r="A7" s="19">
        <f>A6+1</f>
        <v>2</v>
      </c>
      <c r="B7" s="51" t="s">
        <v>862</v>
      </c>
      <c r="C7" s="82" t="s">
        <v>139</v>
      </c>
      <c r="D7" s="279">
        <v>126</v>
      </c>
      <c r="E7" s="82" t="s">
        <v>139</v>
      </c>
      <c r="F7" s="45">
        <v>251</v>
      </c>
    </row>
    <row r="8" spans="1:7" ht="38.25" customHeight="1" x14ac:dyDescent="0.2">
      <c r="A8" s="19">
        <f>A7+1</f>
        <v>3</v>
      </c>
      <c r="B8" s="51" t="s">
        <v>863</v>
      </c>
      <c r="C8" s="82" t="s">
        <v>139</v>
      </c>
      <c r="D8" s="279">
        <v>38</v>
      </c>
      <c r="E8" s="82" t="s">
        <v>139</v>
      </c>
      <c r="F8" s="45">
        <v>55</v>
      </c>
    </row>
    <row r="9" spans="1:7" ht="33" customHeight="1" x14ac:dyDescent="0.2">
      <c r="A9" s="19">
        <f>A8+1</f>
        <v>4</v>
      </c>
      <c r="B9" s="493" t="s">
        <v>860</v>
      </c>
      <c r="C9" s="496">
        <v>0</v>
      </c>
      <c r="D9" s="82" t="s">
        <v>139</v>
      </c>
      <c r="E9" s="84">
        <f>+C11</f>
        <v>0</v>
      </c>
      <c r="F9" s="83" t="s">
        <v>139</v>
      </c>
    </row>
    <row r="10" spans="1:7" ht="33.75" customHeight="1" x14ac:dyDescent="0.2">
      <c r="A10" s="19">
        <f>A9+1</f>
        <v>5</v>
      </c>
      <c r="B10" s="493" t="s">
        <v>864</v>
      </c>
      <c r="C10" s="279">
        <v>25200</v>
      </c>
      <c r="D10" s="82" t="s">
        <v>139</v>
      </c>
      <c r="E10" s="85">
        <v>50200</v>
      </c>
      <c r="F10" s="83" t="s">
        <v>139</v>
      </c>
    </row>
    <row r="11" spans="1:7" ht="33.75" customHeight="1" thickBot="1" x14ac:dyDescent="0.25">
      <c r="A11" s="20">
        <v>6</v>
      </c>
      <c r="B11" s="494" t="s">
        <v>99</v>
      </c>
      <c r="C11" s="492">
        <f>C9+C10-C6</f>
        <v>0</v>
      </c>
      <c r="D11" s="88" t="s">
        <v>139</v>
      </c>
      <c r="E11" s="492">
        <f>E9+E10-E6</f>
        <v>0</v>
      </c>
      <c r="F11" s="89" t="s">
        <v>139</v>
      </c>
    </row>
    <row r="12" spans="1:7" ht="15.75" customHeight="1" x14ac:dyDescent="0.2">
      <c r="B12" s="15"/>
    </row>
    <row r="13" spans="1:7" x14ac:dyDescent="0.2">
      <c r="A13" s="828" t="s">
        <v>865</v>
      </c>
      <c r="B13" s="829"/>
      <c r="C13" s="829"/>
      <c r="D13" s="829"/>
      <c r="E13" s="829"/>
      <c r="F13" s="830"/>
    </row>
    <row r="14" spans="1:7" x14ac:dyDescent="0.2">
      <c r="A14" s="825" t="s">
        <v>866</v>
      </c>
      <c r="B14" s="826"/>
      <c r="C14" s="826"/>
      <c r="D14" s="826"/>
      <c r="E14" s="826"/>
      <c r="F14" s="827"/>
    </row>
    <row r="15" spans="1:7" x14ac:dyDescent="0.2">
      <c r="C15" s="41"/>
      <c r="D15" s="41"/>
    </row>
  </sheetData>
  <mergeCells count="9">
    <mergeCell ref="A14:F14"/>
    <mergeCell ref="A13:F13"/>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2"/>
  <sheetViews>
    <sheetView zoomScaleNormal="100" workbookViewId="0">
      <pane xSplit="2" ySplit="5" topLeftCell="C6" activePane="bottomRight" state="frozen"/>
      <selection pane="topRight" activeCell="C1" sqref="C1"/>
      <selection pane="bottomLeft" activeCell="A6" sqref="A6"/>
      <selection pane="bottomRight" activeCell="G6" sqref="G6"/>
    </sheetView>
  </sheetViews>
  <sheetFormatPr defaultColWidth="9.140625" defaultRowHeight="12.75" x14ac:dyDescent="0.2"/>
  <cols>
    <col min="1" max="1" width="8.28515625" style="50" customWidth="1"/>
    <col min="2" max="2" width="77.7109375" style="50" customWidth="1"/>
    <col min="3" max="3" width="14.7109375" style="50" customWidth="1"/>
    <col min="4" max="4" width="14.85546875" style="50" customWidth="1"/>
    <col min="5" max="6" width="14.7109375" style="50" customWidth="1"/>
    <col min="7" max="7" width="24" style="50" customWidth="1"/>
    <col min="8" max="16384" width="9.140625" style="50"/>
  </cols>
  <sheetData>
    <row r="1" spans="1:8" s="367" customFormat="1" ht="50.1" customHeight="1" x14ac:dyDescent="0.2">
      <c r="A1" s="834" t="s">
        <v>647</v>
      </c>
      <c r="B1" s="835"/>
      <c r="C1" s="835"/>
      <c r="D1" s="835"/>
      <c r="E1" s="835"/>
      <c r="F1" s="836"/>
      <c r="H1" s="368"/>
    </row>
    <row r="2" spans="1:8" s="367" customFormat="1" ht="33" customHeight="1" x14ac:dyDescent="0.2">
      <c r="A2" s="840" t="s">
        <v>957</v>
      </c>
      <c r="B2" s="841"/>
      <c r="C2" s="841"/>
      <c r="D2" s="841"/>
      <c r="E2" s="841"/>
      <c r="F2" s="842"/>
    </row>
    <row r="3" spans="1:8" s="367" customFormat="1" ht="18.75" customHeight="1" x14ac:dyDescent="0.2">
      <c r="A3" s="819" t="s">
        <v>80</v>
      </c>
      <c r="B3" s="838" t="s">
        <v>152</v>
      </c>
      <c r="C3" s="838" t="s">
        <v>487</v>
      </c>
      <c r="D3" s="838"/>
      <c r="E3" s="838" t="s">
        <v>162</v>
      </c>
      <c r="F3" s="839"/>
    </row>
    <row r="4" spans="1:8" s="367" customFormat="1" ht="18.75" customHeight="1" x14ac:dyDescent="0.2">
      <c r="A4" s="837"/>
      <c r="B4" s="838"/>
      <c r="C4" s="346">
        <v>2021</v>
      </c>
      <c r="D4" s="346">
        <v>2022</v>
      </c>
      <c r="E4" s="293">
        <v>2021</v>
      </c>
      <c r="F4" s="318">
        <v>2022</v>
      </c>
    </row>
    <row r="5" spans="1:8" s="367" customFormat="1" ht="15.75" x14ac:dyDescent="0.2">
      <c r="A5" s="313"/>
      <c r="B5" s="369"/>
      <c r="C5" s="346" t="s">
        <v>118</v>
      </c>
      <c r="D5" s="346" t="s">
        <v>119</v>
      </c>
      <c r="E5" s="366" t="s">
        <v>120</v>
      </c>
      <c r="F5" s="371" t="s">
        <v>126</v>
      </c>
    </row>
    <row r="6" spans="1:8" ht="31.5" x14ac:dyDescent="0.2">
      <c r="A6" s="19">
        <v>1</v>
      </c>
      <c r="B6" s="294" t="s">
        <v>464</v>
      </c>
      <c r="C6" s="44" t="s">
        <v>139</v>
      </c>
      <c r="D6" s="44" t="s">
        <v>139</v>
      </c>
      <c r="E6" s="72">
        <v>1884</v>
      </c>
      <c r="F6" s="79">
        <v>1906</v>
      </c>
    </row>
    <row r="7" spans="1:8" ht="37.5" x14ac:dyDescent="0.2">
      <c r="A7" s="19">
        <f>A6+1</f>
        <v>2</v>
      </c>
      <c r="B7" s="297" t="s">
        <v>159</v>
      </c>
      <c r="C7" s="44" t="s">
        <v>139</v>
      </c>
      <c r="D7" s="44" t="s">
        <v>139</v>
      </c>
      <c r="E7" s="72">
        <v>17440</v>
      </c>
      <c r="F7" s="79">
        <v>17794</v>
      </c>
    </row>
    <row r="8" spans="1:8" ht="15.75" x14ac:dyDescent="0.2">
      <c r="A8" s="19">
        <v>3</v>
      </c>
      <c r="B8" s="303" t="s">
        <v>110</v>
      </c>
      <c r="C8" s="44" t="s">
        <v>139</v>
      </c>
      <c r="D8" s="44" t="s">
        <v>139</v>
      </c>
      <c r="E8" s="36">
        <f>E7/12</f>
        <v>1453.3333333333333</v>
      </c>
      <c r="F8" s="71">
        <f>F7/12</f>
        <v>1482.8333333333333</v>
      </c>
    </row>
    <row r="9" spans="1:8" ht="31.5" x14ac:dyDescent="0.2">
      <c r="A9" s="19">
        <f t="shared" ref="A9:A18" si="0">A8+1</f>
        <v>4</v>
      </c>
      <c r="B9" s="297" t="s">
        <v>164</v>
      </c>
      <c r="C9" s="28">
        <v>549680.28</v>
      </c>
      <c r="D9" s="46">
        <v>826186.49</v>
      </c>
      <c r="E9" s="44" t="s">
        <v>139</v>
      </c>
      <c r="F9" s="47" t="s">
        <v>139</v>
      </c>
    </row>
    <row r="10" spans="1:8" ht="31.5" x14ac:dyDescent="0.2">
      <c r="A10" s="19">
        <f t="shared" si="0"/>
        <v>5</v>
      </c>
      <c r="B10" s="297" t="s">
        <v>171</v>
      </c>
      <c r="C10" s="28">
        <v>20572</v>
      </c>
      <c r="D10" s="28">
        <v>25716</v>
      </c>
      <c r="E10" s="28">
        <v>612</v>
      </c>
      <c r="F10" s="35">
        <v>624</v>
      </c>
      <c r="G10" s="635"/>
    </row>
    <row r="11" spans="1:8" ht="31.5" x14ac:dyDescent="0.2">
      <c r="A11" s="19">
        <f t="shared" si="0"/>
        <v>6</v>
      </c>
      <c r="B11" s="299" t="s">
        <v>524</v>
      </c>
      <c r="C11" s="72">
        <v>1488147</v>
      </c>
      <c r="D11" s="72">
        <f>1047238.34+2113.66</f>
        <v>1049352</v>
      </c>
      <c r="E11" s="44" t="s">
        <v>139</v>
      </c>
      <c r="F11" s="47" t="s">
        <v>139</v>
      </c>
    </row>
    <row r="12" spans="1:8" ht="15.75" x14ac:dyDescent="0.2">
      <c r="A12" s="19">
        <f t="shared" si="0"/>
        <v>7</v>
      </c>
      <c r="B12" s="297" t="s">
        <v>163</v>
      </c>
      <c r="C12" s="28">
        <v>15313.9</v>
      </c>
      <c r="D12" s="28">
        <v>9429.9500000000007</v>
      </c>
      <c r="E12" s="44" t="s">
        <v>139</v>
      </c>
      <c r="F12" s="47" t="s">
        <v>139</v>
      </c>
    </row>
    <row r="13" spans="1:8" ht="15.75" x14ac:dyDescent="0.2">
      <c r="A13" s="19">
        <f t="shared" si="0"/>
        <v>8</v>
      </c>
      <c r="B13" s="297" t="s">
        <v>172</v>
      </c>
      <c r="C13" s="36">
        <f>SUM(C9:C12)</f>
        <v>2073713.18</v>
      </c>
      <c r="D13" s="36">
        <f>SUM(D9:D12)</f>
        <v>1910684.44</v>
      </c>
      <c r="E13" s="44" t="s">
        <v>139</v>
      </c>
      <c r="F13" s="47" t="s">
        <v>139</v>
      </c>
    </row>
    <row r="14" spans="1:8" ht="15.75" x14ac:dyDescent="0.2">
      <c r="A14" s="19">
        <f t="shared" si="0"/>
        <v>9</v>
      </c>
      <c r="B14" s="297" t="s">
        <v>796</v>
      </c>
      <c r="C14" s="36">
        <f>C15+C16</f>
        <v>1786013.81</v>
      </c>
      <c r="D14" s="36">
        <f>D15+D16</f>
        <v>2369219.8200000003</v>
      </c>
      <c r="E14" s="44" t="s">
        <v>139</v>
      </c>
      <c r="F14" s="47" t="s">
        <v>139</v>
      </c>
      <c r="G14" s="367"/>
      <c r="H14" s="367"/>
    </row>
    <row r="15" spans="1:8" ht="15.75" x14ac:dyDescent="0.2">
      <c r="A15" s="19">
        <f t="shared" si="0"/>
        <v>10</v>
      </c>
      <c r="B15" s="345" t="s">
        <v>699</v>
      </c>
      <c r="C15" s="28">
        <v>1097986.81</v>
      </c>
      <c r="D15" s="28">
        <v>1077857.7</v>
      </c>
      <c r="E15" s="44" t="s">
        <v>139</v>
      </c>
      <c r="F15" s="47" t="s">
        <v>139</v>
      </c>
      <c r="G15" s="634"/>
      <c r="H15" s="367"/>
    </row>
    <row r="16" spans="1:8" ht="15.75" x14ac:dyDescent="0.2">
      <c r="A16" s="19">
        <f t="shared" si="0"/>
        <v>11</v>
      </c>
      <c r="B16" s="345" t="s">
        <v>700</v>
      </c>
      <c r="C16" s="28">
        <v>688027</v>
      </c>
      <c r="D16" s="28">
        <v>1291362.1200000001</v>
      </c>
      <c r="E16" s="44" t="s">
        <v>139</v>
      </c>
      <c r="F16" s="47" t="s">
        <v>139</v>
      </c>
      <c r="G16" s="367"/>
      <c r="H16" s="367"/>
    </row>
    <row r="17" spans="1:8" ht="31.5" x14ac:dyDescent="0.2">
      <c r="A17" s="19">
        <f t="shared" si="0"/>
        <v>12</v>
      </c>
      <c r="B17" s="297" t="s">
        <v>173</v>
      </c>
      <c r="C17" s="36">
        <f>+C13-C14</f>
        <v>287699.36999999988</v>
      </c>
      <c r="D17" s="36">
        <f>+D13-D14</f>
        <v>-458535.38000000035</v>
      </c>
      <c r="E17" s="44" t="s">
        <v>139</v>
      </c>
      <c r="F17" s="47" t="s">
        <v>139</v>
      </c>
      <c r="G17" s="367"/>
      <c r="H17" s="367"/>
    </row>
    <row r="18" spans="1:8" ht="16.5" thickBot="1" x14ac:dyDescent="0.25">
      <c r="A18" s="20">
        <f t="shared" si="0"/>
        <v>13</v>
      </c>
      <c r="B18" s="370" t="s">
        <v>174</v>
      </c>
      <c r="C18" s="37">
        <f>IF(E8=0,0,C14/E8)</f>
        <v>1228.9085848623854</v>
      </c>
      <c r="D18" s="37">
        <f>IF(F8=0,0,D14/F8)</f>
        <v>1597.7654175564801</v>
      </c>
      <c r="E18" s="48" t="s">
        <v>139</v>
      </c>
      <c r="F18" s="49" t="s">
        <v>139</v>
      </c>
      <c r="G18" s="367"/>
      <c r="H18" s="367"/>
    </row>
    <row r="19" spans="1:8" x14ac:dyDescent="0.2">
      <c r="G19" s="367"/>
      <c r="H19" s="367"/>
    </row>
    <row r="20" spans="1:8" s="367" customFormat="1" ht="15.75" customHeight="1" x14ac:dyDescent="0.2">
      <c r="A20" s="807" t="s">
        <v>794</v>
      </c>
      <c r="B20" s="808"/>
      <c r="C20" s="808"/>
      <c r="D20" s="808"/>
      <c r="E20" s="808"/>
      <c r="F20" s="809"/>
    </row>
    <row r="21" spans="1:8" s="367" customFormat="1" ht="31.5" customHeight="1" x14ac:dyDescent="0.2">
      <c r="A21" s="831" t="s">
        <v>795</v>
      </c>
      <c r="B21" s="832"/>
      <c r="C21" s="832"/>
      <c r="D21" s="832"/>
      <c r="E21" s="832"/>
      <c r="F21" s="833"/>
    </row>
    <row r="22" spans="1:8" x14ac:dyDescent="0.2">
      <c r="G22" s="367"/>
      <c r="H22" s="367"/>
    </row>
  </sheetData>
  <mergeCells count="8">
    <mergeCell ref="A21:F21"/>
    <mergeCell ref="A1:F1"/>
    <mergeCell ref="A3:A4"/>
    <mergeCell ref="B3:B4"/>
    <mergeCell ref="C3:D3"/>
    <mergeCell ref="E3:F3"/>
    <mergeCell ref="A2:F2"/>
    <mergeCell ref="A20:F20"/>
  </mergeCells>
  <phoneticPr fontId="5" type="noConversion"/>
  <pageMargins left="0.66" right="0.45" top="0.98425196850393704" bottom="0.77" header="0.51181102362204722" footer="0.51181102362204722"/>
  <pageSetup paperSize="9"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28"/>
  <sheetViews>
    <sheetView tabSelected="1" zoomScaleNormal="100" workbookViewId="0">
      <pane xSplit="2" ySplit="1" topLeftCell="C7" activePane="bottomRight" state="frozen"/>
      <selection pane="topRight" activeCell="C1" sqref="C1"/>
      <selection pane="bottomLeft" activeCell="A5" sqref="A5"/>
      <selection pane="bottomRight" activeCell="B32" sqref="B32"/>
    </sheetView>
  </sheetViews>
  <sheetFormatPr defaultColWidth="9.140625" defaultRowHeight="15.75" x14ac:dyDescent="0.25"/>
  <cols>
    <col min="1" max="1" width="8.140625" style="561" customWidth="1"/>
    <col min="2" max="2" width="94" style="596" customWidth="1"/>
    <col min="3" max="4" width="18.7109375" style="561" customWidth="1"/>
    <col min="5" max="5" width="18.5703125" style="561" customWidth="1"/>
    <col min="6" max="7" width="9.140625" style="561"/>
    <col min="8" max="8" width="10.140625" style="561" bestFit="1" customWidth="1"/>
    <col min="9" max="16384" width="9.140625" style="561"/>
  </cols>
  <sheetData>
    <row r="1" spans="1:8" s="560" customFormat="1" ht="45.75" customHeight="1" thickBot="1" x14ac:dyDescent="0.3">
      <c r="A1" s="846" t="s">
        <v>928</v>
      </c>
      <c r="B1" s="847"/>
      <c r="C1" s="847"/>
      <c r="D1" s="848"/>
      <c r="F1" s="561"/>
    </row>
    <row r="2" spans="1:8" s="560" customFormat="1" x14ac:dyDescent="0.25">
      <c r="A2" s="849" t="s">
        <v>957</v>
      </c>
      <c r="B2" s="850"/>
      <c r="C2" s="850"/>
      <c r="D2" s="851"/>
    </row>
    <row r="3" spans="1:8" s="560" customFormat="1" ht="31.5" x14ac:dyDescent="0.25">
      <c r="A3" s="562" t="s">
        <v>80</v>
      </c>
      <c r="B3" s="563" t="s">
        <v>152</v>
      </c>
      <c r="C3" s="564">
        <v>2021</v>
      </c>
      <c r="D3" s="565">
        <v>2022</v>
      </c>
    </row>
    <row r="4" spans="1:8" x14ac:dyDescent="0.25">
      <c r="A4" s="566"/>
      <c r="B4" s="567"/>
      <c r="C4" s="568" t="s">
        <v>118</v>
      </c>
      <c r="D4" s="569" t="s">
        <v>119</v>
      </c>
    </row>
    <row r="5" spans="1:8" ht="18.75" x14ac:dyDescent="0.25">
      <c r="A5" s="570">
        <v>1</v>
      </c>
      <c r="B5" s="571" t="s">
        <v>929</v>
      </c>
      <c r="C5" s="572">
        <f>+C6+C9</f>
        <v>265930.43</v>
      </c>
      <c r="D5" s="573">
        <f>D6+D9</f>
        <v>895272.6</v>
      </c>
    </row>
    <row r="6" spans="1:8" x14ac:dyDescent="0.25">
      <c r="A6" s="570">
        <f t="shared" ref="A6:A13" si="0">A5+1</f>
        <v>2</v>
      </c>
      <c r="B6" s="571" t="s">
        <v>930</v>
      </c>
      <c r="C6" s="572">
        <f>+C7+C8</f>
        <v>123180.83</v>
      </c>
      <c r="D6" s="573">
        <f>+D7+D8</f>
        <v>471010</v>
      </c>
    </row>
    <row r="7" spans="1:8" x14ac:dyDescent="0.25">
      <c r="A7" s="570">
        <f t="shared" si="0"/>
        <v>3</v>
      </c>
      <c r="B7" s="574" t="s">
        <v>931</v>
      </c>
      <c r="C7" s="575">
        <v>121570.83</v>
      </c>
      <c r="D7" s="576">
        <v>467720</v>
      </c>
    </row>
    <row r="8" spans="1:8" x14ac:dyDescent="0.25">
      <c r="A8" s="570">
        <f t="shared" si="0"/>
        <v>4</v>
      </c>
      <c r="B8" s="574" t="s">
        <v>932</v>
      </c>
      <c r="C8" s="575">
        <v>1610</v>
      </c>
      <c r="D8" s="576">
        <v>3290</v>
      </c>
    </row>
    <row r="9" spans="1:8" x14ac:dyDescent="0.25">
      <c r="A9" s="570">
        <f t="shared" si="0"/>
        <v>5</v>
      </c>
      <c r="B9" s="571" t="s">
        <v>933</v>
      </c>
      <c r="C9" s="577">
        <f>+C10+C11-C12</f>
        <v>142749.59999999998</v>
      </c>
      <c r="D9" s="639">
        <f>+D10+D11-D12</f>
        <v>424262.6</v>
      </c>
    </row>
    <row r="10" spans="1:8" ht="31.5" x14ac:dyDescent="0.25">
      <c r="A10" s="570">
        <f t="shared" si="0"/>
        <v>6</v>
      </c>
      <c r="B10" s="574" t="s">
        <v>934</v>
      </c>
      <c r="C10" s="575">
        <v>493379</v>
      </c>
      <c r="D10" s="578">
        <f>+C12</f>
        <v>350629.4</v>
      </c>
    </row>
    <row r="11" spans="1:8" x14ac:dyDescent="0.25">
      <c r="A11" s="570">
        <f t="shared" si="0"/>
        <v>7</v>
      </c>
      <c r="B11" s="574" t="s">
        <v>935</v>
      </c>
      <c r="C11" s="575">
        <v>0</v>
      </c>
      <c r="D11" s="576">
        <v>239370</v>
      </c>
      <c r="F11" s="622"/>
      <c r="G11" s="622"/>
      <c r="H11" s="622"/>
    </row>
    <row r="12" spans="1:8" x14ac:dyDescent="0.25">
      <c r="A12" s="570">
        <f t="shared" si="0"/>
        <v>8</v>
      </c>
      <c r="B12" s="574" t="s">
        <v>936</v>
      </c>
      <c r="C12" s="577">
        <f>C10+C11-C22</f>
        <v>350629.4</v>
      </c>
      <c r="D12" s="578">
        <f>D10+D11-D22</f>
        <v>165736.80000000005</v>
      </c>
      <c r="E12" s="636"/>
    </row>
    <row r="13" spans="1:8" ht="31.5" x14ac:dyDescent="0.25">
      <c r="A13" s="570">
        <f t="shared" si="0"/>
        <v>9</v>
      </c>
      <c r="B13" s="571" t="s">
        <v>937</v>
      </c>
      <c r="C13" s="579">
        <v>347936.4</v>
      </c>
      <c r="D13" s="580">
        <v>646661</v>
      </c>
    </row>
    <row r="14" spans="1:8" x14ac:dyDescent="0.25">
      <c r="A14" s="570"/>
      <c r="B14" s="581" t="s">
        <v>132</v>
      </c>
      <c r="C14" s="582"/>
      <c r="D14" s="583"/>
    </row>
    <row r="15" spans="1:8" ht="18.75" x14ac:dyDescent="0.25">
      <c r="A15" s="570">
        <f>A13+1</f>
        <v>10</v>
      </c>
      <c r="B15" s="584" t="s">
        <v>938</v>
      </c>
      <c r="C15" s="575">
        <v>347936.4</v>
      </c>
      <c r="D15" s="576">
        <v>646661</v>
      </c>
    </row>
    <row r="16" spans="1:8" ht="31.5" x14ac:dyDescent="0.25">
      <c r="A16" s="570">
        <f t="shared" ref="A16:A23" si="1">+A15+1</f>
        <v>11</v>
      </c>
      <c r="B16" s="571" t="s">
        <v>939</v>
      </c>
      <c r="C16" s="572">
        <f>C5-C13</f>
        <v>-82005.97000000003</v>
      </c>
      <c r="D16" s="573">
        <f>D5-D13</f>
        <v>248611.59999999998</v>
      </c>
    </row>
    <row r="17" spans="1:6" x14ac:dyDescent="0.25">
      <c r="A17" s="570">
        <f t="shared" si="1"/>
        <v>12</v>
      </c>
      <c r="B17" s="571" t="s">
        <v>940</v>
      </c>
      <c r="C17" s="572">
        <f>C18+C19+C20+C21</f>
        <v>101964</v>
      </c>
      <c r="D17" s="573">
        <f>D18+D19+D20+D21</f>
        <v>291756</v>
      </c>
    </row>
    <row r="18" spans="1:6" ht="18.75" x14ac:dyDescent="0.25">
      <c r="A18" s="585">
        <f t="shared" si="1"/>
        <v>13</v>
      </c>
      <c r="B18" s="586" t="s">
        <v>941</v>
      </c>
      <c r="C18" s="587">
        <v>101964</v>
      </c>
      <c r="D18" s="588">
        <v>133714</v>
      </c>
    </row>
    <row r="19" spans="1:6" ht="18.75" x14ac:dyDescent="0.25">
      <c r="A19" s="585">
        <f t="shared" si="1"/>
        <v>14</v>
      </c>
      <c r="B19" s="586" t="s">
        <v>942</v>
      </c>
      <c r="C19" s="587"/>
      <c r="D19" s="588">
        <v>158042</v>
      </c>
    </row>
    <row r="20" spans="1:6" ht="18.75" x14ac:dyDescent="0.25">
      <c r="A20" s="585">
        <f t="shared" si="1"/>
        <v>15</v>
      </c>
      <c r="B20" s="586" t="s">
        <v>943</v>
      </c>
      <c r="C20" s="587"/>
      <c r="D20" s="588"/>
    </row>
    <row r="21" spans="1:6" ht="18.75" x14ac:dyDescent="0.25">
      <c r="A21" s="585">
        <f t="shared" si="1"/>
        <v>16</v>
      </c>
      <c r="B21" s="586" t="s">
        <v>944</v>
      </c>
      <c r="C21" s="587"/>
      <c r="D21" s="588"/>
    </row>
    <row r="22" spans="1:6" x14ac:dyDescent="0.25">
      <c r="A22" s="589">
        <f t="shared" si="1"/>
        <v>17</v>
      </c>
      <c r="B22" s="571" t="s">
        <v>945</v>
      </c>
      <c r="C22" s="572">
        <f>(C18*1.4 +C19*1.5+C20*1.4+C21*1.5)</f>
        <v>142749.59999999998</v>
      </c>
      <c r="D22" s="573">
        <f>(D18*1.4+D19*1.5+D20*1.4+D21*1.5)</f>
        <v>424262.6</v>
      </c>
      <c r="F22" s="637"/>
    </row>
    <row r="23" spans="1:6" ht="16.5" thickBot="1" x14ac:dyDescent="0.3">
      <c r="A23" s="590">
        <f t="shared" si="1"/>
        <v>18</v>
      </c>
      <c r="B23" s="591" t="s">
        <v>946</v>
      </c>
      <c r="C23" s="592">
        <f>IF(C18=0,0,C15/(C18+C19))</f>
        <v>3.412345533717783</v>
      </c>
      <c r="D23" s="621">
        <f>IF(D18=0,0,D15/(D18+D19))</f>
        <v>2.2164445632651941</v>
      </c>
    </row>
    <row r="24" spans="1:6" x14ac:dyDescent="0.25">
      <c r="A24" s="593"/>
      <c r="B24" s="594"/>
      <c r="C24" s="595"/>
      <c r="D24" s="595"/>
    </row>
    <row r="25" spans="1:6" x14ac:dyDescent="0.25">
      <c r="A25" s="852" t="s">
        <v>947</v>
      </c>
      <c r="B25" s="853"/>
      <c r="C25" s="853"/>
      <c r="D25" s="854"/>
    </row>
    <row r="26" spans="1:6" x14ac:dyDescent="0.25">
      <c r="A26" s="855" t="s">
        <v>948</v>
      </c>
      <c r="B26" s="856"/>
      <c r="C26" s="856"/>
      <c r="D26" s="857"/>
    </row>
    <row r="27" spans="1:6" ht="30.75" customHeight="1" x14ac:dyDescent="0.25">
      <c r="A27" s="858" t="s">
        <v>949</v>
      </c>
      <c r="B27" s="859"/>
      <c r="C27" s="859"/>
      <c r="D27" s="860"/>
    </row>
    <row r="28" spans="1:6" ht="32.25" customHeight="1" x14ac:dyDescent="0.25">
      <c r="A28" s="843" t="s">
        <v>950</v>
      </c>
      <c r="B28" s="844"/>
      <c r="C28" s="844"/>
      <c r="D28" s="845"/>
    </row>
  </sheetData>
  <mergeCells count="6">
    <mergeCell ref="A28:D28"/>
    <mergeCell ref="A1:D1"/>
    <mergeCell ref="A2:D2"/>
    <mergeCell ref="A25:D25"/>
    <mergeCell ref="A26:D26"/>
    <mergeCell ref="A27:D27"/>
  </mergeCells>
  <pageMargins left="0.74803149606299213" right="0.74803149606299213" top="0.59055118110236227" bottom="0.59055118110236227" header="0.51181102362204722" footer="0.51181102362204722"/>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H25"/>
  <sheetViews>
    <sheetView zoomScaleNormal="100" workbookViewId="0">
      <pane xSplit="2" ySplit="5" topLeftCell="C6" activePane="bottomRight" state="frozen"/>
      <selection pane="topRight" activeCell="C1" sqref="C1"/>
      <selection pane="bottomLeft" activeCell="A6" sqref="A6"/>
      <selection pane="bottomRight" activeCell="F24" sqref="F24"/>
    </sheetView>
  </sheetViews>
  <sheetFormatPr defaultColWidth="9.140625" defaultRowHeight="15.75" x14ac:dyDescent="0.25"/>
  <cols>
    <col min="1" max="1" width="9.140625" style="2"/>
    <col min="2" max="2" width="88.7109375" style="6" customWidth="1"/>
    <col min="3" max="3" width="23.42578125" style="2" customWidth="1"/>
    <col min="4" max="4" width="24.42578125" style="2" customWidth="1"/>
    <col min="5" max="5" width="13.85546875" style="126" customWidth="1"/>
    <col min="6" max="16384" width="9.140625" style="2"/>
  </cols>
  <sheetData>
    <row r="1" spans="1:6" s="376" customFormat="1" ht="50.1" customHeight="1" thickBot="1" x14ac:dyDescent="0.3">
      <c r="A1" s="864" t="s">
        <v>635</v>
      </c>
      <c r="B1" s="865"/>
      <c r="C1" s="865"/>
      <c r="D1" s="866"/>
      <c r="E1" s="375"/>
    </row>
    <row r="2" spans="1:6" s="376" customFormat="1" ht="27.75" customHeight="1" x14ac:dyDescent="0.25">
      <c r="A2" s="714" t="s">
        <v>958</v>
      </c>
      <c r="B2" s="715"/>
      <c r="C2" s="715"/>
      <c r="D2" s="716"/>
      <c r="E2" s="375"/>
    </row>
    <row r="3" spans="1:6" s="376" customFormat="1" ht="18.75" customHeight="1" x14ac:dyDescent="0.25">
      <c r="A3" s="732" t="s">
        <v>80</v>
      </c>
      <c r="B3" s="867" t="s">
        <v>152</v>
      </c>
      <c r="C3" s="868" t="s">
        <v>136</v>
      </c>
      <c r="D3" s="869"/>
      <c r="E3" s="375"/>
    </row>
    <row r="4" spans="1:6" s="378" customFormat="1" ht="19.5" customHeight="1" x14ac:dyDescent="0.2">
      <c r="A4" s="732"/>
      <c r="B4" s="867"/>
      <c r="C4" s="314">
        <v>2021</v>
      </c>
      <c r="D4" s="315">
        <v>2022</v>
      </c>
      <c r="E4" s="377"/>
    </row>
    <row r="5" spans="1:6" s="378" customFormat="1" ht="15.75" customHeight="1" x14ac:dyDescent="0.2">
      <c r="A5" s="313"/>
      <c r="B5" s="379"/>
      <c r="C5" s="314" t="s">
        <v>118</v>
      </c>
      <c r="D5" s="315" t="s">
        <v>119</v>
      </c>
      <c r="E5" s="377"/>
    </row>
    <row r="6" spans="1:6" s="4" customFormat="1" x14ac:dyDescent="0.2">
      <c r="A6" s="54">
        <v>1</v>
      </c>
      <c r="B6" s="380" t="s">
        <v>82</v>
      </c>
      <c r="C6" s="90">
        <v>0</v>
      </c>
      <c r="D6" s="628">
        <v>0</v>
      </c>
      <c r="E6" s="127"/>
    </row>
    <row r="7" spans="1:6" s="4" customFormat="1" x14ac:dyDescent="0.2">
      <c r="A7" s="54">
        <f t="shared" ref="A7:A20" si="0">A6+1</f>
        <v>2</v>
      </c>
      <c r="B7" s="294" t="s">
        <v>61</v>
      </c>
      <c r="C7" s="26">
        <f>SUM(C8:C13)</f>
        <v>1662104.7000000002</v>
      </c>
      <c r="D7" s="629">
        <f>SUM(D8:D13)</f>
        <v>1700352.2000000002</v>
      </c>
      <c r="E7" s="127"/>
    </row>
    <row r="8" spans="1:6" s="4" customFormat="1" ht="18.75" x14ac:dyDescent="0.2">
      <c r="A8" s="54">
        <f t="shared" si="0"/>
        <v>3</v>
      </c>
      <c r="B8" s="381" t="s">
        <v>797</v>
      </c>
      <c r="C8" s="623"/>
      <c r="D8" s="630"/>
      <c r="E8" s="127"/>
    </row>
    <row r="9" spans="1:6" s="4" customFormat="1" x14ac:dyDescent="0.2">
      <c r="A9" s="54">
        <f t="shared" si="0"/>
        <v>4</v>
      </c>
      <c r="B9" s="381" t="s">
        <v>181</v>
      </c>
      <c r="C9" s="623">
        <f>1644958.05-54621.64+60381.2</f>
        <v>1650717.61</v>
      </c>
      <c r="D9" s="630">
        <f>2035785.71-408776.36+59870.55</f>
        <v>1686879.9000000001</v>
      </c>
      <c r="E9" s="127"/>
    </row>
    <row r="10" spans="1:6" s="4" customFormat="1" x14ac:dyDescent="0.2">
      <c r="A10" s="54">
        <f t="shared" si="0"/>
        <v>5</v>
      </c>
      <c r="B10" s="381" t="s">
        <v>517</v>
      </c>
      <c r="C10" s="623">
        <v>11387.09</v>
      </c>
      <c r="D10" s="630">
        <v>13472.3</v>
      </c>
      <c r="E10" s="127"/>
    </row>
    <row r="11" spans="1:6" s="4" customFormat="1" x14ac:dyDescent="0.2">
      <c r="A11" s="54">
        <f t="shared" si="0"/>
        <v>6</v>
      </c>
      <c r="B11" s="381" t="s">
        <v>179</v>
      </c>
      <c r="C11" s="623"/>
      <c r="D11" s="630"/>
      <c r="E11" s="127"/>
    </row>
    <row r="12" spans="1:6" s="4" customFormat="1" x14ac:dyDescent="0.2">
      <c r="A12" s="54">
        <f t="shared" si="0"/>
        <v>7</v>
      </c>
      <c r="B12" s="381" t="s">
        <v>180</v>
      </c>
      <c r="C12" s="623"/>
      <c r="D12" s="630"/>
      <c r="E12" s="127"/>
    </row>
    <row r="13" spans="1:6" s="4" customFormat="1" ht="19.5" customHeight="1" x14ac:dyDescent="0.2">
      <c r="A13" s="54">
        <f t="shared" si="0"/>
        <v>8</v>
      </c>
      <c r="B13" s="381" t="s">
        <v>182</v>
      </c>
      <c r="C13" s="623"/>
      <c r="D13" s="630"/>
      <c r="E13" s="127"/>
    </row>
    <row r="14" spans="1:6" s="4" customFormat="1" ht="21.75" customHeight="1" x14ac:dyDescent="0.2">
      <c r="A14" s="54">
        <f t="shared" si="0"/>
        <v>9</v>
      </c>
      <c r="B14" s="294" t="s">
        <v>17</v>
      </c>
      <c r="C14" s="26">
        <f>C6+C7</f>
        <v>1662104.7000000002</v>
      </c>
      <c r="D14" s="629">
        <f>D6+D7</f>
        <v>1700352.2000000002</v>
      </c>
      <c r="E14" s="127"/>
    </row>
    <row r="15" spans="1:6" s="4" customFormat="1" ht="27" customHeight="1" x14ac:dyDescent="0.2">
      <c r="A15" s="54">
        <f t="shared" si="0"/>
        <v>10</v>
      </c>
      <c r="B15" s="294" t="s">
        <v>708</v>
      </c>
      <c r="C15" s="624">
        <v>400000</v>
      </c>
      <c r="D15" s="628">
        <f>465000</f>
        <v>465000</v>
      </c>
      <c r="E15" s="127"/>
    </row>
    <row r="16" spans="1:6" s="4" customFormat="1" ht="31.5" x14ac:dyDescent="0.2">
      <c r="A16" s="61" t="s">
        <v>468</v>
      </c>
      <c r="B16" s="297" t="s">
        <v>560</v>
      </c>
      <c r="C16" s="625">
        <v>339846.91</v>
      </c>
      <c r="D16" s="628">
        <f>4571330.57+16498.89</f>
        <v>4587829.46</v>
      </c>
      <c r="E16" s="670"/>
      <c r="F16" s="127"/>
    </row>
    <row r="17" spans="1:8" s="4" customFormat="1" ht="28.5" customHeight="1" x14ac:dyDescent="0.2">
      <c r="A17" s="54">
        <f>A15+1</f>
        <v>11</v>
      </c>
      <c r="B17" s="294" t="s">
        <v>492</v>
      </c>
      <c r="C17" s="625">
        <v>2106506.85</v>
      </c>
      <c r="D17" s="628">
        <v>513939.48</v>
      </c>
      <c r="E17" s="127"/>
    </row>
    <row r="18" spans="1:8" s="4" customFormat="1" ht="23.25" customHeight="1" x14ac:dyDescent="0.2">
      <c r="A18" s="54">
        <f t="shared" si="0"/>
        <v>12</v>
      </c>
      <c r="B18" s="294" t="s">
        <v>102</v>
      </c>
      <c r="C18" s="625">
        <v>0</v>
      </c>
      <c r="D18" s="628">
        <v>0</v>
      </c>
      <c r="E18" s="127"/>
    </row>
    <row r="19" spans="1:8" s="4" customFormat="1" ht="33" customHeight="1" x14ac:dyDescent="0.2">
      <c r="A19" s="54">
        <f t="shared" si="0"/>
        <v>13</v>
      </c>
      <c r="B19" s="294" t="s">
        <v>493</v>
      </c>
      <c r="C19" s="625">
        <f>761597.28+20034.5+1400640.8+3156866.11+9540</f>
        <v>5348678.6899999995</v>
      </c>
      <c r="D19" s="625">
        <f>10740+2200+1553161.07+1069571.03</f>
        <v>2635672.1</v>
      </c>
      <c r="E19" s="683"/>
    </row>
    <row r="20" spans="1:8" s="4" customFormat="1" ht="21" customHeight="1" thickBot="1" x14ac:dyDescent="0.25">
      <c r="A20" s="55">
        <f t="shared" si="0"/>
        <v>14</v>
      </c>
      <c r="B20" s="296" t="s">
        <v>29</v>
      </c>
      <c r="C20" s="76">
        <f>SUM(C14:C19)</f>
        <v>9857137.1500000004</v>
      </c>
      <c r="D20" s="631">
        <f>SUM(D14:D19)</f>
        <v>9902793.2400000002</v>
      </c>
      <c r="E20" s="683"/>
    </row>
    <row r="21" spans="1:8" ht="9" customHeight="1" x14ac:dyDescent="0.25">
      <c r="E21" s="127"/>
    </row>
    <row r="22" spans="1:8" ht="15.75" customHeight="1" x14ac:dyDescent="0.25">
      <c r="A22" s="828" t="s">
        <v>798</v>
      </c>
      <c r="B22" s="829"/>
      <c r="C22" s="829"/>
      <c r="D22" s="830"/>
      <c r="E22" s="127"/>
    </row>
    <row r="23" spans="1:8" ht="15.75" customHeight="1" x14ac:dyDescent="0.25">
      <c r="A23" s="861" t="s">
        <v>799</v>
      </c>
      <c r="B23" s="862"/>
      <c r="C23" s="862"/>
      <c r="D23" s="863"/>
      <c r="E23" s="127"/>
      <c r="F23" s="67"/>
      <c r="G23" s="67"/>
      <c r="H23" s="67"/>
    </row>
    <row r="24" spans="1:8" x14ac:dyDescent="0.25">
      <c r="A24" s="239"/>
      <c r="B24" s="280"/>
    </row>
    <row r="25" spans="1:8" ht="31.5" x14ac:dyDescent="0.25">
      <c r="B25" s="694" t="s">
        <v>985</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Normal="100" workbookViewId="0">
      <pane xSplit="2" ySplit="5" topLeftCell="C9" activePane="bottomRight" state="frozen"/>
      <selection pane="topRight" activeCell="C1" sqref="C1"/>
      <selection pane="bottomLeft" activeCell="A6" sqref="A6"/>
      <selection pane="bottomRight" activeCell="I25" sqref="I25"/>
    </sheetView>
  </sheetViews>
  <sheetFormatPr defaultColWidth="9.140625" defaultRowHeight="15.75" x14ac:dyDescent="0.25"/>
  <cols>
    <col min="1" max="1" width="7.42578125" style="2" customWidth="1"/>
    <col min="2" max="2" width="51.5703125" style="6" customWidth="1"/>
    <col min="3" max="3" width="22.28515625" style="6"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9.42578125" style="2" customWidth="1"/>
    <col min="10" max="16384" width="9.140625" style="2"/>
  </cols>
  <sheetData>
    <row r="1" spans="1:10" s="376" customFormat="1" ht="35.1" customHeight="1" thickBot="1" x14ac:dyDescent="0.3">
      <c r="A1" s="874" t="s">
        <v>636</v>
      </c>
      <c r="B1" s="875"/>
      <c r="C1" s="875"/>
      <c r="D1" s="875"/>
      <c r="E1" s="875"/>
      <c r="F1" s="875"/>
      <c r="G1" s="875"/>
      <c r="H1" s="875"/>
      <c r="I1" s="876"/>
    </row>
    <row r="2" spans="1:10" s="376" customFormat="1" ht="35.1" customHeight="1" x14ac:dyDescent="0.25">
      <c r="A2" s="821" t="s">
        <v>959</v>
      </c>
      <c r="B2" s="877"/>
      <c r="C2" s="877"/>
      <c r="D2" s="877"/>
      <c r="E2" s="877"/>
      <c r="F2" s="877"/>
      <c r="G2" s="877"/>
      <c r="H2" s="877"/>
      <c r="I2" s="878"/>
    </row>
    <row r="3" spans="1:10" s="378" customFormat="1" ht="35.25" customHeight="1" x14ac:dyDescent="0.2">
      <c r="A3" s="820" t="s">
        <v>80</v>
      </c>
      <c r="B3" s="734" t="s">
        <v>152</v>
      </c>
      <c r="C3" s="881" t="s">
        <v>637</v>
      </c>
      <c r="D3" s="870" t="s">
        <v>638</v>
      </c>
      <c r="E3" s="870" t="s">
        <v>639</v>
      </c>
      <c r="F3" s="870" t="s">
        <v>575</v>
      </c>
      <c r="G3" s="879" t="s">
        <v>85</v>
      </c>
      <c r="H3" s="879" t="s">
        <v>564</v>
      </c>
      <c r="I3" s="872" t="s">
        <v>86</v>
      </c>
    </row>
    <row r="4" spans="1:10" s="378" customFormat="1" ht="72" customHeight="1" x14ac:dyDescent="0.2">
      <c r="A4" s="732"/>
      <c r="B4" s="838"/>
      <c r="C4" s="882"/>
      <c r="D4" s="871"/>
      <c r="E4" s="871"/>
      <c r="F4" s="871"/>
      <c r="G4" s="880"/>
      <c r="H4" s="880"/>
      <c r="I4" s="873"/>
    </row>
    <row r="5" spans="1:10" s="378" customFormat="1" ht="15.75" customHeight="1" x14ac:dyDescent="0.2">
      <c r="A5" s="313"/>
      <c r="B5" s="363"/>
      <c r="C5" s="366" t="s">
        <v>118</v>
      </c>
      <c r="D5" s="366" t="s">
        <v>119</v>
      </c>
      <c r="E5" s="366" t="s">
        <v>120</v>
      </c>
      <c r="F5" s="366" t="s">
        <v>126</v>
      </c>
      <c r="G5" s="366" t="s">
        <v>121</v>
      </c>
      <c r="H5" s="366" t="s">
        <v>122</v>
      </c>
      <c r="I5" s="386" t="s">
        <v>469</v>
      </c>
    </row>
    <row r="6" spans="1:10" s="4" customFormat="1" x14ac:dyDescent="0.2">
      <c r="A6" s="19">
        <v>1</v>
      </c>
      <c r="B6" s="364" t="s">
        <v>176</v>
      </c>
      <c r="C6" s="28"/>
      <c r="D6" s="28"/>
      <c r="E6" s="28">
        <v>12588</v>
      </c>
      <c r="F6" s="28">
        <v>83680</v>
      </c>
      <c r="G6" s="28"/>
      <c r="H6" s="28">
        <v>80</v>
      </c>
      <c r="I6" s="71">
        <f t="shared" ref="I6:I17" si="0">SUM(C6:H6)</f>
        <v>96348</v>
      </c>
    </row>
    <row r="7" spans="1:10" s="4" customFormat="1" x14ac:dyDescent="0.2">
      <c r="A7" s="19"/>
      <c r="B7" s="291" t="s">
        <v>132</v>
      </c>
      <c r="C7" s="28"/>
      <c r="D7" s="28"/>
      <c r="E7" s="28"/>
      <c r="F7" s="28"/>
      <c r="G7" s="28"/>
      <c r="H7" s="28"/>
      <c r="I7" s="71"/>
    </row>
    <row r="8" spans="1:10" s="4" customFormat="1" x14ac:dyDescent="0.2">
      <c r="A8" s="19">
        <v>2</v>
      </c>
      <c r="B8" s="291" t="s">
        <v>18</v>
      </c>
      <c r="C8" s="28"/>
      <c r="D8" s="28"/>
      <c r="E8" s="28">
        <v>12588</v>
      </c>
      <c r="F8" s="28">
        <v>83680</v>
      </c>
      <c r="G8" s="28"/>
      <c r="H8" s="28">
        <v>80</v>
      </c>
      <c r="I8" s="71">
        <f t="shared" si="0"/>
        <v>96348</v>
      </c>
    </row>
    <row r="9" spans="1:10" x14ac:dyDescent="0.25">
      <c r="A9" s="19">
        <v>3</v>
      </c>
      <c r="B9" s="364" t="s">
        <v>117</v>
      </c>
      <c r="C9" s="28"/>
      <c r="D9" s="28"/>
      <c r="E9" s="28"/>
      <c r="F9" s="28"/>
      <c r="G9" s="28"/>
      <c r="H9" s="28"/>
      <c r="I9" s="71">
        <f t="shared" si="0"/>
        <v>0</v>
      </c>
    </row>
    <row r="10" spans="1:10" ht="31.5" x14ac:dyDescent="0.25">
      <c r="A10" s="19">
        <v>4</v>
      </c>
      <c r="B10" s="382" t="s">
        <v>562</v>
      </c>
      <c r="C10" s="36">
        <f>SUM(C11:C16)</f>
        <v>0</v>
      </c>
      <c r="D10" s="36">
        <f t="shared" ref="D10:I10" si="1">SUM(D11:D16)</f>
        <v>2952202.14</v>
      </c>
      <c r="E10" s="36">
        <f t="shared" si="1"/>
        <v>39817.770000000004</v>
      </c>
      <c r="F10" s="36">
        <f t="shared" si="1"/>
        <v>872005.32000000007</v>
      </c>
      <c r="G10" s="36">
        <f t="shared" si="1"/>
        <v>0</v>
      </c>
      <c r="H10" s="36">
        <f t="shared" si="1"/>
        <v>4140</v>
      </c>
      <c r="I10" s="71">
        <f t="shared" si="1"/>
        <v>3868165.2300000004</v>
      </c>
    </row>
    <row r="11" spans="1:10" x14ac:dyDescent="0.25">
      <c r="A11" s="19">
        <v>5</v>
      </c>
      <c r="B11" s="302" t="s">
        <v>701</v>
      </c>
      <c r="C11" s="28"/>
      <c r="D11" s="28"/>
      <c r="E11" s="28">
        <v>982.6</v>
      </c>
      <c r="F11" s="28">
        <v>50353.2</v>
      </c>
      <c r="G11" s="28"/>
      <c r="H11" s="28"/>
      <c r="I11" s="71">
        <f t="shared" si="0"/>
        <v>51335.799999999996</v>
      </c>
      <c r="J11" s="4"/>
    </row>
    <row r="12" spans="1:10" x14ac:dyDescent="0.25">
      <c r="A12" s="19">
        <v>6</v>
      </c>
      <c r="B12" s="302" t="s">
        <v>702</v>
      </c>
      <c r="C12" s="28"/>
      <c r="D12" s="28"/>
      <c r="E12" s="28">
        <v>7202.4</v>
      </c>
      <c r="F12" s="28">
        <v>4917.59</v>
      </c>
      <c r="G12" s="28"/>
      <c r="H12" s="28"/>
      <c r="I12" s="71">
        <f t="shared" si="0"/>
        <v>12119.99</v>
      </c>
      <c r="J12" s="4"/>
    </row>
    <row r="13" spans="1:10" x14ac:dyDescent="0.25">
      <c r="A13" s="19">
        <v>7</v>
      </c>
      <c r="B13" s="383" t="s">
        <v>703</v>
      </c>
      <c r="C13" s="28"/>
      <c r="D13" s="28">
        <v>360297</v>
      </c>
      <c r="E13" s="28"/>
      <c r="F13" s="28">
        <v>33375</v>
      </c>
      <c r="G13" s="28"/>
      <c r="H13" s="28"/>
      <c r="I13" s="71">
        <f t="shared" si="0"/>
        <v>393672</v>
      </c>
      <c r="J13" s="4"/>
    </row>
    <row r="14" spans="1:10" ht="31.5" x14ac:dyDescent="0.25">
      <c r="A14" s="19">
        <v>8</v>
      </c>
      <c r="B14" s="302" t="s">
        <v>704</v>
      </c>
      <c r="C14" s="28"/>
      <c r="D14" s="28">
        <v>2591905.14</v>
      </c>
      <c r="E14" s="28">
        <v>31632.77</v>
      </c>
      <c r="F14" s="28">
        <v>783359.53</v>
      </c>
      <c r="G14" s="28"/>
      <c r="H14" s="28">
        <v>4140</v>
      </c>
      <c r="I14" s="71">
        <f t="shared" si="0"/>
        <v>3411037.4400000004</v>
      </c>
      <c r="J14" s="4"/>
    </row>
    <row r="15" spans="1:10" ht="31.5" x14ac:dyDescent="0.25">
      <c r="A15" s="23">
        <v>9</v>
      </c>
      <c r="B15" s="302" t="s">
        <v>705</v>
      </c>
      <c r="C15" s="28"/>
      <c r="D15" s="28"/>
      <c r="E15" s="28"/>
      <c r="F15" s="28"/>
      <c r="G15" s="28"/>
      <c r="H15" s="28"/>
      <c r="I15" s="71">
        <f t="shared" si="0"/>
        <v>0</v>
      </c>
      <c r="J15" s="4"/>
    </row>
    <row r="16" spans="1:10" x14ac:dyDescent="0.25">
      <c r="A16" s="19">
        <v>10</v>
      </c>
      <c r="B16" s="302" t="s">
        <v>706</v>
      </c>
      <c r="C16" s="28"/>
      <c r="D16" s="28"/>
      <c r="E16" s="28"/>
      <c r="F16" s="28"/>
      <c r="G16" s="28"/>
      <c r="H16" s="28"/>
      <c r="I16" s="71">
        <f t="shared" si="0"/>
        <v>0</v>
      </c>
      <c r="J16" s="4"/>
    </row>
    <row r="17" spans="1:10" x14ac:dyDescent="0.25">
      <c r="A17" s="19">
        <v>11</v>
      </c>
      <c r="B17" s="382" t="s">
        <v>65</v>
      </c>
      <c r="C17" s="28"/>
      <c r="D17" s="28"/>
      <c r="E17" s="28">
        <v>3917.05</v>
      </c>
      <c r="F17" s="28">
        <v>11920</v>
      </c>
      <c r="G17" s="28"/>
      <c r="H17" s="28">
        <v>24990.94</v>
      </c>
      <c r="I17" s="71">
        <f t="shared" si="0"/>
        <v>40827.99</v>
      </c>
      <c r="J17" s="4"/>
    </row>
    <row r="18" spans="1:10" x14ac:dyDescent="0.25">
      <c r="A18" s="23">
        <v>12</v>
      </c>
      <c r="B18" s="382" t="s">
        <v>66</v>
      </c>
      <c r="C18" s="28"/>
      <c r="D18" s="28"/>
      <c r="E18" s="28">
        <v>30130</v>
      </c>
      <c r="F18" s="28">
        <v>98852</v>
      </c>
      <c r="G18" s="28"/>
      <c r="H18" s="28">
        <v>101614</v>
      </c>
      <c r="I18" s="71">
        <f t="shared" ref="I18:I23" si="2">SUM(C18:H18)</f>
        <v>230596</v>
      </c>
    </row>
    <row r="19" spans="1:10" x14ac:dyDescent="0.25">
      <c r="A19" s="19">
        <v>13</v>
      </c>
      <c r="B19" s="382" t="s">
        <v>129</v>
      </c>
      <c r="C19" s="28"/>
      <c r="D19" s="28">
        <v>1589531.04</v>
      </c>
      <c r="E19" s="28">
        <v>118771.39</v>
      </c>
      <c r="F19" s="28">
        <v>543763.13</v>
      </c>
      <c r="G19" s="28"/>
      <c r="H19" s="28">
        <v>594314.65</v>
      </c>
      <c r="I19" s="71">
        <f t="shared" si="2"/>
        <v>2846380.21</v>
      </c>
    </row>
    <row r="20" spans="1:10" x14ac:dyDescent="0.25">
      <c r="A20" s="19">
        <v>14</v>
      </c>
      <c r="B20" s="382" t="s">
        <v>67</v>
      </c>
      <c r="C20" s="28"/>
      <c r="D20" s="28"/>
      <c r="E20" s="28">
        <v>16831.5</v>
      </c>
      <c r="F20" s="28"/>
      <c r="G20" s="28"/>
      <c r="H20" s="28">
        <v>203507.11</v>
      </c>
      <c r="I20" s="71">
        <f t="shared" si="2"/>
        <v>220338.61</v>
      </c>
    </row>
    <row r="21" spans="1:10" x14ac:dyDescent="0.25">
      <c r="A21" s="23">
        <v>15</v>
      </c>
      <c r="B21" s="382" t="s">
        <v>137</v>
      </c>
      <c r="C21" s="28"/>
      <c r="D21" s="28"/>
      <c r="E21" s="28"/>
      <c r="F21" s="28"/>
      <c r="G21" s="28"/>
      <c r="H21" s="28"/>
      <c r="I21" s="71">
        <f t="shared" si="2"/>
        <v>0</v>
      </c>
    </row>
    <row r="22" spans="1:10" x14ac:dyDescent="0.25">
      <c r="A22" s="19">
        <v>16</v>
      </c>
      <c r="B22" s="384" t="s">
        <v>541</v>
      </c>
      <c r="C22" s="227"/>
      <c r="D22" s="28">
        <v>128422.67</v>
      </c>
      <c r="E22" s="28"/>
      <c r="F22" s="28"/>
      <c r="G22" s="28"/>
      <c r="H22" s="28">
        <v>1068.3699999999999</v>
      </c>
      <c r="I22" s="71">
        <f t="shared" si="2"/>
        <v>129491.04</v>
      </c>
    </row>
    <row r="23" spans="1:10" ht="48" thickBot="1" x14ac:dyDescent="0.3">
      <c r="A23" s="20">
        <v>17</v>
      </c>
      <c r="B23" s="385" t="s">
        <v>563</v>
      </c>
      <c r="C23" s="228">
        <f t="shared" ref="C23:H23" si="3">+C6+C9+C10+C17+C18+C19+C20+C21+C22</f>
        <v>0</v>
      </c>
      <c r="D23" s="203">
        <f t="shared" si="3"/>
        <v>4670155.8499999996</v>
      </c>
      <c r="E23" s="203">
        <f t="shared" si="3"/>
        <v>222055.71000000002</v>
      </c>
      <c r="F23" s="203">
        <f>+F6+F9+F10+F17+F18+F19+F20+F21+F22</f>
        <v>1610220.4500000002</v>
      </c>
      <c r="G23" s="203">
        <f t="shared" si="3"/>
        <v>0</v>
      </c>
      <c r="H23" s="203">
        <f t="shared" si="3"/>
        <v>929715.07000000007</v>
      </c>
      <c r="I23" s="204">
        <f t="shared" si="2"/>
        <v>7432147.0800000001</v>
      </c>
    </row>
    <row r="24" spans="1:10" x14ac:dyDescent="0.25">
      <c r="C24" s="125"/>
      <c r="D24" s="124"/>
      <c r="E24" s="124"/>
      <c r="F24" s="124"/>
      <c r="G24" s="124"/>
      <c r="H24" s="124"/>
    </row>
    <row r="25" spans="1:10" x14ac:dyDescent="0.25">
      <c r="A25" s="237"/>
      <c r="B25" s="238"/>
      <c r="C25" s="124"/>
      <c r="D25" s="124"/>
      <c r="E25" s="124"/>
      <c r="F25" s="124"/>
      <c r="G25" s="124"/>
      <c r="H25" s="124"/>
    </row>
    <row r="26" spans="1:10" x14ac:dyDescent="0.25">
      <c r="C26" s="124"/>
      <c r="D26" s="124"/>
      <c r="E26" s="124"/>
      <c r="F26" s="124"/>
      <c r="G26" s="124"/>
      <c r="H26" s="124"/>
    </row>
    <row r="27" spans="1:10" x14ac:dyDescent="0.25">
      <c r="C27" s="124"/>
      <c r="D27" s="124"/>
      <c r="E27" s="124"/>
      <c r="F27" s="124"/>
      <c r="G27" s="124"/>
      <c r="H27" s="124"/>
    </row>
    <row r="28" spans="1:10" x14ac:dyDescent="0.25">
      <c r="C28" s="124"/>
      <c r="D28" s="124"/>
      <c r="E28" s="124"/>
      <c r="F28" s="124"/>
      <c r="G28" s="124"/>
      <c r="H28" s="124"/>
    </row>
    <row r="29" spans="1:10" x14ac:dyDescent="0.25">
      <c r="C29" s="124"/>
      <c r="D29" s="124"/>
      <c r="E29" s="124"/>
      <c r="F29" s="124"/>
      <c r="G29" s="124"/>
      <c r="H29" s="124"/>
    </row>
    <row r="30" spans="1:10" x14ac:dyDescent="0.25">
      <c r="C30" s="124"/>
      <c r="D30" s="124"/>
      <c r="E30" s="124"/>
      <c r="F30" s="124"/>
      <c r="G30" s="124"/>
      <c r="H30" s="124"/>
    </row>
    <row r="31" spans="1:10" x14ac:dyDescent="0.25">
      <c r="C31" s="124"/>
      <c r="D31" s="124"/>
      <c r="E31" s="124"/>
      <c r="F31" s="124"/>
      <c r="G31" s="124"/>
      <c r="H31" s="124"/>
    </row>
    <row r="32" spans="1:10" x14ac:dyDescent="0.25">
      <c r="C32" s="124"/>
      <c r="D32" s="124"/>
      <c r="E32" s="124"/>
      <c r="F32" s="124"/>
      <c r="G32" s="124"/>
      <c r="H32" s="124"/>
    </row>
    <row r="33" spans="3:8" x14ac:dyDescent="0.25">
      <c r="C33" s="124"/>
      <c r="D33" s="124"/>
      <c r="E33" s="124"/>
      <c r="F33" s="124"/>
      <c r="G33" s="124"/>
      <c r="H33" s="124"/>
    </row>
    <row r="34" spans="3:8" x14ac:dyDescent="0.25">
      <c r="C34" s="124"/>
      <c r="D34" s="124"/>
      <c r="E34" s="124"/>
      <c r="F34" s="124"/>
      <c r="G34" s="124"/>
      <c r="H34" s="124"/>
    </row>
    <row r="35" spans="3:8" x14ac:dyDescent="0.25">
      <c r="C35" s="124"/>
      <c r="D35" s="124"/>
      <c r="E35" s="124"/>
      <c r="F35" s="124"/>
      <c r="G35" s="124"/>
      <c r="H35" s="124"/>
    </row>
    <row r="36" spans="3:8" x14ac:dyDescent="0.25">
      <c r="C36" s="124"/>
      <c r="D36" s="124"/>
      <c r="E36" s="124"/>
      <c r="F36" s="124"/>
      <c r="G36" s="124"/>
      <c r="H36" s="124"/>
    </row>
    <row r="37" spans="3:8" x14ac:dyDescent="0.25">
      <c r="C37" s="124"/>
      <c r="D37" s="124"/>
      <c r="E37" s="124"/>
      <c r="F37" s="124"/>
      <c r="G37" s="124"/>
      <c r="H37" s="124"/>
    </row>
    <row r="38" spans="3:8" x14ac:dyDescent="0.25">
      <c r="C38" s="124"/>
      <c r="D38" s="124"/>
      <c r="E38" s="124"/>
      <c r="F38" s="124"/>
      <c r="G38" s="124"/>
      <c r="H38" s="124"/>
    </row>
    <row r="39" spans="3:8" x14ac:dyDescent="0.25">
      <c r="C39" s="124"/>
      <c r="D39" s="124"/>
      <c r="E39" s="124"/>
      <c r="F39" s="124"/>
      <c r="G39" s="124"/>
      <c r="H39" s="124"/>
    </row>
    <row r="40" spans="3:8" x14ac:dyDescent="0.25">
      <c r="C40" s="124"/>
      <c r="D40" s="124"/>
      <c r="E40" s="124"/>
      <c r="F40" s="124"/>
      <c r="G40" s="124"/>
      <c r="H40" s="124"/>
    </row>
    <row r="41" spans="3:8" x14ac:dyDescent="0.25">
      <c r="C41" s="124"/>
      <c r="D41" s="124"/>
      <c r="E41" s="124"/>
      <c r="F41" s="124"/>
      <c r="G41" s="124"/>
      <c r="H41" s="124"/>
    </row>
    <row r="42" spans="3:8" x14ac:dyDescent="0.25">
      <c r="C42" s="124"/>
      <c r="D42" s="124"/>
      <c r="E42" s="124"/>
      <c r="F42" s="124"/>
      <c r="G42" s="124"/>
      <c r="H42" s="124"/>
    </row>
    <row r="43" spans="3:8" x14ac:dyDescent="0.25">
      <c r="C43" s="124"/>
      <c r="D43" s="124"/>
      <c r="E43" s="124"/>
      <c r="F43" s="124"/>
      <c r="G43" s="124"/>
      <c r="H43" s="124"/>
    </row>
    <row r="44" spans="3:8" x14ac:dyDescent="0.25">
      <c r="C44" s="124"/>
      <c r="D44" s="124"/>
      <c r="E44" s="124"/>
      <c r="F44" s="124"/>
      <c r="G44" s="124"/>
      <c r="H44" s="124"/>
    </row>
    <row r="45" spans="3:8" x14ac:dyDescent="0.25">
      <c r="C45" s="124"/>
      <c r="D45" s="124"/>
      <c r="E45" s="124"/>
      <c r="F45" s="124"/>
      <c r="G45" s="124"/>
      <c r="H45" s="124"/>
    </row>
    <row r="46" spans="3:8" x14ac:dyDescent="0.25">
      <c r="C46" s="124"/>
      <c r="D46" s="124"/>
      <c r="E46" s="124"/>
      <c r="F46" s="124"/>
      <c r="G46" s="124"/>
      <c r="H46" s="124"/>
    </row>
    <row r="47" spans="3:8" x14ac:dyDescent="0.25">
      <c r="C47" s="124"/>
      <c r="D47" s="124"/>
      <c r="E47" s="124"/>
      <c r="F47" s="124"/>
      <c r="G47" s="124"/>
      <c r="H47" s="124"/>
    </row>
    <row r="48" spans="3:8" x14ac:dyDescent="0.25">
      <c r="C48" s="124"/>
      <c r="D48" s="124"/>
      <c r="E48" s="124"/>
      <c r="F48" s="124"/>
      <c r="G48" s="124"/>
      <c r="H48" s="124"/>
    </row>
    <row r="49" spans="3:8" x14ac:dyDescent="0.25">
      <c r="C49" s="124"/>
      <c r="D49" s="124"/>
      <c r="E49" s="124"/>
      <c r="F49" s="124"/>
      <c r="G49" s="124"/>
      <c r="H49" s="124"/>
    </row>
    <row r="50" spans="3:8" x14ac:dyDescent="0.25">
      <c r="C50" s="124"/>
      <c r="D50" s="124"/>
      <c r="E50" s="124"/>
      <c r="F50" s="124"/>
      <c r="G50" s="124"/>
      <c r="H50" s="124"/>
    </row>
    <row r="51" spans="3:8" x14ac:dyDescent="0.25">
      <c r="C51" s="124"/>
      <c r="D51" s="124"/>
      <c r="E51" s="124"/>
      <c r="F51" s="124"/>
      <c r="G51" s="124"/>
      <c r="H51" s="124"/>
    </row>
    <row r="52" spans="3:8" x14ac:dyDescent="0.25">
      <c r="C52" s="124"/>
      <c r="D52" s="124"/>
      <c r="E52" s="124"/>
      <c r="F52" s="124"/>
      <c r="G52" s="124"/>
      <c r="H52" s="124"/>
    </row>
    <row r="53" spans="3:8" x14ac:dyDescent="0.25">
      <c r="C53" s="124"/>
      <c r="D53" s="124"/>
      <c r="E53" s="124"/>
      <c r="F53" s="124"/>
      <c r="G53" s="124"/>
      <c r="H53" s="124"/>
    </row>
    <row r="54" spans="3:8" x14ac:dyDescent="0.25">
      <c r="C54" s="124"/>
      <c r="D54" s="124"/>
      <c r="E54" s="124"/>
      <c r="F54" s="124"/>
      <c r="G54" s="124"/>
      <c r="H54" s="124"/>
    </row>
    <row r="55" spans="3:8" x14ac:dyDescent="0.25">
      <c r="C55" s="124"/>
      <c r="D55" s="124"/>
      <c r="E55" s="124"/>
      <c r="F55" s="124"/>
      <c r="G55" s="124"/>
      <c r="H55" s="124"/>
    </row>
    <row r="56" spans="3:8" x14ac:dyDescent="0.25">
      <c r="C56" s="124"/>
      <c r="D56" s="124"/>
      <c r="E56" s="124"/>
      <c r="F56" s="124"/>
      <c r="G56" s="124"/>
      <c r="H56" s="124"/>
    </row>
    <row r="57" spans="3:8" x14ac:dyDescent="0.25">
      <c r="C57" s="124"/>
      <c r="D57" s="124"/>
      <c r="E57" s="124"/>
      <c r="F57" s="124"/>
      <c r="G57" s="124"/>
      <c r="H57" s="124"/>
    </row>
    <row r="58" spans="3:8" x14ac:dyDescent="0.25">
      <c r="C58" s="124"/>
      <c r="D58" s="124"/>
      <c r="E58" s="124"/>
      <c r="F58" s="124"/>
      <c r="G58" s="124"/>
      <c r="H58" s="124"/>
    </row>
    <row r="59" spans="3:8" x14ac:dyDescent="0.25">
      <c r="C59" s="124"/>
      <c r="D59" s="124"/>
      <c r="E59" s="124"/>
      <c r="F59" s="124"/>
      <c r="G59" s="124"/>
      <c r="H59" s="124"/>
    </row>
    <row r="60" spans="3:8" x14ac:dyDescent="0.25">
      <c r="C60" s="124"/>
      <c r="D60" s="124"/>
      <c r="E60" s="124"/>
      <c r="F60" s="124"/>
      <c r="G60" s="124"/>
      <c r="H60" s="124"/>
    </row>
    <row r="61" spans="3:8" x14ac:dyDescent="0.25">
      <c r="C61" s="124"/>
      <c r="D61" s="124"/>
      <c r="E61" s="124"/>
      <c r="F61" s="124"/>
      <c r="G61" s="124"/>
      <c r="H61" s="124"/>
    </row>
    <row r="62" spans="3:8" x14ac:dyDescent="0.25">
      <c r="C62" s="124"/>
      <c r="D62" s="124"/>
      <c r="E62" s="124"/>
      <c r="F62" s="124"/>
      <c r="G62" s="124"/>
      <c r="H62" s="124"/>
    </row>
    <row r="63" spans="3:8" x14ac:dyDescent="0.25">
      <c r="C63" s="124"/>
      <c r="D63" s="124"/>
      <c r="E63" s="124"/>
      <c r="F63" s="124"/>
      <c r="G63" s="124"/>
      <c r="H63" s="124"/>
    </row>
    <row r="64" spans="3:8" x14ac:dyDescent="0.25">
      <c r="C64" s="124"/>
      <c r="D64" s="124"/>
      <c r="E64" s="124"/>
      <c r="F64" s="124"/>
      <c r="G64" s="124"/>
      <c r="H64" s="124"/>
    </row>
    <row r="65" spans="3:8" x14ac:dyDescent="0.25">
      <c r="C65" s="124"/>
      <c r="D65" s="124"/>
      <c r="E65" s="124"/>
      <c r="F65" s="124"/>
      <c r="G65" s="124"/>
      <c r="H65" s="124"/>
    </row>
    <row r="66" spans="3:8" x14ac:dyDescent="0.25">
      <c r="C66" s="124"/>
      <c r="D66" s="124"/>
      <c r="E66" s="124"/>
      <c r="F66" s="124"/>
      <c r="G66" s="124"/>
      <c r="H66" s="124"/>
    </row>
    <row r="67" spans="3:8" x14ac:dyDescent="0.25">
      <c r="C67" s="124"/>
      <c r="D67" s="124"/>
      <c r="E67" s="124"/>
      <c r="F67" s="124"/>
      <c r="G67" s="124"/>
      <c r="H67" s="124"/>
    </row>
    <row r="68" spans="3:8" x14ac:dyDescent="0.25">
      <c r="C68" s="124"/>
      <c r="D68" s="124"/>
      <c r="E68" s="124"/>
      <c r="F68" s="124"/>
      <c r="G68" s="124"/>
      <c r="H68" s="124"/>
    </row>
    <row r="69" spans="3:8" x14ac:dyDescent="0.25">
      <c r="C69" s="124"/>
      <c r="D69" s="124"/>
      <c r="E69" s="124"/>
      <c r="F69" s="124"/>
      <c r="G69" s="124"/>
      <c r="H69" s="124"/>
    </row>
    <row r="70" spans="3:8" x14ac:dyDescent="0.25">
      <c r="C70" s="124"/>
      <c r="D70" s="124"/>
      <c r="E70" s="124"/>
      <c r="F70" s="124"/>
      <c r="G70" s="124"/>
      <c r="H70" s="124"/>
    </row>
    <row r="71" spans="3:8" x14ac:dyDescent="0.25">
      <c r="C71" s="124"/>
      <c r="D71" s="124"/>
      <c r="E71" s="124"/>
      <c r="F71" s="124"/>
      <c r="G71" s="124"/>
      <c r="H71" s="124"/>
    </row>
    <row r="72" spans="3:8" x14ac:dyDescent="0.25">
      <c r="C72" s="124"/>
      <c r="D72" s="124"/>
      <c r="E72" s="124"/>
      <c r="F72" s="124"/>
      <c r="G72" s="124"/>
      <c r="H72" s="124"/>
    </row>
    <row r="73" spans="3:8" x14ac:dyDescent="0.25">
      <c r="C73" s="124"/>
      <c r="D73" s="124"/>
      <c r="E73" s="124"/>
      <c r="F73" s="124"/>
      <c r="G73" s="124"/>
      <c r="H73" s="124"/>
    </row>
    <row r="74" spans="3:8" x14ac:dyDescent="0.25">
      <c r="C74" s="124"/>
      <c r="D74" s="124"/>
      <c r="E74" s="124"/>
      <c r="F74" s="124"/>
      <c r="G74" s="124"/>
      <c r="H74" s="124"/>
    </row>
    <row r="75" spans="3:8" x14ac:dyDescent="0.25">
      <c r="C75" s="124"/>
      <c r="D75" s="124"/>
      <c r="E75" s="124"/>
      <c r="F75" s="124"/>
      <c r="G75" s="124"/>
      <c r="H75" s="124"/>
    </row>
    <row r="76" spans="3:8" x14ac:dyDescent="0.25">
      <c r="C76" s="124"/>
      <c r="D76" s="124"/>
      <c r="E76" s="124"/>
      <c r="F76" s="124"/>
      <c r="G76" s="124"/>
      <c r="H76" s="124"/>
    </row>
    <row r="77" spans="3:8" x14ac:dyDescent="0.25">
      <c r="C77" s="124"/>
      <c r="D77" s="124"/>
      <c r="E77" s="124"/>
      <c r="F77" s="124"/>
      <c r="G77" s="124"/>
      <c r="H77" s="124"/>
    </row>
    <row r="78" spans="3:8" x14ac:dyDescent="0.25">
      <c r="C78" s="124"/>
      <c r="D78" s="124"/>
      <c r="E78" s="124"/>
      <c r="F78" s="124"/>
      <c r="G78" s="124"/>
      <c r="H78" s="124"/>
    </row>
    <row r="79" spans="3:8" x14ac:dyDescent="0.25">
      <c r="C79" s="124"/>
      <c r="D79" s="124"/>
      <c r="E79" s="124"/>
      <c r="F79" s="124"/>
      <c r="G79" s="124"/>
      <c r="H79" s="124"/>
    </row>
    <row r="80" spans="3:8" x14ac:dyDescent="0.25">
      <c r="C80" s="124"/>
      <c r="D80" s="124"/>
      <c r="E80" s="124"/>
      <c r="F80" s="124"/>
      <c r="G80" s="124"/>
      <c r="H80" s="124"/>
    </row>
    <row r="81" spans="3:8" x14ac:dyDescent="0.25">
      <c r="C81" s="124"/>
      <c r="D81" s="124"/>
      <c r="E81" s="124"/>
      <c r="F81" s="124"/>
      <c r="G81" s="124"/>
      <c r="H81" s="124"/>
    </row>
    <row r="82" spans="3:8" x14ac:dyDescent="0.25">
      <c r="C82" s="124"/>
      <c r="D82" s="124"/>
      <c r="E82" s="124"/>
      <c r="F82" s="124"/>
      <c r="G82" s="124"/>
      <c r="H82" s="124"/>
    </row>
    <row r="83" spans="3:8" x14ac:dyDescent="0.25">
      <c r="C83" s="124"/>
      <c r="D83" s="124"/>
      <c r="E83" s="124"/>
      <c r="F83" s="124"/>
      <c r="G83" s="124"/>
      <c r="H83" s="124"/>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6" orientation="landscape" r:id="rId1"/>
  <headerFooter alignWithMargins="0"/>
  <ignoredErrors>
    <ignoredError sqref="I1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T25"/>
  <sheetViews>
    <sheetView zoomScaleNormal="100" workbookViewId="0">
      <pane xSplit="2" ySplit="5" topLeftCell="H9" activePane="bottomRight" state="frozen"/>
      <selection pane="topRight" activeCell="C1" sqref="C1"/>
      <selection pane="bottomLeft" activeCell="A6" sqref="A6"/>
      <selection pane="bottomRight" activeCell="Y10" sqref="Y10"/>
    </sheetView>
  </sheetViews>
  <sheetFormatPr defaultColWidth="9.140625" defaultRowHeight="15.75" x14ac:dyDescent="0.25"/>
  <cols>
    <col min="1" max="1" width="7.28515625" style="139" customWidth="1"/>
    <col min="2" max="2" width="38.85546875" style="142" customWidth="1"/>
    <col min="3" max="4" width="12.85546875" style="139" customWidth="1"/>
    <col min="5" max="5" width="13.140625" style="139" customWidth="1"/>
    <col min="6" max="6" width="11.85546875" style="139" customWidth="1"/>
    <col min="7" max="7" width="11.42578125" style="139" customWidth="1"/>
    <col min="8" max="8" width="10.5703125" style="139" customWidth="1"/>
    <col min="9" max="9" width="13.42578125" style="139" customWidth="1"/>
    <col min="10" max="10" width="12.42578125" style="139" customWidth="1"/>
    <col min="11" max="11" width="14.5703125" style="139" customWidth="1"/>
    <col min="12" max="12" width="14.42578125" style="139" customWidth="1"/>
    <col min="13" max="14" width="17.7109375" style="139" customWidth="1"/>
    <col min="15" max="15" width="24.5703125" style="139" customWidth="1"/>
    <col min="16" max="16384" width="9.140625" style="139"/>
  </cols>
  <sheetData>
    <row r="1" spans="1:254" s="387" customFormat="1" ht="27.75" customHeight="1" thickBot="1" x14ac:dyDescent="0.3">
      <c r="A1" s="887" t="s">
        <v>648</v>
      </c>
      <c r="B1" s="888"/>
      <c r="C1" s="888"/>
      <c r="D1" s="888"/>
      <c r="E1" s="888"/>
      <c r="F1" s="888"/>
      <c r="G1" s="888"/>
      <c r="H1" s="888"/>
      <c r="I1" s="888"/>
      <c r="J1" s="888"/>
      <c r="K1" s="888"/>
      <c r="L1" s="888"/>
      <c r="M1" s="888"/>
      <c r="N1" s="889"/>
    </row>
    <row r="2" spans="1:254" s="387" customFormat="1" ht="28.5" customHeight="1" x14ac:dyDescent="0.25">
      <c r="A2" s="890" t="s">
        <v>960</v>
      </c>
      <c r="B2" s="891"/>
      <c r="C2" s="891"/>
      <c r="D2" s="891"/>
      <c r="E2" s="891"/>
      <c r="F2" s="891"/>
      <c r="G2" s="891"/>
      <c r="H2" s="891"/>
      <c r="I2" s="892"/>
      <c r="J2" s="892"/>
      <c r="K2" s="891"/>
      <c r="L2" s="891"/>
      <c r="M2" s="891"/>
      <c r="N2" s="893"/>
    </row>
    <row r="3" spans="1:254" s="387" customFormat="1" ht="51.75" customHeight="1" x14ac:dyDescent="0.25">
      <c r="A3" s="894" t="s">
        <v>80</v>
      </c>
      <c r="B3" s="895" t="s">
        <v>502</v>
      </c>
      <c r="C3" s="867" t="s">
        <v>155</v>
      </c>
      <c r="D3" s="867"/>
      <c r="E3" s="867" t="s">
        <v>156</v>
      </c>
      <c r="F3" s="867"/>
      <c r="G3" s="867" t="s">
        <v>157</v>
      </c>
      <c r="H3" s="868"/>
      <c r="I3" s="867" t="s">
        <v>483</v>
      </c>
      <c r="J3" s="867"/>
      <c r="K3" s="897" t="s">
        <v>138</v>
      </c>
      <c r="L3" s="867"/>
      <c r="M3" s="867" t="s">
        <v>151</v>
      </c>
      <c r="N3" s="886"/>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c r="FH3" s="388"/>
      <c r="FI3" s="388"/>
      <c r="FJ3" s="388"/>
      <c r="FK3" s="388"/>
      <c r="FL3" s="388"/>
      <c r="FM3" s="388"/>
      <c r="FN3" s="388"/>
      <c r="FO3" s="388"/>
      <c r="FP3" s="388"/>
      <c r="FQ3" s="388"/>
      <c r="FR3" s="388"/>
      <c r="FS3" s="388"/>
      <c r="FT3" s="388"/>
      <c r="FU3" s="388"/>
      <c r="FV3" s="388"/>
      <c r="FW3" s="388"/>
      <c r="FX3" s="388"/>
      <c r="FY3" s="388"/>
      <c r="FZ3" s="388"/>
      <c r="GA3" s="388"/>
      <c r="GB3" s="388"/>
      <c r="GC3" s="388"/>
      <c r="GD3" s="388"/>
      <c r="GE3" s="388"/>
      <c r="GF3" s="388"/>
      <c r="GG3" s="388"/>
      <c r="GH3" s="388"/>
      <c r="GI3" s="388"/>
      <c r="GJ3" s="388"/>
      <c r="GK3" s="388"/>
      <c r="GL3" s="388"/>
      <c r="GM3" s="388"/>
      <c r="GN3" s="388"/>
      <c r="GO3" s="388"/>
      <c r="GP3" s="388"/>
      <c r="GQ3" s="388"/>
      <c r="GR3" s="388"/>
      <c r="GS3" s="388"/>
      <c r="GT3" s="388"/>
      <c r="GU3" s="388"/>
      <c r="GV3" s="388"/>
      <c r="GW3" s="388"/>
      <c r="GX3" s="388"/>
      <c r="GY3" s="388"/>
      <c r="GZ3" s="388"/>
      <c r="HA3" s="388"/>
      <c r="HB3" s="388"/>
      <c r="HC3" s="388"/>
      <c r="HD3" s="388"/>
      <c r="HE3" s="388"/>
      <c r="HF3" s="388"/>
      <c r="HG3" s="388"/>
      <c r="HH3" s="388"/>
      <c r="HI3" s="388"/>
      <c r="HJ3" s="388"/>
      <c r="HK3" s="388"/>
      <c r="HL3" s="388"/>
      <c r="HM3" s="388"/>
      <c r="HN3" s="388"/>
      <c r="HO3" s="388"/>
      <c r="HP3" s="388"/>
      <c r="HQ3" s="388"/>
      <c r="HR3" s="388"/>
      <c r="HS3" s="388"/>
      <c r="HT3" s="388"/>
      <c r="HU3" s="388"/>
      <c r="HV3" s="388"/>
      <c r="HW3" s="388"/>
      <c r="HX3" s="388"/>
      <c r="HY3" s="388"/>
      <c r="HZ3" s="388"/>
      <c r="IA3" s="388"/>
      <c r="IB3" s="388"/>
      <c r="IC3" s="388"/>
      <c r="ID3" s="388"/>
      <c r="IE3" s="388"/>
      <c r="IF3" s="388"/>
      <c r="IG3" s="388"/>
      <c r="IH3" s="388"/>
      <c r="II3" s="388"/>
      <c r="IJ3" s="388"/>
      <c r="IK3" s="388"/>
      <c r="IL3" s="388"/>
      <c r="IM3" s="388"/>
      <c r="IN3" s="388"/>
      <c r="IO3" s="388"/>
      <c r="IP3" s="388"/>
      <c r="IQ3" s="388"/>
      <c r="IR3" s="388"/>
      <c r="IS3" s="388"/>
      <c r="IT3" s="388"/>
    </row>
    <row r="4" spans="1:254" s="387" customFormat="1" ht="17.25" customHeight="1" x14ac:dyDescent="0.25">
      <c r="A4" s="894"/>
      <c r="B4" s="896"/>
      <c r="C4" s="314">
        <v>2021</v>
      </c>
      <c r="D4" s="314">
        <v>2022</v>
      </c>
      <c r="E4" s="314">
        <v>2021</v>
      </c>
      <c r="F4" s="314">
        <v>2022</v>
      </c>
      <c r="G4" s="314">
        <v>2021</v>
      </c>
      <c r="H4" s="314">
        <v>2022</v>
      </c>
      <c r="I4" s="314">
        <v>2021</v>
      </c>
      <c r="J4" s="314">
        <v>2022</v>
      </c>
      <c r="K4" s="314">
        <v>2021</v>
      </c>
      <c r="L4" s="314">
        <v>2022</v>
      </c>
      <c r="M4" s="314">
        <v>2021</v>
      </c>
      <c r="N4" s="315">
        <v>2022</v>
      </c>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8"/>
      <c r="EB4" s="388"/>
      <c r="EC4" s="388"/>
      <c r="ED4" s="388"/>
      <c r="EE4" s="388"/>
      <c r="EF4" s="388"/>
      <c r="EG4" s="388"/>
      <c r="EH4" s="388"/>
      <c r="EI4" s="388"/>
      <c r="EJ4" s="388"/>
      <c r="EK4" s="388"/>
      <c r="EL4" s="388"/>
      <c r="EM4" s="388"/>
      <c r="EN4" s="388"/>
      <c r="EO4" s="388"/>
      <c r="EP4" s="388"/>
      <c r="EQ4" s="388"/>
      <c r="ER4" s="388"/>
      <c r="ES4" s="388"/>
      <c r="ET4" s="388"/>
      <c r="EU4" s="388"/>
      <c r="EV4" s="388"/>
      <c r="EW4" s="388"/>
      <c r="EX4" s="388"/>
      <c r="EY4" s="388"/>
      <c r="EZ4" s="388"/>
      <c r="FA4" s="388"/>
      <c r="FB4" s="388"/>
      <c r="FC4" s="388"/>
      <c r="FD4" s="388"/>
      <c r="FE4" s="388"/>
      <c r="FF4" s="388"/>
      <c r="FG4" s="388"/>
      <c r="FH4" s="388"/>
      <c r="FI4" s="388"/>
      <c r="FJ4" s="388"/>
      <c r="FK4" s="388"/>
      <c r="FL4" s="388"/>
      <c r="FM4" s="388"/>
      <c r="FN4" s="388"/>
      <c r="FO4" s="388"/>
      <c r="FP4" s="388"/>
      <c r="FQ4" s="388"/>
      <c r="FR4" s="388"/>
      <c r="FS4" s="388"/>
      <c r="FT4" s="388"/>
      <c r="FU4" s="388"/>
      <c r="FV4" s="388"/>
      <c r="FW4" s="388"/>
      <c r="FX4" s="388"/>
      <c r="FY4" s="388"/>
      <c r="FZ4" s="388"/>
      <c r="GA4" s="388"/>
      <c r="GB4" s="388"/>
      <c r="GC4" s="388"/>
      <c r="GD4" s="388"/>
      <c r="GE4" s="388"/>
      <c r="GF4" s="388"/>
      <c r="GG4" s="388"/>
      <c r="GH4" s="388"/>
      <c r="GI4" s="388"/>
      <c r="GJ4" s="388"/>
      <c r="GK4" s="388"/>
      <c r="GL4" s="388"/>
      <c r="GM4" s="388"/>
      <c r="GN4" s="388"/>
      <c r="GO4" s="388"/>
      <c r="GP4" s="388"/>
      <c r="GQ4" s="388"/>
      <c r="GR4" s="388"/>
      <c r="GS4" s="388"/>
      <c r="GT4" s="388"/>
      <c r="GU4" s="388"/>
      <c r="GV4" s="388"/>
      <c r="GW4" s="388"/>
      <c r="GX4" s="388"/>
      <c r="GY4" s="388"/>
      <c r="GZ4" s="388"/>
      <c r="HA4" s="388"/>
      <c r="HB4" s="388"/>
      <c r="HC4" s="388"/>
      <c r="HD4" s="388"/>
      <c r="HE4" s="388"/>
      <c r="HF4" s="388"/>
      <c r="HG4" s="388"/>
      <c r="HH4" s="388"/>
      <c r="HI4" s="388"/>
      <c r="HJ4" s="388"/>
      <c r="HK4" s="388"/>
      <c r="HL4" s="388"/>
      <c r="HM4" s="388"/>
      <c r="HN4" s="388"/>
      <c r="HO4" s="388"/>
      <c r="HP4" s="388"/>
      <c r="HQ4" s="388"/>
      <c r="HR4" s="388"/>
      <c r="HS4" s="388"/>
      <c r="HT4" s="388"/>
      <c r="HU4" s="388"/>
      <c r="HV4" s="388"/>
      <c r="HW4" s="388"/>
      <c r="HX4" s="388"/>
      <c r="HY4" s="388"/>
      <c r="HZ4" s="388"/>
      <c r="IA4" s="388"/>
      <c r="IB4" s="388"/>
      <c r="IC4" s="388"/>
      <c r="ID4" s="388"/>
      <c r="IE4" s="388"/>
      <c r="IF4" s="388"/>
      <c r="IG4" s="388"/>
      <c r="IH4" s="388"/>
      <c r="II4" s="388"/>
      <c r="IJ4" s="388"/>
      <c r="IK4" s="388"/>
      <c r="IL4" s="388"/>
      <c r="IM4" s="388"/>
      <c r="IN4" s="388"/>
      <c r="IO4" s="388"/>
      <c r="IP4" s="388"/>
      <c r="IQ4" s="388"/>
      <c r="IR4" s="388"/>
      <c r="IS4" s="388"/>
      <c r="IT4" s="388"/>
    </row>
    <row r="5" spans="1:254" s="387" customFormat="1" ht="15.75" customHeight="1" x14ac:dyDescent="0.25">
      <c r="A5" s="389"/>
      <c r="B5" s="390"/>
      <c r="C5" s="366" t="s">
        <v>118</v>
      </c>
      <c r="D5" s="366" t="s">
        <v>119</v>
      </c>
      <c r="E5" s="366" t="s">
        <v>120</v>
      </c>
      <c r="F5" s="366" t="s">
        <v>126</v>
      </c>
      <c r="G5" s="366" t="s">
        <v>121</v>
      </c>
      <c r="H5" s="391" t="s">
        <v>122</v>
      </c>
      <c r="I5" s="366" t="s">
        <v>123</v>
      </c>
      <c r="J5" s="366" t="s">
        <v>124</v>
      </c>
      <c r="K5" s="366" t="s">
        <v>125</v>
      </c>
      <c r="L5" s="366" t="s">
        <v>466</v>
      </c>
      <c r="M5" s="392" t="s">
        <v>522</v>
      </c>
      <c r="N5" s="393" t="s">
        <v>523</v>
      </c>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394"/>
      <c r="DG5" s="394"/>
      <c r="DH5" s="394"/>
      <c r="DI5" s="394"/>
      <c r="DJ5" s="394"/>
      <c r="DK5" s="394"/>
      <c r="DL5" s="394"/>
      <c r="DM5" s="394"/>
      <c r="DN5" s="394"/>
      <c r="DO5" s="394"/>
      <c r="DP5" s="394"/>
      <c r="DQ5" s="394"/>
      <c r="DR5" s="394"/>
      <c r="DS5" s="394"/>
      <c r="DT5" s="394"/>
      <c r="DU5" s="394"/>
      <c r="DV5" s="394"/>
      <c r="DW5" s="394"/>
      <c r="DX5" s="394"/>
      <c r="DY5" s="394"/>
      <c r="DZ5" s="394"/>
      <c r="EA5" s="394"/>
      <c r="EB5" s="394"/>
      <c r="EC5" s="394"/>
      <c r="ED5" s="394"/>
      <c r="EE5" s="394"/>
      <c r="EF5" s="394"/>
      <c r="EG5" s="394"/>
      <c r="EH5" s="394"/>
      <c r="EI5" s="394"/>
      <c r="EJ5" s="394"/>
      <c r="EK5" s="394"/>
      <c r="EL5" s="394"/>
      <c r="EM5" s="394"/>
      <c r="EN5" s="394"/>
      <c r="EO5" s="394"/>
      <c r="EP5" s="394"/>
      <c r="EQ5" s="394"/>
      <c r="ER5" s="394"/>
      <c r="ES5" s="394"/>
      <c r="ET5" s="394"/>
      <c r="EU5" s="394"/>
      <c r="EV5" s="394"/>
      <c r="EW5" s="394"/>
      <c r="EX5" s="394"/>
      <c r="EY5" s="394"/>
      <c r="EZ5" s="394"/>
      <c r="FA5" s="394"/>
      <c r="FB5" s="394"/>
      <c r="FC5" s="394"/>
      <c r="FD5" s="394"/>
      <c r="FE5" s="394"/>
      <c r="FF5" s="394"/>
      <c r="FG5" s="394"/>
      <c r="FH5" s="394"/>
      <c r="FI5" s="394"/>
      <c r="FJ5" s="394"/>
      <c r="FK5" s="394"/>
      <c r="FL5" s="394"/>
      <c r="FM5" s="394"/>
      <c r="FN5" s="394"/>
      <c r="FO5" s="394"/>
      <c r="FP5" s="394"/>
      <c r="FQ5" s="394"/>
      <c r="FR5" s="394"/>
      <c r="FS5" s="394"/>
      <c r="FT5" s="394"/>
      <c r="FU5" s="394"/>
      <c r="FV5" s="394"/>
      <c r="FW5" s="394"/>
      <c r="FX5" s="394"/>
      <c r="FY5" s="394"/>
      <c r="FZ5" s="394"/>
      <c r="GA5" s="394"/>
      <c r="GB5" s="394"/>
      <c r="GC5" s="394"/>
      <c r="GD5" s="394"/>
      <c r="GE5" s="394"/>
      <c r="GF5" s="394"/>
      <c r="GG5" s="394"/>
      <c r="GH5" s="394"/>
      <c r="GI5" s="394"/>
      <c r="GJ5" s="394"/>
      <c r="GK5" s="394"/>
      <c r="GL5" s="394"/>
      <c r="GM5" s="394"/>
      <c r="GN5" s="394"/>
      <c r="GO5" s="394"/>
      <c r="GP5" s="394"/>
      <c r="GQ5" s="394"/>
      <c r="GR5" s="394"/>
      <c r="GS5" s="394"/>
      <c r="GT5" s="394"/>
      <c r="GU5" s="394"/>
      <c r="GV5" s="394"/>
      <c r="GW5" s="394"/>
      <c r="GX5" s="394"/>
      <c r="GY5" s="394"/>
      <c r="GZ5" s="394"/>
      <c r="HA5" s="394"/>
      <c r="HB5" s="394"/>
      <c r="HC5" s="394"/>
      <c r="HD5" s="394"/>
      <c r="HE5" s="394"/>
      <c r="HF5" s="394"/>
      <c r="HG5" s="394"/>
      <c r="HH5" s="394"/>
      <c r="HI5" s="394"/>
      <c r="HJ5" s="394"/>
      <c r="HK5" s="394"/>
      <c r="HL5" s="394"/>
      <c r="HM5" s="394"/>
      <c r="HN5" s="394"/>
      <c r="HO5" s="394"/>
      <c r="HP5" s="394"/>
      <c r="HQ5" s="394"/>
      <c r="HR5" s="394"/>
      <c r="HS5" s="394"/>
      <c r="HT5" s="394"/>
      <c r="HU5" s="394"/>
      <c r="HV5" s="394"/>
      <c r="HW5" s="394"/>
      <c r="HX5" s="394"/>
      <c r="HY5" s="394"/>
      <c r="HZ5" s="394"/>
      <c r="IA5" s="394"/>
      <c r="IB5" s="394"/>
      <c r="IC5" s="394"/>
      <c r="ID5" s="394"/>
      <c r="IE5" s="394"/>
      <c r="IF5" s="394"/>
      <c r="IG5" s="394"/>
      <c r="IH5" s="394"/>
      <c r="II5" s="394"/>
      <c r="IJ5" s="394"/>
      <c r="IK5" s="394"/>
      <c r="IL5" s="394"/>
      <c r="IM5" s="394"/>
      <c r="IN5" s="394"/>
      <c r="IO5" s="394"/>
      <c r="IP5" s="394"/>
      <c r="IQ5" s="394"/>
      <c r="IR5" s="394"/>
      <c r="IS5" s="394"/>
      <c r="IT5" s="394"/>
    </row>
    <row r="6" spans="1:254" ht="31.5" x14ac:dyDescent="0.25">
      <c r="A6" s="23">
        <v>1</v>
      </c>
      <c r="B6" s="395" t="s">
        <v>76</v>
      </c>
      <c r="C6" s="162">
        <v>13806815</v>
      </c>
      <c r="D6" s="163">
        <f>C17</f>
        <v>16638945</v>
      </c>
      <c r="E6" s="162">
        <v>0</v>
      </c>
      <c r="F6" s="163">
        <f>E17</f>
        <v>0</v>
      </c>
      <c r="G6" s="164">
        <v>539198</v>
      </c>
      <c r="H6" s="165">
        <f>G17</f>
        <v>397215</v>
      </c>
      <c r="I6" s="162"/>
      <c r="J6" s="163">
        <f>SUM(I17)</f>
        <v>0</v>
      </c>
      <c r="K6" s="162"/>
      <c r="L6" s="163">
        <f>SUM(K17)</f>
        <v>0</v>
      </c>
      <c r="M6" s="163">
        <f t="shared" ref="M6:N8" si="0">C6+E6+G6+I6+K6</f>
        <v>14346013</v>
      </c>
      <c r="N6" s="166">
        <f t="shared" si="0"/>
        <v>17036160</v>
      </c>
    </row>
    <row r="7" spans="1:254" ht="31.5" x14ac:dyDescent="0.25">
      <c r="A7" s="23">
        <v>2</v>
      </c>
      <c r="B7" s="396" t="s">
        <v>482</v>
      </c>
      <c r="C7" s="163">
        <f t="shared" ref="C7:L7" si="1">SUM(C8:C15)</f>
        <v>2937492</v>
      </c>
      <c r="D7" s="163">
        <f t="shared" si="1"/>
        <v>3650648.88</v>
      </c>
      <c r="E7" s="163">
        <f t="shared" si="1"/>
        <v>1662104.7000000002</v>
      </c>
      <c r="F7" s="163">
        <f t="shared" si="1"/>
        <v>1700352.2</v>
      </c>
      <c r="G7" s="165">
        <f>SUM(G8:G15)</f>
        <v>796477</v>
      </c>
      <c r="H7" s="165">
        <f>SUM(H8:H15)</f>
        <v>1449402.06</v>
      </c>
      <c r="I7" s="163">
        <f t="shared" si="1"/>
        <v>0</v>
      </c>
      <c r="J7" s="163">
        <f t="shared" si="1"/>
        <v>0</v>
      </c>
      <c r="K7" s="163">
        <f t="shared" si="1"/>
        <v>0</v>
      </c>
      <c r="L7" s="163">
        <f t="shared" si="1"/>
        <v>0</v>
      </c>
      <c r="M7" s="163">
        <f t="shared" si="0"/>
        <v>5396073.7000000002</v>
      </c>
      <c r="N7" s="166">
        <f t="shared" si="0"/>
        <v>6800403.1400000006</v>
      </c>
    </row>
    <row r="8" spans="1:254" ht="22.5" customHeight="1" x14ac:dyDescent="0.25">
      <c r="A8" s="23">
        <v>3</v>
      </c>
      <c r="B8" s="397" t="s">
        <v>30</v>
      </c>
      <c r="C8" s="167">
        <v>2937492</v>
      </c>
      <c r="D8" s="167">
        <v>3650648.88</v>
      </c>
      <c r="E8" s="167"/>
      <c r="F8" s="167"/>
      <c r="G8" s="168"/>
      <c r="H8" s="168"/>
      <c r="I8" s="167"/>
      <c r="J8" s="167"/>
      <c r="K8" s="167"/>
      <c r="L8" s="167"/>
      <c r="M8" s="163">
        <f t="shared" si="0"/>
        <v>2937492</v>
      </c>
      <c r="N8" s="166">
        <f t="shared" si="0"/>
        <v>3650648.88</v>
      </c>
    </row>
    <row r="9" spans="1:254" ht="21.75" customHeight="1" x14ac:dyDescent="0.25">
      <c r="A9" s="23">
        <v>4</v>
      </c>
      <c r="B9" s="397" t="s">
        <v>140</v>
      </c>
      <c r="C9" s="169" t="s">
        <v>139</v>
      </c>
      <c r="D9" s="169" t="s">
        <v>139</v>
      </c>
      <c r="E9" s="170">
        <v>1650717.61</v>
      </c>
      <c r="F9" s="170">
        <v>1686879.9</v>
      </c>
      <c r="G9" s="169" t="s">
        <v>139</v>
      </c>
      <c r="H9" s="169" t="s">
        <v>139</v>
      </c>
      <c r="I9" s="171" t="s">
        <v>139</v>
      </c>
      <c r="J9" s="171" t="s">
        <v>139</v>
      </c>
      <c r="K9" s="169" t="s">
        <v>139</v>
      </c>
      <c r="L9" s="169" t="s">
        <v>139</v>
      </c>
      <c r="M9" s="163">
        <f>E9</f>
        <v>1650717.61</v>
      </c>
      <c r="N9" s="166">
        <f>F9</f>
        <v>1686879.9</v>
      </c>
    </row>
    <row r="10" spans="1:254" ht="51" customHeight="1" x14ac:dyDescent="0.25">
      <c r="A10" s="23">
        <v>5</v>
      </c>
      <c r="B10" s="397" t="s">
        <v>707</v>
      </c>
      <c r="C10" s="169" t="s">
        <v>139</v>
      </c>
      <c r="D10" s="169" t="s">
        <v>139</v>
      </c>
      <c r="E10" s="167">
        <v>11387.09</v>
      </c>
      <c r="F10" s="167">
        <v>13472.3</v>
      </c>
      <c r="G10" s="169" t="s">
        <v>139</v>
      </c>
      <c r="H10" s="169" t="s">
        <v>139</v>
      </c>
      <c r="I10" s="171" t="s">
        <v>139</v>
      </c>
      <c r="J10" s="171" t="s">
        <v>139</v>
      </c>
      <c r="K10" s="169" t="s">
        <v>139</v>
      </c>
      <c r="L10" s="169" t="s">
        <v>139</v>
      </c>
      <c r="M10" s="163">
        <f>E10</f>
        <v>11387.09</v>
      </c>
      <c r="N10" s="166">
        <f>F10</f>
        <v>13472.3</v>
      </c>
      <c r="O10" s="885"/>
      <c r="P10" s="884"/>
      <c r="Q10" s="884"/>
      <c r="R10" s="884"/>
      <c r="S10" s="884"/>
      <c r="T10" s="884"/>
      <c r="U10" s="884"/>
      <c r="V10" s="884"/>
      <c r="W10" s="884"/>
      <c r="X10" s="884"/>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row>
    <row r="11" spans="1:254" ht="31.5" x14ac:dyDescent="0.25">
      <c r="A11" s="23">
        <v>6</v>
      </c>
      <c r="B11" s="397" t="s">
        <v>141</v>
      </c>
      <c r="C11" s="169" t="s">
        <v>139</v>
      </c>
      <c r="D11" s="169" t="s">
        <v>139</v>
      </c>
      <c r="E11" s="167"/>
      <c r="F11" s="167"/>
      <c r="G11" s="168"/>
      <c r="H11" s="168"/>
      <c r="I11" s="172"/>
      <c r="J11" s="172"/>
      <c r="K11" s="162"/>
      <c r="L11" s="162"/>
      <c r="M11" s="163">
        <f>E11+G11+I11+K11</f>
        <v>0</v>
      </c>
      <c r="N11" s="166">
        <f>F11+H11+J11+L11</f>
        <v>0</v>
      </c>
    </row>
    <row r="12" spans="1:254" ht="17.25" customHeight="1" x14ac:dyDescent="0.25">
      <c r="A12" s="23">
        <v>7</v>
      </c>
      <c r="B12" s="397" t="s">
        <v>142</v>
      </c>
      <c r="C12" s="167"/>
      <c r="D12" s="167"/>
      <c r="E12" s="167"/>
      <c r="F12" s="167"/>
      <c r="G12" s="168"/>
      <c r="H12" s="168"/>
      <c r="I12" s="172"/>
      <c r="J12" s="172"/>
      <c r="K12" s="167"/>
      <c r="L12" s="167"/>
      <c r="M12" s="163">
        <f>C12+E12+G12+I12+K12</f>
        <v>0</v>
      </c>
      <c r="N12" s="166">
        <f>D12+F12+H12+J12+L12</f>
        <v>0</v>
      </c>
    </row>
    <row r="13" spans="1:254" ht="18.75" x14ac:dyDescent="0.25">
      <c r="A13" s="23">
        <v>8</v>
      </c>
      <c r="B13" s="398" t="s">
        <v>31</v>
      </c>
      <c r="C13" s="169" t="s">
        <v>139</v>
      </c>
      <c r="D13" s="169" t="s">
        <v>139</v>
      </c>
      <c r="E13" s="169" t="s">
        <v>139</v>
      </c>
      <c r="F13" s="169" t="s">
        <v>139</v>
      </c>
      <c r="G13" s="168">
        <v>676536</v>
      </c>
      <c r="H13" s="168">
        <f>1034417+309000+20000</f>
        <v>1363417</v>
      </c>
      <c r="I13" s="172"/>
      <c r="J13" s="172"/>
      <c r="K13" s="173" t="s">
        <v>139</v>
      </c>
      <c r="L13" s="173" t="s">
        <v>139</v>
      </c>
      <c r="M13" s="163">
        <f>G13</f>
        <v>676536</v>
      </c>
      <c r="N13" s="166">
        <f>H13</f>
        <v>1363417</v>
      </c>
    </row>
    <row r="14" spans="1:254" ht="35.25" customHeight="1" x14ac:dyDescent="0.25">
      <c r="A14" s="23">
        <v>9</v>
      </c>
      <c r="B14" s="397" t="s">
        <v>5</v>
      </c>
      <c r="C14" s="169" t="s">
        <v>139</v>
      </c>
      <c r="D14" s="169" t="s">
        <v>139</v>
      </c>
      <c r="E14" s="169" t="s">
        <v>139</v>
      </c>
      <c r="F14" s="169" t="s">
        <v>139</v>
      </c>
      <c r="G14" s="168">
        <v>119941</v>
      </c>
      <c r="H14" s="168">
        <v>85985.06</v>
      </c>
      <c r="I14" s="174" t="s">
        <v>139</v>
      </c>
      <c r="J14" s="174" t="s">
        <v>139</v>
      </c>
      <c r="K14" s="173" t="s">
        <v>139</v>
      </c>
      <c r="L14" s="173" t="s">
        <v>139</v>
      </c>
      <c r="M14" s="163">
        <f>G14</f>
        <v>119941</v>
      </c>
      <c r="N14" s="166">
        <f>H14</f>
        <v>85985.06</v>
      </c>
      <c r="O14" s="883"/>
      <c r="P14" s="884"/>
      <c r="Q14" s="884"/>
      <c r="R14" s="884"/>
      <c r="S14" s="884"/>
      <c r="T14" s="884"/>
      <c r="U14" s="884"/>
    </row>
    <row r="15" spans="1:254" ht="54" customHeight="1" x14ac:dyDescent="0.25">
      <c r="A15" s="23">
        <v>10</v>
      </c>
      <c r="B15" s="397" t="s">
        <v>32</v>
      </c>
      <c r="C15" s="167"/>
      <c r="D15" s="167"/>
      <c r="E15" s="167"/>
      <c r="F15" s="167"/>
      <c r="G15" s="168"/>
      <c r="H15" s="168"/>
      <c r="I15" s="172"/>
      <c r="J15" s="172"/>
      <c r="K15" s="167"/>
      <c r="L15" s="167"/>
      <c r="M15" s="163">
        <f>C15+E15+G15+I15+K15</f>
        <v>0</v>
      </c>
      <c r="N15" s="166">
        <f>D15+F15+H15+J15+L15</f>
        <v>0</v>
      </c>
    </row>
    <row r="16" spans="1:254" ht="97.5" customHeight="1" x14ac:dyDescent="0.25">
      <c r="A16" s="23">
        <v>11</v>
      </c>
      <c r="B16" s="395" t="s">
        <v>77</v>
      </c>
      <c r="C16" s="162">
        <v>105362</v>
      </c>
      <c r="D16" s="162">
        <v>2180430.63</v>
      </c>
      <c r="E16" s="162">
        <v>1662104.7</v>
      </c>
      <c r="F16" s="162">
        <v>929751.79</v>
      </c>
      <c r="G16" s="168">
        <v>938460</v>
      </c>
      <c r="H16" s="168">
        <v>1090062.8999999999</v>
      </c>
      <c r="I16" s="162"/>
      <c r="J16" s="162"/>
      <c r="K16" s="162"/>
      <c r="L16" s="162"/>
      <c r="M16" s="163">
        <f t="shared" ref="M16:N18" si="2">C16+E16+G16+I16+K16</f>
        <v>2705926.7</v>
      </c>
      <c r="N16" s="166">
        <f t="shared" si="2"/>
        <v>4200245.32</v>
      </c>
      <c r="O16" s="883"/>
      <c r="P16" s="884"/>
      <c r="Q16" s="884"/>
      <c r="R16" s="884"/>
      <c r="S16" s="884"/>
      <c r="T16" s="884"/>
      <c r="U16" s="884"/>
      <c r="V16" s="884"/>
      <c r="W16" s="884"/>
    </row>
    <row r="17" spans="1:18" ht="31.5" x14ac:dyDescent="0.25">
      <c r="A17" s="23">
        <v>12</v>
      </c>
      <c r="B17" s="395" t="s">
        <v>6</v>
      </c>
      <c r="C17" s="163">
        <f t="shared" ref="C17:L17" si="3">C6+C7-C16</f>
        <v>16638945</v>
      </c>
      <c r="D17" s="163">
        <f t="shared" si="3"/>
        <v>18109163.25</v>
      </c>
      <c r="E17" s="163">
        <f t="shared" si="3"/>
        <v>0</v>
      </c>
      <c r="F17" s="163">
        <f t="shared" si="3"/>
        <v>770600.40999999992</v>
      </c>
      <c r="G17" s="165">
        <f t="shared" si="3"/>
        <v>397215</v>
      </c>
      <c r="H17" s="165">
        <f t="shared" si="3"/>
        <v>756554.16000000015</v>
      </c>
      <c r="I17" s="163">
        <f t="shared" si="3"/>
        <v>0</v>
      </c>
      <c r="J17" s="163">
        <f t="shared" si="3"/>
        <v>0</v>
      </c>
      <c r="K17" s="163">
        <f t="shared" si="3"/>
        <v>0</v>
      </c>
      <c r="L17" s="163">
        <f t="shared" si="3"/>
        <v>0</v>
      </c>
      <c r="M17" s="163">
        <f t="shared" si="2"/>
        <v>17036160</v>
      </c>
      <c r="N17" s="166">
        <f t="shared" si="2"/>
        <v>19636317.82</v>
      </c>
    </row>
    <row r="18" spans="1:18" ht="48.75" customHeight="1" thickBot="1" x14ac:dyDescent="0.3">
      <c r="A18" s="141">
        <v>13</v>
      </c>
      <c r="B18" s="399" t="s">
        <v>501</v>
      </c>
      <c r="C18" s="175">
        <v>0</v>
      </c>
      <c r="D18" s="175">
        <v>0</v>
      </c>
      <c r="E18" s="175">
        <v>0</v>
      </c>
      <c r="F18" s="175">
        <v>0</v>
      </c>
      <c r="G18" s="176">
        <v>0</v>
      </c>
      <c r="H18" s="176">
        <v>0</v>
      </c>
      <c r="I18" s="175">
        <v>0</v>
      </c>
      <c r="J18" s="175">
        <v>0</v>
      </c>
      <c r="K18" s="175">
        <v>0</v>
      </c>
      <c r="L18" s="175">
        <v>0</v>
      </c>
      <c r="M18" s="177">
        <f t="shared" si="2"/>
        <v>0</v>
      </c>
      <c r="N18" s="178">
        <f t="shared" si="2"/>
        <v>0</v>
      </c>
    </row>
    <row r="19" spans="1:18" x14ac:dyDescent="0.25">
      <c r="E19" s="680">
        <f>'T11-Zdroje KV'!C7</f>
        <v>1662104.7000000002</v>
      </c>
      <c r="F19" s="235"/>
      <c r="H19" s="235"/>
      <c r="I19" s="143"/>
      <c r="J19" s="143"/>
    </row>
    <row r="20" spans="1:18" s="387" customFormat="1" x14ac:dyDescent="0.25">
      <c r="A20" s="400" t="s">
        <v>798</v>
      </c>
      <c r="B20" s="400"/>
      <c r="C20" s="400"/>
      <c r="E20" s="682"/>
      <c r="F20" s="682"/>
      <c r="H20" s="681"/>
      <c r="I20" s="400"/>
      <c r="J20" s="400"/>
      <c r="K20" s="400"/>
      <c r="L20" s="400"/>
      <c r="M20" s="400"/>
      <c r="N20" s="400"/>
    </row>
    <row r="21" spans="1:18" s="387" customFormat="1" x14ac:dyDescent="0.25">
      <c r="A21" s="400" t="s">
        <v>800</v>
      </c>
      <c r="B21" s="400"/>
      <c r="C21" s="400"/>
      <c r="D21" s="400"/>
      <c r="F21" s="235"/>
      <c r="H21" s="681"/>
      <c r="I21" s="401"/>
      <c r="J21" s="402"/>
      <c r="K21" s="402"/>
      <c r="L21" s="402"/>
      <c r="M21" s="402"/>
      <c r="N21" s="402"/>
      <c r="O21" s="403"/>
      <c r="P21" s="403"/>
      <c r="Q21" s="403"/>
      <c r="R21" s="403"/>
    </row>
    <row r="22" spans="1:18" s="387" customFormat="1" ht="15.75" customHeight="1" x14ac:dyDescent="0.25">
      <c r="A22" s="404" t="s">
        <v>801</v>
      </c>
      <c r="B22" s="404"/>
      <c r="C22" s="404"/>
      <c r="D22" s="400"/>
      <c r="H22" s="681"/>
      <c r="I22" s="405"/>
      <c r="J22" s="400"/>
      <c r="K22" s="400"/>
      <c r="L22" s="400"/>
      <c r="M22" s="400"/>
      <c r="N22" s="400"/>
    </row>
    <row r="23" spans="1:18" x14ac:dyDescent="0.25">
      <c r="H23" s="235"/>
      <c r="L23" s="143"/>
    </row>
    <row r="24" spans="1:18" x14ac:dyDescent="0.25">
      <c r="H24" s="235"/>
    </row>
    <row r="25" spans="1:18" x14ac:dyDescent="0.25">
      <c r="H25" s="235"/>
      <c r="I25" s="235"/>
    </row>
  </sheetData>
  <mergeCells count="13">
    <mergeCell ref="O16:W16"/>
    <mergeCell ref="O10:X10"/>
    <mergeCell ref="O14:U14"/>
    <mergeCell ref="M3:N3"/>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4"/>
  <sheetViews>
    <sheetView zoomScaleNormal="100" workbookViewId="0">
      <pane xSplit="2" ySplit="4" topLeftCell="C5" activePane="bottomRight" state="frozen"/>
      <selection pane="topRight" activeCell="C1" sqref="C1"/>
      <selection pane="bottomLeft" activeCell="A5" sqref="A5"/>
      <selection pane="bottomRight" activeCell="F23" sqref="F23"/>
    </sheetView>
  </sheetViews>
  <sheetFormatPr defaultColWidth="9.140625" defaultRowHeight="18.75" x14ac:dyDescent="0.25"/>
  <cols>
    <col min="1" max="1" width="7.42578125" style="144" customWidth="1"/>
    <col min="2" max="2" width="42.140625" style="148" customWidth="1"/>
    <col min="3" max="3" width="31.5703125" style="160" customWidth="1"/>
    <col min="4" max="4" width="31.5703125" style="144" customWidth="1"/>
    <col min="5" max="5" width="18.28515625" style="144" customWidth="1"/>
    <col min="6" max="8" width="9.140625" style="144"/>
    <col min="9" max="9" width="13.42578125" style="144" customWidth="1"/>
    <col min="10" max="14" width="9.140625" style="144"/>
    <col min="15" max="15" width="12.42578125" style="144" customWidth="1"/>
    <col min="16" max="16384" width="9.140625" style="144"/>
  </cols>
  <sheetData>
    <row r="1" spans="1:22" s="372" customFormat="1" ht="50.1" customHeight="1" thickBot="1" x14ac:dyDescent="0.3">
      <c r="A1" s="898" t="s">
        <v>684</v>
      </c>
      <c r="B1" s="899"/>
      <c r="C1" s="899"/>
      <c r="D1" s="899"/>
      <c r="E1" s="900"/>
      <c r="F1" s="477"/>
    </row>
    <row r="2" spans="1:22" s="372" customFormat="1" ht="35.1" customHeight="1" x14ac:dyDescent="0.25">
      <c r="A2" s="821" t="s">
        <v>961</v>
      </c>
      <c r="B2" s="877"/>
      <c r="C2" s="877"/>
      <c r="D2" s="877"/>
      <c r="E2" s="878"/>
    </row>
    <row r="3" spans="1:22" s="372" customFormat="1" ht="63" x14ac:dyDescent="0.25">
      <c r="A3" s="406" t="s">
        <v>80</v>
      </c>
      <c r="B3" s="407" t="s">
        <v>152</v>
      </c>
      <c r="C3" s="407" t="s">
        <v>679</v>
      </c>
      <c r="D3" s="407" t="s">
        <v>680</v>
      </c>
      <c r="E3" s="408" t="s">
        <v>681</v>
      </c>
    </row>
    <row r="4" spans="1:22" s="372" customFormat="1" ht="15.75" customHeight="1" x14ac:dyDescent="0.25">
      <c r="A4" s="310"/>
      <c r="B4" s="293"/>
      <c r="C4" s="366" t="s">
        <v>118</v>
      </c>
      <c r="D4" s="366" t="s">
        <v>119</v>
      </c>
      <c r="E4" s="371" t="s">
        <v>9</v>
      </c>
    </row>
    <row r="5" spans="1:22" ht="15.75" customHeight="1" x14ac:dyDescent="0.25">
      <c r="A5" s="149">
        <v>1</v>
      </c>
      <c r="B5" s="409" t="s">
        <v>669</v>
      </c>
      <c r="C5" s="135">
        <v>447466.67</v>
      </c>
      <c r="D5" s="135"/>
      <c r="E5" s="251">
        <f t="shared" ref="E5:E12" si="0">C5+D5</f>
        <v>447466.67</v>
      </c>
      <c r="I5" s="671"/>
      <c r="J5" s="672"/>
      <c r="K5" s="673"/>
      <c r="L5" s="673"/>
      <c r="M5" s="672"/>
      <c r="N5" s="673"/>
      <c r="O5" s="674"/>
      <c r="P5" s="671"/>
      <c r="Q5" s="561"/>
      <c r="R5" s="561"/>
      <c r="S5" s="561"/>
      <c r="T5" s="561"/>
      <c r="U5" s="561"/>
      <c r="V5" s="561"/>
    </row>
    <row r="6" spans="1:22" ht="15.75" customHeight="1" x14ac:dyDescent="0.25">
      <c r="A6" s="149">
        <f>A5+1</f>
        <v>2</v>
      </c>
      <c r="B6" s="409" t="s">
        <v>670</v>
      </c>
      <c r="C6" s="135"/>
      <c r="D6" s="135"/>
      <c r="E6" s="251">
        <f t="shared" si="0"/>
        <v>0</v>
      </c>
      <c r="I6" s="673"/>
      <c r="J6" s="673"/>
      <c r="K6" s="673"/>
      <c r="L6" s="674"/>
      <c r="M6" s="673"/>
      <c r="N6" s="673"/>
      <c r="O6" s="675"/>
      <c r="P6" s="673"/>
      <c r="Q6" s="561"/>
      <c r="R6" s="561"/>
      <c r="S6" s="561"/>
      <c r="T6" s="561"/>
      <c r="U6" s="561"/>
      <c r="V6" s="561"/>
    </row>
    <row r="7" spans="1:22" ht="18.75" customHeight="1" x14ac:dyDescent="0.25">
      <c r="A7" s="149">
        <f>A6+1</f>
        <v>3</v>
      </c>
      <c r="B7" s="410" t="s">
        <v>674</v>
      </c>
      <c r="C7" s="133">
        <f>SUM(C5:C6)</f>
        <v>447466.67</v>
      </c>
      <c r="D7" s="133">
        <f>SUM(D5:D6)</f>
        <v>0</v>
      </c>
      <c r="E7" s="150">
        <f t="shared" si="0"/>
        <v>447466.67</v>
      </c>
      <c r="I7" s="676"/>
      <c r="J7" s="676"/>
      <c r="K7" s="676"/>
      <c r="L7" s="674"/>
      <c r="M7" s="673"/>
      <c r="N7" s="673"/>
      <c r="O7" s="675"/>
      <c r="P7" s="673"/>
      <c r="Q7" s="561"/>
      <c r="R7" s="561"/>
      <c r="S7" s="561"/>
      <c r="T7" s="561"/>
      <c r="U7" s="561"/>
      <c r="V7" s="561"/>
    </row>
    <row r="8" spans="1:22" ht="15.75" customHeight="1" x14ac:dyDescent="0.25">
      <c r="A8" s="149">
        <f>A7+1</f>
        <v>4</v>
      </c>
      <c r="B8" s="409" t="s">
        <v>671</v>
      </c>
      <c r="C8" s="135"/>
      <c r="D8" s="135"/>
      <c r="E8" s="251">
        <f t="shared" si="0"/>
        <v>0</v>
      </c>
      <c r="I8" s="676"/>
      <c r="J8" s="676"/>
      <c r="K8" s="676"/>
      <c r="L8" s="674"/>
      <c r="M8" s="673"/>
      <c r="N8" s="673"/>
      <c r="O8" s="675"/>
      <c r="P8" s="673"/>
      <c r="Q8" s="561"/>
      <c r="R8" s="561"/>
      <c r="S8" s="561"/>
      <c r="T8" s="561"/>
      <c r="U8" s="561"/>
      <c r="V8" s="561"/>
    </row>
    <row r="9" spans="1:22" ht="15.75" customHeight="1" x14ac:dyDescent="0.25">
      <c r="A9" s="149">
        <f>A8+1</f>
        <v>5</v>
      </c>
      <c r="B9" s="409" t="s">
        <v>672</v>
      </c>
      <c r="C9" s="135"/>
      <c r="D9" s="135"/>
      <c r="E9" s="251">
        <f t="shared" si="0"/>
        <v>0</v>
      </c>
      <c r="I9" s="676"/>
      <c r="J9" s="676"/>
      <c r="K9" s="676"/>
      <c r="L9" s="674"/>
      <c r="M9" s="673"/>
      <c r="N9" s="673"/>
      <c r="O9" s="675"/>
      <c r="P9" s="673"/>
      <c r="Q9" s="561"/>
      <c r="R9" s="561"/>
      <c r="S9" s="561"/>
      <c r="T9" s="561"/>
      <c r="U9" s="561"/>
      <c r="V9" s="561"/>
    </row>
    <row r="10" spans="1:22" ht="18.75" customHeight="1" x14ac:dyDescent="0.25">
      <c r="A10" s="149">
        <v>6</v>
      </c>
      <c r="B10" s="410" t="s">
        <v>673</v>
      </c>
      <c r="C10" s="133">
        <f>SUM(C8,C9)</f>
        <v>0</v>
      </c>
      <c r="D10" s="133">
        <f>SUM(D8,D9)</f>
        <v>0</v>
      </c>
      <c r="E10" s="150">
        <f t="shared" si="0"/>
        <v>0</v>
      </c>
      <c r="I10" s="677"/>
      <c r="J10" s="677"/>
      <c r="K10" s="678"/>
      <c r="L10" s="678"/>
      <c r="M10" s="678"/>
      <c r="N10" s="678"/>
      <c r="O10" s="679"/>
      <c r="P10" s="678"/>
      <c r="Q10" s="561"/>
      <c r="R10" s="561"/>
      <c r="S10" s="561"/>
      <c r="T10" s="561"/>
      <c r="U10" s="561"/>
      <c r="V10" s="561"/>
    </row>
    <row r="11" spans="1:22" ht="31.5" x14ac:dyDescent="0.25">
      <c r="A11" s="149">
        <v>13</v>
      </c>
      <c r="B11" s="410" t="s">
        <v>675</v>
      </c>
      <c r="C11" s="133">
        <f>SUM(C7,C10)</f>
        <v>447466.67</v>
      </c>
      <c r="D11" s="133">
        <f>SUM(D7,D10)</f>
        <v>0</v>
      </c>
      <c r="E11" s="150">
        <f t="shared" si="0"/>
        <v>447466.67</v>
      </c>
    </row>
    <row r="12" spans="1:22" ht="31.5" x14ac:dyDescent="0.25">
      <c r="A12" s="149">
        <v>14</v>
      </c>
      <c r="B12" s="410" t="s">
        <v>609</v>
      </c>
      <c r="C12" s="133">
        <f>C13+C16</f>
        <v>0</v>
      </c>
      <c r="D12" s="133">
        <f>D13+D16</f>
        <v>0</v>
      </c>
      <c r="E12" s="150">
        <f t="shared" si="0"/>
        <v>0</v>
      </c>
    </row>
    <row r="13" spans="1:22" ht="15.75" customHeight="1" x14ac:dyDescent="0.25">
      <c r="A13" s="149">
        <v>15</v>
      </c>
      <c r="B13" s="411" t="s">
        <v>677</v>
      </c>
      <c r="C13" s="133">
        <f>SUM(C14:C15)</f>
        <v>0</v>
      </c>
      <c r="D13" s="133">
        <f>SUM(D14:D15)</f>
        <v>0</v>
      </c>
      <c r="E13" s="150">
        <f t="shared" ref="E13:E18" si="1">C13+D13</f>
        <v>0</v>
      </c>
    </row>
    <row r="14" spans="1:22" ht="15.75" customHeight="1" x14ac:dyDescent="0.25">
      <c r="A14" s="149">
        <v>16</v>
      </c>
      <c r="B14" s="412" t="s">
        <v>669</v>
      </c>
      <c r="C14" s="135"/>
      <c r="D14" s="135"/>
      <c r="E14" s="251">
        <f t="shared" si="1"/>
        <v>0</v>
      </c>
    </row>
    <row r="15" spans="1:22" ht="15.75" customHeight="1" x14ac:dyDescent="0.25">
      <c r="A15" s="149">
        <v>17</v>
      </c>
      <c r="B15" s="412" t="s">
        <v>670</v>
      </c>
      <c r="C15" s="161"/>
      <c r="D15" s="135"/>
      <c r="E15" s="251">
        <f t="shared" si="1"/>
        <v>0</v>
      </c>
    </row>
    <row r="16" spans="1:22" ht="15.75" customHeight="1" x14ac:dyDescent="0.25">
      <c r="A16" s="149">
        <v>18</v>
      </c>
      <c r="B16" s="413" t="s">
        <v>678</v>
      </c>
      <c r="C16" s="133">
        <f>SUM(C17:C21)</f>
        <v>0</v>
      </c>
      <c r="D16" s="133">
        <f>SUM(D17:D21)</f>
        <v>0</v>
      </c>
      <c r="E16" s="150">
        <f t="shared" si="1"/>
        <v>0</v>
      </c>
    </row>
    <row r="17" spans="1:5" ht="15.75" customHeight="1" x14ac:dyDescent="0.25">
      <c r="A17" s="225">
        <v>19</v>
      </c>
      <c r="B17" s="412" t="s">
        <v>671</v>
      </c>
      <c r="C17" s="135"/>
      <c r="D17" s="135"/>
      <c r="E17" s="251">
        <f t="shared" si="1"/>
        <v>0</v>
      </c>
    </row>
    <row r="18" spans="1:5" ht="15.75" customHeight="1" x14ac:dyDescent="0.25">
      <c r="A18" s="149">
        <v>20</v>
      </c>
      <c r="B18" s="412" t="s">
        <v>672</v>
      </c>
      <c r="C18" s="135"/>
      <c r="D18" s="135"/>
      <c r="E18" s="251">
        <f t="shared" si="1"/>
        <v>0</v>
      </c>
    </row>
    <row r="19" spans="1:5" ht="15.75" customHeight="1" x14ac:dyDescent="0.25">
      <c r="A19" s="149">
        <v>21</v>
      </c>
      <c r="B19" s="412"/>
      <c r="C19" s="135"/>
      <c r="D19" s="135"/>
      <c r="E19" s="249"/>
    </row>
    <row r="20" spans="1:5" ht="15.75" customHeight="1" x14ac:dyDescent="0.25">
      <c r="A20" s="149">
        <v>22</v>
      </c>
      <c r="B20" s="412"/>
      <c r="C20" s="135"/>
      <c r="D20" s="135"/>
      <c r="E20" s="249"/>
    </row>
    <row r="21" spans="1:5" ht="15.75" customHeight="1" x14ac:dyDescent="0.25">
      <c r="A21" s="149">
        <v>23</v>
      </c>
      <c r="B21" s="412"/>
      <c r="C21" s="135"/>
      <c r="D21" s="135"/>
      <c r="E21" s="249"/>
    </row>
    <row r="22" spans="1:5" ht="15.75" customHeight="1" thickBot="1" x14ac:dyDescent="0.3">
      <c r="A22" s="151">
        <v>24</v>
      </c>
      <c r="B22" s="414" t="s">
        <v>659</v>
      </c>
      <c r="C22" s="152">
        <f>C11+C12</f>
        <v>447466.67</v>
      </c>
      <c r="D22" s="152">
        <f>D11+D12</f>
        <v>0</v>
      </c>
      <c r="E22" s="288">
        <f>C22+D22</f>
        <v>447466.67</v>
      </c>
    </row>
    <row r="23" spans="1:5" ht="15.75" x14ac:dyDescent="0.25">
      <c r="A23" s="14"/>
      <c r="B23" s="15"/>
      <c r="C23" s="16"/>
      <c r="D23" s="16"/>
      <c r="E23" s="16"/>
    </row>
    <row r="24" spans="1:5" s="372" customFormat="1" ht="15.75" x14ac:dyDescent="0.25">
      <c r="A24" s="415" t="s">
        <v>561</v>
      </c>
      <c r="B24" s="416" t="s">
        <v>682</v>
      </c>
      <c r="C24" s="416"/>
      <c r="D24" s="417"/>
      <c r="E24" s="417"/>
    </row>
  </sheetData>
  <mergeCells count="2">
    <mergeCell ref="A1:E1"/>
    <mergeCell ref="A2:E2"/>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
  <sheetViews>
    <sheetView zoomScaleNormal="100" workbookViewId="0">
      <selection activeCell="F6" sqref="F6"/>
    </sheetView>
  </sheetViews>
  <sheetFormatPr defaultRowHeight="12.75" x14ac:dyDescent="0.2"/>
  <cols>
    <col min="1" max="1" width="7.42578125" customWidth="1"/>
    <col min="2" max="2" width="42.140625" customWidth="1"/>
    <col min="3" max="4" width="31.5703125" customWidth="1"/>
    <col min="5" max="5" width="18.28515625" customWidth="1"/>
  </cols>
  <sheetData>
    <row r="1" spans="1:6" s="418" customFormat="1" ht="50.1" customHeight="1" thickBot="1" x14ac:dyDescent="0.25">
      <c r="A1" s="898" t="s">
        <v>685</v>
      </c>
      <c r="B1" s="899"/>
      <c r="C1" s="899"/>
      <c r="D1" s="899"/>
      <c r="E1" s="900"/>
    </row>
    <row r="2" spans="1:6" s="418" customFormat="1" ht="33.6" customHeight="1" x14ac:dyDescent="0.2">
      <c r="A2" s="821" t="s">
        <v>962</v>
      </c>
      <c r="B2" s="877"/>
      <c r="C2" s="877"/>
      <c r="D2" s="877"/>
      <c r="E2" s="878"/>
    </row>
    <row r="3" spans="1:6" s="418" customFormat="1" ht="31.5" x14ac:dyDescent="0.2">
      <c r="A3" s="406" t="s">
        <v>80</v>
      </c>
      <c r="B3" s="407" t="s">
        <v>152</v>
      </c>
      <c r="C3" s="407" t="s">
        <v>687</v>
      </c>
      <c r="D3" s="407" t="s">
        <v>688</v>
      </c>
      <c r="E3" s="408" t="s">
        <v>689</v>
      </c>
    </row>
    <row r="4" spans="1:6" s="418" customFormat="1" ht="15.75" x14ac:dyDescent="0.2">
      <c r="A4" s="310"/>
      <c r="B4" s="293"/>
      <c r="C4" s="366" t="s">
        <v>118</v>
      </c>
      <c r="D4" s="366" t="s">
        <v>119</v>
      </c>
      <c r="E4" s="371" t="s">
        <v>9</v>
      </c>
    </row>
    <row r="5" spans="1:6" ht="16.5" thickBot="1" x14ac:dyDescent="0.25">
      <c r="A5" s="151">
        <v>1</v>
      </c>
      <c r="B5" s="419" t="s">
        <v>686</v>
      </c>
      <c r="C5" s="287">
        <v>7500</v>
      </c>
      <c r="D5" s="287">
        <v>12500</v>
      </c>
      <c r="E5" s="288">
        <f>C5+D5</f>
        <v>20000</v>
      </c>
    </row>
    <row r="6" spans="1:6" x14ac:dyDescent="0.2">
      <c r="F6" s="206"/>
    </row>
  </sheetData>
  <mergeCells count="2">
    <mergeCell ref="A1:E1"/>
    <mergeCell ref="A2:E2"/>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24"/>
  <sheetViews>
    <sheetView zoomScaleNormal="100" workbookViewId="0">
      <pane xSplit="2" ySplit="4" topLeftCell="C5" activePane="bottomRight" state="frozen"/>
      <selection pane="topRight" activeCell="C1" sqref="C1"/>
      <selection pane="bottomLeft" activeCell="A5" sqref="A5"/>
      <selection pane="bottomRight" activeCell="G32" sqref="G32"/>
    </sheetView>
  </sheetViews>
  <sheetFormatPr defaultColWidth="9.140625" defaultRowHeight="15.75" x14ac:dyDescent="0.2"/>
  <cols>
    <col min="1" max="1" width="10.5703125" style="10" customWidth="1"/>
    <col min="2" max="2" width="43.140625" style="40" customWidth="1"/>
    <col min="3" max="3" width="28.42578125" style="9" customWidth="1"/>
    <col min="4" max="4" width="46.5703125" style="9" customWidth="1"/>
    <col min="5" max="5" width="16.5703125" style="9" customWidth="1"/>
    <col min="6" max="16384" width="9.140625" style="9"/>
  </cols>
  <sheetData>
    <row r="1" spans="1:8" ht="50.1" customHeight="1" thickBot="1" x14ac:dyDescent="0.25">
      <c r="A1" s="901" t="s">
        <v>640</v>
      </c>
      <c r="B1" s="902"/>
      <c r="C1" s="902"/>
      <c r="D1" s="903"/>
    </row>
    <row r="2" spans="1:8" ht="35.1" customHeight="1" x14ac:dyDescent="0.2">
      <c r="A2" s="904" t="s">
        <v>963</v>
      </c>
      <c r="B2" s="905"/>
      <c r="C2" s="905"/>
      <c r="D2" s="906"/>
    </row>
    <row r="3" spans="1:8" ht="31.5" x14ac:dyDescent="0.2">
      <c r="A3" s="498" t="s">
        <v>80</v>
      </c>
      <c r="B3" s="499" t="s">
        <v>127</v>
      </c>
      <c r="C3" s="499" t="s">
        <v>641</v>
      </c>
      <c r="D3" s="500" t="s">
        <v>683</v>
      </c>
    </row>
    <row r="4" spans="1:8" s="11" customFormat="1" ht="18" customHeight="1" x14ac:dyDescent="0.2">
      <c r="A4" s="54"/>
      <c r="B4" s="499" t="s">
        <v>118</v>
      </c>
      <c r="C4" s="499" t="s">
        <v>119</v>
      </c>
      <c r="D4" s="500" t="s">
        <v>120</v>
      </c>
      <c r="F4" s="9"/>
      <c r="G4" s="9"/>
      <c r="H4" s="9"/>
    </row>
    <row r="5" spans="1:8" s="11" customFormat="1" ht="47.25" x14ac:dyDescent="0.2">
      <c r="A5" s="54">
        <v>1</v>
      </c>
      <c r="B5" s="493" t="s">
        <v>890</v>
      </c>
      <c r="C5" s="36">
        <f>C6+C7+C11+C12+C13+C14+C15+C16+C17+C18+C19+C20+C21</f>
        <v>26661925.66</v>
      </c>
      <c r="D5" s="39"/>
      <c r="F5" s="9"/>
      <c r="G5" s="9"/>
      <c r="H5" s="9"/>
    </row>
    <row r="6" spans="1:8" ht="177.75" customHeight="1" x14ac:dyDescent="0.2">
      <c r="A6" s="54">
        <v>2</v>
      </c>
      <c r="B6" s="501" t="s">
        <v>586</v>
      </c>
      <c r="C6" s="72">
        <v>10920892.15</v>
      </c>
      <c r="D6" s="502" t="s">
        <v>880</v>
      </c>
    </row>
    <row r="7" spans="1:8" ht="31.5" x14ac:dyDescent="0.2">
      <c r="A7" s="54">
        <v>3</v>
      </c>
      <c r="B7" s="503" t="s">
        <v>594</v>
      </c>
      <c r="C7" s="36">
        <f>C8+C9+C10</f>
        <v>1122182.01</v>
      </c>
      <c r="D7" s="68"/>
    </row>
    <row r="8" spans="1:8" x14ac:dyDescent="0.2">
      <c r="A8" s="54">
        <v>4</v>
      </c>
      <c r="B8" s="504" t="s">
        <v>578</v>
      </c>
      <c r="C8" s="72"/>
      <c r="D8" s="58"/>
    </row>
    <row r="9" spans="1:8" x14ac:dyDescent="0.2">
      <c r="A9" s="54">
        <v>5</v>
      </c>
      <c r="B9" s="504" t="s">
        <v>579</v>
      </c>
      <c r="C9" s="72">
        <v>86228.45</v>
      </c>
      <c r="D9" s="58" t="s">
        <v>881</v>
      </c>
    </row>
    <row r="10" spans="1:8" ht="386.25" customHeight="1" x14ac:dyDescent="0.2">
      <c r="A10" s="54">
        <v>6</v>
      </c>
      <c r="B10" s="504" t="s">
        <v>580</v>
      </c>
      <c r="C10" s="72">
        <v>1035953.56</v>
      </c>
      <c r="D10" s="58" t="s">
        <v>882</v>
      </c>
    </row>
    <row r="11" spans="1:8" x14ac:dyDescent="0.2">
      <c r="A11" s="54">
        <v>7</v>
      </c>
      <c r="B11" s="503" t="s">
        <v>587</v>
      </c>
      <c r="C11" s="72">
        <v>41034.76</v>
      </c>
      <c r="D11" s="58" t="s">
        <v>883</v>
      </c>
    </row>
    <row r="12" spans="1:8" x14ac:dyDescent="0.2">
      <c r="A12" s="54">
        <v>8</v>
      </c>
      <c r="B12" s="505" t="s">
        <v>581</v>
      </c>
      <c r="C12" s="72"/>
      <c r="D12" s="58"/>
    </row>
    <row r="13" spans="1:8" x14ac:dyDescent="0.2">
      <c r="A13" s="54">
        <v>9</v>
      </c>
      <c r="B13" s="505" t="s">
        <v>582</v>
      </c>
      <c r="C13" s="72"/>
      <c r="D13" s="58" t="s">
        <v>884</v>
      </c>
    </row>
    <row r="14" spans="1:8" ht="81.75" customHeight="1" x14ac:dyDescent="0.2">
      <c r="A14" s="54">
        <v>10</v>
      </c>
      <c r="B14" s="505" t="s">
        <v>583</v>
      </c>
      <c r="C14" s="72">
        <v>0</v>
      </c>
      <c r="D14" s="58" t="s">
        <v>885</v>
      </c>
    </row>
    <row r="15" spans="1:8" ht="31.5" x14ac:dyDescent="0.2">
      <c r="A15" s="54">
        <v>11</v>
      </c>
      <c r="B15" s="505" t="s">
        <v>584</v>
      </c>
      <c r="C15" s="72">
        <v>0</v>
      </c>
      <c r="D15" s="68"/>
    </row>
    <row r="16" spans="1:8" x14ac:dyDescent="0.2">
      <c r="A16" s="54">
        <v>12</v>
      </c>
      <c r="B16" s="505" t="s">
        <v>585</v>
      </c>
      <c r="C16" s="72">
        <v>0</v>
      </c>
      <c r="D16" s="68"/>
    </row>
    <row r="17" spans="1:5" ht="91.5" customHeight="1" x14ac:dyDescent="0.2">
      <c r="A17" s="54">
        <v>13</v>
      </c>
      <c r="B17" s="505" t="s">
        <v>588</v>
      </c>
      <c r="C17" s="72">
        <v>123072.08</v>
      </c>
      <c r="D17" s="58" t="s">
        <v>886</v>
      </c>
    </row>
    <row r="18" spans="1:5" ht="84" customHeight="1" x14ac:dyDescent="0.2">
      <c r="A18" s="54">
        <v>14</v>
      </c>
      <c r="B18" s="503" t="s">
        <v>589</v>
      </c>
      <c r="C18" s="72">
        <v>471608.1</v>
      </c>
      <c r="D18" s="58" t="s">
        <v>887</v>
      </c>
    </row>
    <row r="19" spans="1:5" x14ac:dyDescent="0.2">
      <c r="A19" s="54">
        <v>15</v>
      </c>
      <c r="B19" s="9" t="s">
        <v>590</v>
      </c>
      <c r="C19" s="72">
        <v>0</v>
      </c>
      <c r="D19" s="58"/>
    </row>
    <row r="20" spans="1:5" x14ac:dyDescent="0.2">
      <c r="A20" s="54">
        <v>16</v>
      </c>
      <c r="B20" s="503" t="s">
        <v>591</v>
      </c>
      <c r="C20" s="72">
        <v>0</v>
      </c>
      <c r="D20" s="58" t="s">
        <v>888</v>
      </c>
    </row>
    <row r="21" spans="1:5" ht="81.75" customHeight="1" x14ac:dyDescent="0.2">
      <c r="A21" s="54">
        <v>17</v>
      </c>
      <c r="B21" s="503" t="s">
        <v>593</v>
      </c>
      <c r="C21" s="91">
        <v>13983136.560000001</v>
      </c>
      <c r="D21" s="69" t="s">
        <v>889</v>
      </c>
      <c r="E21" s="506"/>
    </row>
    <row r="22" spans="1:5" x14ac:dyDescent="0.2">
      <c r="A22" s="246">
        <v>18</v>
      </c>
      <c r="B22" s="493" t="s">
        <v>592</v>
      </c>
      <c r="C22" s="91"/>
      <c r="D22" s="69"/>
    </row>
    <row r="23" spans="1:5" x14ac:dyDescent="0.2">
      <c r="A23" s="246">
        <v>19</v>
      </c>
      <c r="B23" s="497" t="s">
        <v>473</v>
      </c>
      <c r="C23" s="91">
        <v>22.63</v>
      </c>
      <c r="D23" s="69"/>
      <c r="E23" s="10"/>
    </row>
    <row r="24" spans="1:5" ht="32.25" thickBot="1" x14ac:dyDescent="0.25">
      <c r="A24" s="55">
        <v>20</v>
      </c>
      <c r="B24" s="494" t="s">
        <v>595</v>
      </c>
      <c r="C24" s="210">
        <f>+C5+C22+C23</f>
        <v>26661948.289999999</v>
      </c>
      <c r="D24" s="43"/>
    </row>
  </sheetData>
  <mergeCells count="2">
    <mergeCell ref="A1:D1"/>
    <mergeCell ref="A2:D2"/>
  </mergeCells>
  <printOptions gridLines="1"/>
  <pageMargins left="0.74803149606299213" right="0.74803149606299213" top="0.98425196850393704" bottom="0.79" header="0.51181102362204722" footer="0.51181102362204722"/>
  <pageSetup paperSize="9" scale="5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Q39"/>
  <sheetViews>
    <sheetView zoomScaleNormal="100" workbookViewId="0">
      <pane xSplit="2" ySplit="5" topLeftCell="D6" activePane="bottomRight" state="frozen"/>
      <selection pane="topRight" activeCell="C1" sqref="C1"/>
      <selection pane="bottomLeft" activeCell="A6" sqref="A6"/>
      <selection pane="bottomRight" activeCell="M34" sqref="M34"/>
    </sheetView>
  </sheetViews>
  <sheetFormatPr defaultColWidth="9.140625" defaultRowHeight="15.75" x14ac:dyDescent="0.2"/>
  <cols>
    <col min="1" max="1" width="7.7109375" style="14" customWidth="1"/>
    <col min="2" max="2" width="47.5703125" style="15" customWidth="1"/>
    <col min="3" max="3" width="17.85546875" style="16" customWidth="1"/>
    <col min="4" max="4" width="16.85546875" style="16" customWidth="1"/>
    <col min="5" max="5" width="17.140625" style="16" customWidth="1"/>
    <col min="6" max="6" width="18.140625" style="16" customWidth="1"/>
    <col min="7" max="7" width="17.42578125" style="16" customWidth="1"/>
    <col min="8" max="8" width="17" style="16" customWidth="1"/>
    <col min="9" max="9" width="27.42578125" style="16" customWidth="1"/>
    <col min="10" max="12" width="9.140625" style="16"/>
    <col min="13" max="13" width="15.85546875" style="16" customWidth="1"/>
    <col min="14" max="14" width="9.140625" style="16"/>
    <col min="15" max="15" width="17.140625" style="16" customWidth="1"/>
    <col min="16" max="16384" width="9.140625" style="16"/>
  </cols>
  <sheetData>
    <row r="1" spans="1:17" s="421" customFormat="1" ht="50.1" customHeight="1" thickBot="1" x14ac:dyDescent="0.25">
      <c r="A1" s="907" t="s">
        <v>649</v>
      </c>
      <c r="B1" s="908"/>
      <c r="C1" s="908"/>
      <c r="D1" s="908"/>
      <c r="E1" s="908"/>
      <c r="F1" s="908"/>
      <c r="G1" s="908"/>
      <c r="H1" s="909"/>
    </row>
    <row r="2" spans="1:17" s="421" customFormat="1" ht="35.1" customHeight="1" x14ac:dyDescent="0.2">
      <c r="A2" s="821" t="s">
        <v>962</v>
      </c>
      <c r="B2" s="877"/>
      <c r="C2" s="877"/>
      <c r="D2" s="877"/>
      <c r="E2" s="877"/>
      <c r="F2" s="877"/>
      <c r="G2" s="877"/>
      <c r="H2" s="878"/>
    </row>
    <row r="3" spans="1:17" s="417" customFormat="1" ht="27" customHeight="1" x14ac:dyDescent="0.2">
      <c r="A3" s="820" t="s">
        <v>80</v>
      </c>
      <c r="B3" s="734" t="s">
        <v>152</v>
      </c>
      <c r="C3" s="734" t="s">
        <v>133</v>
      </c>
      <c r="D3" s="734"/>
      <c r="E3" s="734" t="s">
        <v>134</v>
      </c>
      <c r="F3" s="734"/>
      <c r="G3" s="910" t="s">
        <v>83</v>
      </c>
      <c r="H3" s="911"/>
    </row>
    <row r="4" spans="1:17" s="417" customFormat="1" ht="33" customHeight="1" x14ac:dyDescent="0.2">
      <c r="A4" s="732"/>
      <c r="B4" s="838"/>
      <c r="C4" s="293" t="s">
        <v>26</v>
      </c>
      <c r="D4" s="293" t="s">
        <v>73</v>
      </c>
      <c r="E4" s="293" t="s">
        <v>26</v>
      </c>
      <c r="F4" s="293" t="s">
        <v>73</v>
      </c>
      <c r="G4" s="293" t="s">
        <v>26</v>
      </c>
      <c r="H4" s="318" t="s">
        <v>73</v>
      </c>
    </row>
    <row r="5" spans="1:17" s="417" customFormat="1" ht="15.75" customHeight="1" x14ac:dyDescent="0.2">
      <c r="A5" s="310"/>
      <c r="B5" s="293"/>
      <c r="C5" s="366" t="s">
        <v>118</v>
      </c>
      <c r="D5" s="366" t="s">
        <v>119</v>
      </c>
      <c r="E5" s="366" t="s">
        <v>120</v>
      </c>
      <c r="F5" s="366" t="s">
        <v>126</v>
      </c>
      <c r="G5" s="366" t="s">
        <v>12</v>
      </c>
      <c r="H5" s="371" t="s">
        <v>13</v>
      </c>
    </row>
    <row r="6" spans="1:17" ht="18" customHeight="1" x14ac:dyDescent="0.2">
      <c r="A6" s="149">
        <v>1</v>
      </c>
      <c r="B6" s="410" t="s">
        <v>565</v>
      </c>
      <c r="C6" s="133">
        <f>C7</f>
        <v>0</v>
      </c>
      <c r="D6" s="133">
        <f>D8</f>
        <v>0</v>
      </c>
      <c r="E6" s="133">
        <f>E7</f>
        <v>0</v>
      </c>
      <c r="F6" s="133">
        <f>F8</f>
        <v>0</v>
      </c>
      <c r="G6" s="133">
        <f>C6+E6</f>
        <v>0</v>
      </c>
      <c r="H6" s="150">
        <f>D6+F6</f>
        <v>0</v>
      </c>
      <c r="J6" s="224"/>
    </row>
    <row r="7" spans="1:17" ht="18" customHeight="1" x14ac:dyDescent="0.2">
      <c r="A7" s="149">
        <v>2</v>
      </c>
      <c r="B7" s="409" t="s">
        <v>597</v>
      </c>
      <c r="C7" s="134">
        <v>0</v>
      </c>
      <c r="D7" s="161" t="s">
        <v>490</v>
      </c>
      <c r="E7" s="134">
        <v>0</v>
      </c>
      <c r="F7" s="161" t="s">
        <v>490</v>
      </c>
      <c r="G7" s="248">
        <f>C7+E7</f>
        <v>0</v>
      </c>
      <c r="H7" s="249" t="s">
        <v>490</v>
      </c>
      <c r="J7" s="224"/>
    </row>
    <row r="8" spans="1:17" ht="18" customHeight="1" x14ac:dyDescent="0.2">
      <c r="A8" s="149">
        <f>A7+1</f>
        <v>3</v>
      </c>
      <c r="B8" s="409" t="s">
        <v>598</v>
      </c>
      <c r="C8" s="161" t="s">
        <v>490</v>
      </c>
      <c r="D8" s="134">
        <v>0</v>
      </c>
      <c r="E8" s="161" t="s">
        <v>490</v>
      </c>
      <c r="F8" s="134">
        <v>0</v>
      </c>
      <c r="G8" s="250" t="s">
        <v>490</v>
      </c>
      <c r="H8" s="251">
        <f>D8+F8</f>
        <v>0</v>
      </c>
      <c r="I8" s="224"/>
      <c r="J8" s="224"/>
    </row>
    <row r="9" spans="1:17" ht="18" customHeight="1" x14ac:dyDescent="0.2">
      <c r="A9" s="149">
        <f>A8+1</f>
        <v>4</v>
      </c>
      <c r="B9" s="410" t="s">
        <v>566</v>
      </c>
      <c r="C9" s="133">
        <f>SUM(C10:C11)</f>
        <v>0</v>
      </c>
      <c r="D9" s="133">
        <f>SUM(D10:D11)</f>
        <v>0</v>
      </c>
      <c r="E9" s="133">
        <f>SUM(E10:E11)</f>
        <v>0</v>
      </c>
      <c r="F9" s="133">
        <f>SUM(F10:F11)</f>
        <v>0</v>
      </c>
      <c r="G9" s="133">
        <f>C9+E9</f>
        <v>0</v>
      </c>
      <c r="H9" s="150">
        <f>D9+F9</f>
        <v>0</v>
      </c>
      <c r="I9" s="700"/>
      <c r="J9" s="700"/>
      <c r="K9" s="701"/>
      <c r="L9" s="701"/>
      <c r="M9" s="701"/>
      <c r="N9" s="701"/>
      <c r="O9" s="701"/>
      <c r="P9" s="701"/>
      <c r="Q9" s="701"/>
    </row>
    <row r="10" spans="1:17" ht="18" customHeight="1" x14ac:dyDescent="0.2">
      <c r="A10" s="149">
        <f>A9+1</f>
        <v>5</v>
      </c>
      <c r="B10" s="409" t="s">
        <v>599</v>
      </c>
      <c r="C10" s="134">
        <v>0</v>
      </c>
      <c r="D10" s="161" t="s">
        <v>490</v>
      </c>
      <c r="E10" s="134">
        <v>0</v>
      </c>
      <c r="F10" s="161" t="s">
        <v>490</v>
      </c>
      <c r="G10" s="248">
        <f>C10+E10</f>
        <v>0</v>
      </c>
      <c r="H10" s="249" t="s">
        <v>490</v>
      </c>
      <c r="I10" s="700"/>
      <c r="J10" s="700"/>
      <c r="K10" s="701"/>
      <c r="L10" s="701"/>
      <c r="M10" s="701"/>
      <c r="N10" s="701"/>
      <c r="O10" s="701"/>
      <c r="P10" s="701"/>
      <c r="Q10" s="701"/>
    </row>
    <row r="11" spans="1:17" ht="18" customHeight="1" x14ac:dyDescent="0.2">
      <c r="A11" s="149">
        <f>A10+1</f>
        <v>6</v>
      </c>
      <c r="B11" s="409" t="s">
        <v>600</v>
      </c>
      <c r="C11" s="161" t="s">
        <v>490</v>
      </c>
      <c r="D11" s="134">
        <v>0</v>
      </c>
      <c r="E11" s="161" t="s">
        <v>490</v>
      </c>
      <c r="F11" s="134">
        <v>0</v>
      </c>
      <c r="G11" s="250" t="s">
        <v>490</v>
      </c>
      <c r="H11" s="251">
        <f>D11+F11</f>
        <v>0</v>
      </c>
      <c r="I11" s="700"/>
      <c r="J11" s="700"/>
      <c r="K11" s="701"/>
      <c r="L11" s="701"/>
      <c r="M11" s="701"/>
      <c r="N11" s="701"/>
      <c r="O11" s="701"/>
      <c r="P11" s="701"/>
      <c r="Q11" s="701"/>
    </row>
    <row r="12" spans="1:17" ht="18" customHeight="1" x14ac:dyDescent="0.2">
      <c r="A12" s="149">
        <v>7</v>
      </c>
      <c r="B12" s="410" t="s">
        <v>537</v>
      </c>
      <c r="C12" s="652">
        <f>SUM(C13:C14)</f>
        <v>3986389.91</v>
      </c>
      <c r="D12" s="652">
        <f>SUM(D13:D14)</f>
        <v>397836.53</v>
      </c>
      <c r="E12" s="652">
        <f>SUM(E13:E14)</f>
        <v>2667925.89</v>
      </c>
      <c r="F12" s="652">
        <f>SUM(F13:F14)</f>
        <v>313873.64</v>
      </c>
      <c r="G12" s="652">
        <f>C12+E12</f>
        <v>6654315.8000000007</v>
      </c>
      <c r="H12" s="657">
        <f>D12+F12</f>
        <v>711710.17</v>
      </c>
      <c r="I12" s="700"/>
      <c r="J12" s="700"/>
      <c r="K12" s="701"/>
      <c r="L12" s="701"/>
      <c r="M12" s="701"/>
      <c r="N12" s="701"/>
      <c r="O12" s="701"/>
      <c r="P12" s="701"/>
      <c r="Q12" s="701"/>
    </row>
    <row r="13" spans="1:17" x14ac:dyDescent="0.2">
      <c r="A13" s="149">
        <v>8</v>
      </c>
      <c r="B13" s="409" t="s">
        <v>539</v>
      </c>
      <c r="C13" s="684">
        <v>3986389.91</v>
      </c>
      <c r="D13" s="685" t="s">
        <v>490</v>
      </c>
      <c r="E13" s="684">
        <v>2667925.89</v>
      </c>
      <c r="F13" s="685" t="s">
        <v>490</v>
      </c>
      <c r="G13" s="655">
        <f>C13+E13</f>
        <v>6654315.8000000007</v>
      </c>
      <c r="H13" s="249" t="s">
        <v>490</v>
      </c>
      <c r="I13" s="700"/>
      <c r="J13" s="700"/>
      <c r="K13" s="701"/>
      <c r="L13" s="701"/>
      <c r="M13" s="701"/>
      <c r="N13" s="701"/>
      <c r="O13" s="701"/>
      <c r="P13" s="701"/>
      <c r="Q13" s="701"/>
    </row>
    <row r="14" spans="1:17" x14ac:dyDescent="0.2">
      <c r="A14" s="149">
        <v>9</v>
      </c>
      <c r="B14" s="409" t="s">
        <v>540</v>
      </c>
      <c r="C14" s="685" t="s">
        <v>490</v>
      </c>
      <c r="D14" s="686">
        <v>397836.53</v>
      </c>
      <c r="E14" s="685" t="s">
        <v>490</v>
      </c>
      <c r="F14" s="686">
        <v>313873.64</v>
      </c>
      <c r="G14" s="250" t="s">
        <v>490</v>
      </c>
      <c r="H14" s="656">
        <f>D14+F14</f>
        <v>711710.17</v>
      </c>
      <c r="I14" s="700"/>
      <c r="J14" s="700"/>
      <c r="K14" s="701"/>
      <c r="L14" s="701"/>
      <c r="M14" s="701"/>
      <c r="N14" s="701"/>
      <c r="O14" s="701"/>
      <c r="P14" s="701"/>
      <c r="Q14" s="701"/>
    </row>
    <row r="15" spans="1:17" ht="18" customHeight="1" x14ac:dyDescent="0.2">
      <c r="A15" s="149">
        <v>10</v>
      </c>
      <c r="B15" s="411" t="s">
        <v>538</v>
      </c>
      <c r="C15" s="652">
        <f>SUM(C16:C17)</f>
        <v>248174.14</v>
      </c>
      <c r="D15" s="652">
        <f>SUM(D16:D17)</f>
        <v>39199.300000000003</v>
      </c>
      <c r="E15" s="133">
        <f>SUM(E16:E17)</f>
        <v>0</v>
      </c>
      <c r="F15" s="133">
        <f>SUM(F16:F17)</f>
        <v>0</v>
      </c>
      <c r="G15" s="652">
        <f>C15+E15</f>
        <v>248174.14</v>
      </c>
      <c r="H15" s="657">
        <f>D15+F15</f>
        <v>39199.300000000003</v>
      </c>
      <c r="I15" s="700"/>
      <c r="J15" s="700"/>
      <c r="K15" s="701"/>
      <c r="L15" s="701"/>
      <c r="M15" s="701"/>
      <c r="N15" s="701"/>
      <c r="O15" s="701"/>
      <c r="P15" s="701"/>
      <c r="Q15" s="701"/>
    </row>
    <row r="16" spans="1:17" ht="18" customHeight="1" x14ac:dyDescent="0.2">
      <c r="A16" s="149">
        <v>11</v>
      </c>
      <c r="B16" s="412" t="s">
        <v>601</v>
      </c>
      <c r="C16" s="648">
        <v>248174.14</v>
      </c>
      <c r="D16" s="161" t="s">
        <v>490</v>
      </c>
      <c r="E16" s="161">
        <v>0</v>
      </c>
      <c r="F16" s="161" t="s">
        <v>490</v>
      </c>
      <c r="G16" s="655">
        <f>C16+E16</f>
        <v>248174.14</v>
      </c>
      <c r="H16" s="249" t="s">
        <v>490</v>
      </c>
      <c r="I16" s="700"/>
      <c r="J16" s="700"/>
      <c r="K16" s="701"/>
      <c r="L16" s="701"/>
      <c r="M16" s="701"/>
      <c r="N16" s="701"/>
      <c r="O16" s="701"/>
      <c r="P16" s="701"/>
      <c r="Q16" s="701"/>
    </row>
    <row r="17" spans="1:17" ht="18" customHeight="1" x14ac:dyDescent="0.2">
      <c r="A17" s="149">
        <v>12</v>
      </c>
      <c r="B17" s="412" t="s">
        <v>828</v>
      </c>
      <c r="C17" s="161" t="s">
        <v>490</v>
      </c>
      <c r="D17" s="649">
        <v>39199.300000000003</v>
      </c>
      <c r="E17" s="161" t="s">
        <v>490</v>
      </c>
      <c r="F17" s="134">
        <v>0</v>
      </c>
      <c r="G17" s="250" t="s">
        <v>490</v>
      </c>
      <c r="H17" s="656">
        <f>D17+F17</f>
        <v>39199.300000000003</v>
      </c>
      <c r="I17" s="700"/>
      <c r="J17" s="700"/>
      <c r="K17" s="701"/>
      <c r="L17" s="701"/>
      <c r="M17" s="701"/>
      <c r="N17" s="701"/>
      <c r="O17" s="701"/>
      <c r="P17" s="701"/>
      <c r="Q17" s="701"/>
    </row>
    <row r="18" spans="1:17" ht="44.25" customHeight="1" x14ac:dyDescent="0.2">
      <c r="A18" s="149">
        <v>13</v>
      </c>
      <c r="B18" s="410" t="s">
        <v>610</v>
      </c>
      <c r="C18" s="652">
        <f>C6+C9+C12+C15</f>
        <v>4234564.05</v>
      </c>
      <c r="D18" s="652">
        <f>D6+D9+D12+D15</f>
        <v>437035.83</v>
      </c>
      <c r="E18" s="652">
        <f>E6+E9+E12+E15</f>
        <v>2667925.89</v>
      </c>
      <c r="F18" s="652">
        <f>F6+F9+F12+F15</f>
        <v>313873.64</v>
      </c>
      <c r="G18" s="652">
        <f>C18+E18</f>
        <v>6902489.9399999995</v>
      </c>
      <c r="H18" s="657">
        <f>D18+F18</f>
        <v>750909.47</v>
      </c>
      <c r="I18" s="700"/>
      <c r="J18" s="700"/>
      <c r="K18" s="701"/>
      <c r="L18" s="701"/>
      <c r="M18" s="701"/>
      <c r="N18" s="701"/>
      <c r="O18" s="701"/>
      <c r="P18" s="701"/>
      <c r="Q18" s="701"/>
    </row>
    <row r="19" spans="1:17" ht="45" customHeight="1" x14ac:dyDescent="0.2">
      <c r="A19" s="149">
        <v>14</v>
      </c>
      <c r="B19" s="410" t="s">
        <v>609</v>
      </c>
      <c r="C19" s="652">
        <f>C20+C23+C26</f>
        <v>47568.43</v>
      </c>
      <c r="D19" s="652">
        <f>D20+D23+D26</f>
        <v>5596.28</v>
      </c>
      <c r="E19" s="652">
        <f>E20+E23+E26</f>
        <v>1422211.97</v>
      </c>
      <c r="F19" s="652">
        <f>F20+F23+F26</f>
        <v>183817.95999999996</v>
      </c>
      <c r="G19" s="652">
        <f>C19+E19</f>
        <v>1469780.4</v>
      </c>
      <c r="H19" s="657">
        <f>D19+F19</f>
        <v>189414.23999999996</v>
      </c>
      <c r="I19" s="700"/>
      <c r="J19" s="700"/>
      <c r="K19" s="701"/>
      <c r="L19" s="702"/>
      <c r="M19" s="701"/>
      <c r="N19" s="702"/>
      <c r="O19" s="701"/>
      <c r="P19" s="701"/>
      <c r="Q19" s="701"/>
    </row>
    <row r="20" spans="1:17" ht="18" customHeight="1" x14ac:dyDescent="0.2">
      <c r="A20" s="149">
        <v>15</v>
      </c>
      <c r="B20" s="411" t="s">
        <v>596</v>
      </c>
      <c r="C20" s="133">
        <f t="shared" ref="C20:H20" si="0">SUM(C21:C22)</f>
        <v>0</v>
      </c>
      <c r="D20" s="133">
        <f t="shared" si="0"/>
        <v>0</v>
      </c>
      <c r="E20" s="133">
        <f t="shared" si="0"/>
        <v>0</v>
      </c>
      <c r="F20" s="133">
        <f t="shared" si="0"/>
        <v>0</v>
      </c>
      <c r="G20" s="133">
        <f t="shared" si="0"/>
        <v>0</v>
      </c>
      <c r="H20" s="150">
        <f t="shared" si="0"/>
        <v>0</v>
      </c>
      <c r="I20" s="700"/>
      <c r="J20" s="700"/>
      <c r="K20" s="701"/>
      <c r="L20" s="702"/>
      <c r="M20" s="701"/>
      <c r="N20" s="701"/>
      <c r="O20" s="701"/>
      <c r="P20" s="701"/>
      <c r="Q20" s="701"/>
    </row>
    <row r="21" spans="1:17" ht="18" customHeight="1" x14ac:dyDescent="0.2">
      <c r="A21" s="149">
        <v>16</v>
      </c>
      <c r="B21" s="412" t="s">
        <v>602</v>
      </c>
      <c r="C21" s="135"/>
      <c r="D21" s="161" t="s">
        <v>490</v>
      </c>
      <c r="E21" s="135"/>
      <c r="F21" s="161" t="s">
        <v>490</v>
      </c>
      <c r="G21" s="248">
        <f>C21+E21</f>
        <v>0</v>
      </c>
      <c r="H21" s="249" t="s">
        <v>490</v>
      </c>
      <c r="I21" s="700"/>
      <c r="J21" s="700"/>
      <c r="K21" s="701"/>
      <c r="L21" s="701"/>
      <c r="M21" s="701"/>
      <c r="N21" s="701"/>
      <c r="O21" s="701"/>
      <c r="P21" s="701"/>
      <c r="Q21" s="701"/>
    </row>
    <row r="22" spans="1:17" ht="18" customHeight="1" x14ac:dyDescent="0.2">
      <c r="A22" s="149">
        <v>17</v>
      </c>
      <c r="B22" s="412" t="s">
        <v>603</v>
      </c>
      <c r="C22" s="161" t="s">
        <v>490</v>
      </c>
      <c r="D22" s="135"/>
      <c r="E22" s="161" t="s">
        <v>490</v>
      </c>
      <c r="F22" s="135"/>
      <c r="G22" s="250" t="s">
        <v>490</v>
      </c>
      <c r="H22" s="251">
        <f>D22+F22</f>
        <v>0</v>
      </c>
      <c r="I22" s="700"/>
      <c r="J22" s="700"/>
      <c r="K22" s="701"/>
      <c r="L22" s="701"/>
      <c r="M22" s="701"/>
      <c r="N22" s="701"/>
      <c r="O22" s="701"/>
      <c r="P22" s="701"/>
      <c r="Q22" s="701"/>
    </row>
    <row r="23" spans="1:17" ht="18" customHeight="1" x14ac:dyDescent="0.2">
      <c r="A23" s="149">
        <v>18</v>
      </c>
      <c r="B23" s="413" t="s">
        <v>604</v>
      </c>
      <c r="C23" s="133">
        <f t="shared" ref="C23:H23" si="1">SUM(C24:C25)</f>
        <v>0</v>
      </c>
      <c r="D23" s="133">
        <f t="shared" si="1"/>
        <v>0</v>
      </c>
      <c r="E23" s="133">
        <f t="shared" si="1"/>
        <v>0</v>
      </c>
      <c r="F23" s="133">
        <f t="shared" si="1"/>
        <v>0</v>
      </c>
      <c r="G23" s="133">
        <f t="shared" si="1"/>
        <v>0</v>
      </c>
      <c r="H23" s="150">
        <f t="shared" si="1"/>
        <v>0</v>
      </c>
      <c r="I23" s="700"/>
      <c r="J23" s="700"/>
      <c r="K23" s="701"/>
      <c r="L23" s="701"/>
      <c r="M23" s="701"/>
      <c r="N23" s="701"/>
      <c r="O23" s="701"/>
      <c r="P23" s="701"/>
      <c r="Q23" s="701"/>
    </row>
    <row r="24" spans="1:17" ht="32.25" customHeight="1" x14ac:dyDescent="0.2">
      <c r="A24" s="225">
        <v>19</v>
      </c>
      <c r="B24" s="412" t="s">
        <v>605</v>
      </c>
      <c r="C24" s="135"/>
      <c r="D24" s="161" t="s">
        <v>490</v>
      </c>
      <c r="E24" s="135"/>
      <c r="F24" s="161" t="s">
        <v>490</v>
      </c>
      <c r="G24" s="248"/>
      <c r="H24" s="249" t="s">
        <v>490</v>
      </c>
      <c r="I24" s="700"/>
      <c r="J24" s="700"/>
      <c r="K24" s="701"/>
      <c r="L24" s="701"/>
      <c r="M24" s="701"/>
      <c r="N24" s="701"/>
      <c r="O24" s="701"/>
      <c r="P24" s="701"/>
      <c r="Q24" s="701"/>
    </row>
    <row r="25" spans="1:17" ht="18" customHeight="1" x14ac:dyDescent="0.2">
      <c r="A25" s="149">
        <v>20</v>
      </c>
      <c r="B25" s="412" t="s">
        <v>606</v>
      </c>
      <c r="C25" s="161" t="s">
        <v>490</v>
      </c>
      <c r="D25" s="135"/>
      <c r="E25" s="161" t="s">
        <v>490</v>
      </c>
      <c r="F25" s="135"/>
      <c r="G25" s="250" t="s">
        <v>490</v>
      </c>
      <c r="H25" s="251">
        <f>D25+F25</f>
        <v>0</v>
      </c>
      <c r="I25" s="700"/>
      <c r="J25" s="700"/>
      <c r="K25" s="701"/>
      <c r="L25" s="702"/>
      <c r="M25" s="701"/>
      <c r="N25" s="702"/>
      <c r="O25" s="701"/>
      <c r="P25" s="701"/>
      <c r="Q25" s="701"/>
    </row>
    <row r="26" spans="1:17" ht="18" customHeight="1" x14ac:dyDescent="0.2">
      <c r="A26" s="225">
        <v>21</v>
      </c>
      <c r="B26" s="413" t="s">
        <v>607</v>
      </c>
      <c r="C26" s="652">
        <f>SUM(C27:C32)</f>
        <v>47568.43</v>
      </c>
      <c r="D26" s="652">
        <f t="shared" ref="D26:E26" si="2">SUM(D27:D32)</f>
        <v>5596.28</v>
      </c>
      <c r="E26" s="652">
        <f t="shared" si="2"/>
        <v>1422211.97</v>
      </c>
      <c r="F26" s="652">
        <f>SUM(F27:F32)</f>
        <v>183817.95999999996</v>
      </c>
      <c r="G26" s="652">
        <f>SUM(G27:G32)</f>
        <v>1469780.4</v>
      </c>
      <c r="H26" s="657">
        <f t="shared" ref="H26" si="3">SUM(H28)</f>
        <v>16498.89</v>
      </c>
      <c r="I26" s="700"/>
      <c r="J26" s="700"/>
      <c r="K26" s="701"/>
      <c r="L26" s="702"/>
      <c r="M26" s="701"/>
      <c r="N26" s="701"/>
      <c r="O26" s="701"/>
      <c r="P26" s="701"/>
      <c r="Q26" s="701"/>
    </row>
    <row r="27" spans="1:17" ht="18" customHeight="1" x14ac:dyDescent="0.2">
      <c r="A27" s="149">
        <v>22</v>
      </c>
      <c r="B27" s="412" t="s">
        <v>608</v>
      </c>
      <c r="C27" s="135">
        <v>0</v>
      </c>
      <c r="D27" s="161" t="s">
        <v>490</v>
      </c>
      <c r="E27" s="135">
        <v>0</v>
      </c>
      <c r="F27" s="161" t="s">
        <v>490</v>
      </c>
      <c r="G27" s="655">
        <f>C27+E27</f>
        <v>0</v>
      </c>
      <c r="H27" s="658" t="s">
        <v>490</v>
      </c>
      <c r="I27" s="700"/>
      <c r="J27" s="700"/>
      <c r="K27" s="701"/>
      <c r="L27" s="701"/>
      <c r="M27" s="701"/>
      <c r="N27" s="701"/>
      <c r="O27" s="701"/>
      <c r="P27" s="701"/>
      <c r="Q27" s="701"/>
    </row>
    <row r="28" spans="1:17" ht="18" customHeight="1" x14ac:dyDescent="0.2">
      <c r="A28" s="225">
        <v>23</v>
      </c>
      <c r="B28" s="422" t="s">
        <v>973</v>
      </c>
      <c r="C28" s="161" t="s">
        <v>490</v>
      </c>
      <c r="D28" s="134">
        <v>0</v>
      </c>
      <c r="E28" s="161" t="s">
        <v>490</v>
      </c>
      <c r="F28" s="649">
        <v>16498.89</v>
      </c>
      <c r="G28" s="659" t="s">
        <v>490</v>
      </c>
      <c r="H28" s="656">
        <f>D28+F28</f>
        <v>16498.89</v>
      </c>
      <c r="I28" s="700"/>
      <c r="J28" s="700"/>
      <c r="K28" s="701"/>
      <c r="L28" s="701"/>
      <c r="M28" s="701"/>
      <c r="N28" s="701"/>
      <c r="O28" s="701"/>
      <c r="P28" s="701"/>
      <c r="Q28" s="701"/>
    </row>
    <row r="29" spans="1:17" ht="18" customHeight="1" x14ac:dyDescent="0.2">
      <c r="A29" s="225" t="s">
        <v>613</v>
      </c>
      <c r="B29" s="597" t="s">
        <v>976</v>
      </c>
      <c r="C29" s="650">
        <v>36223.74</v>
      </c>
      <c r="D29" s="599" t="s">
        <v>490</v>
      </c>
      <c r="E29" s="252">
        <v>0</v>
      </c>
      <c r="F29" s="252" t="s">
        <v>490</v>
      </c>
      <c r="G29" s="660">
        <f>C29+E29</f>
        <v>36223.74</v>
      </c>
      <c r="H29" s="661" t="s">
        <v>490</v>
      </c>
      <c r="I29" s="700"/>
      <c r="J29" s="700"/>
      <c r="K29" s="701"/>
      <c r="L29" s="701"/>
      <c r="M29" s="701"/>
      <c r="N29" s="701"/>
      <c r="O29" s="701"/>
      <c r="P29" s="701"/>
      <c r="Q29" s="701"/>
    </row>
    <row r="30" spans="1:17" ht="18" customHeight="1" x14ac:dyDescent="0.2">
      <c r="A30" s="225" t="s">
        <v>614</v>
      </c>
      <c r="B30" s="597" t="s">
        <v>977</v>
      </c>
      <c r="C30" s="252" t="s">
        <v>490</v>
      </c>
      <c r="D30" s="654">
        <v>4261.6099999999997</v>
      </c>
      <c r="E30" s="252" t="s">
        <v>490</v>
      </c>
      <c r="F30" s="135">
        <v>0</v>
      </c>
      <c r="G30" s="662" t="s">
        <v>490</v>
      </c>
      <c r="H30" s="663">
        <f>D30+F30</f>
        <v>4261.6099999999997</v>
      </c>
      <c r="I30" s="700"/>
      <c r="J30" s="700"/>
      <c r="K30" s="701"/>
      <c r="L30" s="701"/>
      <c r="M30" s="701"/>
      <c r="N30" s="701"/>
      <c r="O30" s="701"/>
      <c r="P30" s="701"/>
      <c r="Q30" s="701"/>
    </row>
    <row r="31" spans="1:17" ht="18" customHeight="1" x14ac:dyDescent="0.2">
      <c r="A31" s="225" t="s">
        <v>974</v>
      </c>
      <c r="B31" s="598" t="s">
        <v>978</v>
      </c>
      <c r="C31" s="650">
        <v>11344.69</v>
      </c>
      <c r="D31" s="135" t="s">
        <v>490</v>
      </c>
      <c r="E31" s="650">
        <v>1422211.97</v>
      </c>
      <c r="F31" s="252" t="s">
        <v>490</v>
      </c>
      <c r="G31" s="664">
        <f>C31+E31</f>
        <v>1433556.66</v>
      </c>
      <c r="H31" s="661" t="s">
        <v>490</v>
      </c>
      <c r="I31" s="700"/>
      <c r="J31" s="700"/>
      <c r="K31" s="701"/>
      <c r="L31" s="701"/>
      <c r="M31" s="701"/>
      <c r="N31" s="701"/>
      <c r="O31" s="701"/>
      <c r="P31" s="701"/>
      <c r="Q31" s="701"/>
    </row>
    <row r="32" spans="1:17" ht="18" customHeight="1" x14ac:dyDescent="0.2">
      <c r="A32" s="225" t="s">
        <v>975</v>
      </c>
      <c r="B32" s="598" t="s">
        <v>979</v>
      </c>
      <c r="C32" s="600" t="s">
        <v>490</v>
      </c>
      <c r="D32" s="651">
        <v>1334.67</v>
      </c>
      <c r="E32" s="601" t="s">
        <v>490</v>
      </c>
      <c r="F32" s="651">
        <v>167319.06999999998</v>
      </c>
      <c r="G32" s="659" t="s">
        <v>490</v>
      </c>
      <c r="H32" s="656">
        <f>D32+F32</f>
        <v>168653.74</v>
      </c>
      <c r="I32" s="700"/>
      <c r="J32" s="700"/>
      <c r="K32" s="701"/>
      <c r="L32" s="701"/>
      <c r="M32" s="701"/>
      <c r="N32" s="701"/>
      <c r="O32" s="701"/>
      <c r="P32" s="701"/>
      <c r="Q32" s="701"/>
    </row>
    <row r="33" spans="1:17" ht="18" customHeight="1" x14ac:dyDescent="0.2">
      <c r="A33" s="225"/>
      <c r="B33" s="412"/>
      <c r="C33" s="252"/>
      <c r="D33" s="135"/>
      <c r="E33" s="252"/>
      <c r="F33" s="135"/>
      <c r="G33" s="135"/>
      <c r="H33" s="247"/>
      <c r="I33" s="700"/>
      <c r="J33" s="700"/>
      <c r="K33" s="701"/>
      <c r="L33" s="701"/>
      <c r="M33" s="701"/>
      <c r="N33" s="701"/>
      <c r="O33" s="701"/>
      <c r="P33" s="701"/>
      <c r="Q33" s="701"/>
    </row>
    <row r="34" spans="1:17" ht="18" customHeight="1" x14ac:dyDescent="0.2">
      <c r="A34" s="225"/>
      <c r="B34" s="412"/>
      <c r="C34" s="135"/>
      <c r="D34" s="135"/>
      <c r="E34" s="135"/>
      <c r="F34" s="135"/>
      <c r="G34" s="135"/>
      <c r="H34" s="247"/>
      <c r="I34" s="700"/>
      <c r="J34" s="700"/>
      <c r="K34" s="701"/>
      <c r="L34" s="701"/>
      <c r="M34" s="701"/>
      <c r="N34" s="701"/>
      <c r="O34" s="701"/>
      <c r="P34" s="701"/>
      <c r="Q34" s="701"/>
    </row>
    <row r="35" spans="1:17" ht="37.5" customHeight="1" thickBot="1" x14ac:dyDescent="0.25">
      <c r="A35" s="151">
        <v>24</v>
      </c>
      <c r="B35" s="414" t="s">
        <v>612</v>
      </c>
      <c r="C35" s="653">
        <f t="shared" ref="C35:H35" si="4">C18+C19</f>
        <v>4282132.4799999995</v>
      </c>
      <c r="D35" s="653">
        <f t="shared" si="4"/>
        <v>442632.11000000004</v>
      </c>
      <c r="E35" s="653">
        <f t="shared" si="4"/>
        <v>4090137.8600000003</v>
      </c>
      <c r="F35" s="653">
        <f t="shared" si="4"/>
        <v>497691.6</v>
      </c>
      <c r="G35" s="653">
        <f t="shared" si="4"/>
        <v>8372270.3399999999</v>
      </c>
      <c r="H35" s="665">
        <f t="shared" si="4"/>
        <v>940323.71</v>
      </c>
      <c r="I35" s="703"/>
      <c r="J35" s="700"/>
      <c r="K35" s="701"/>
      <c r="L35" s="701"/>
      <c r="M35" s="701"/>
      <c r="N35" s="701"/>
      <c r="O35" s="701"/>
      <c r="P35" s="701"/>
      <c r="Q35" s="701"/>
    </row>
    <row r="36" spans="1:17" x14ac:dyDescent="0.2">
      <c r="I36" s="701"/>
      <c r="J36" s="701"/>
      <c r="K36" s="701"/>
      <c r="L36" s="701"/>
      <c r="M36" s="701"/>
      <c r="N36" s="701"/>
      <c r="O36" s="701"/>
      <c r="P36" s="701"/>
      <c r="Q36" s="701"/>
    </row>
    <row r="37" spans="1:17" x14ac:dyDescent="0.2">
      <c r="A37" s="283" t="s">
        <v>561</v>
      </c>
      <c r="B37" s="284" t="s">
        <v>611</v>
      </c>
      <c r="C37" s="284"/>
      <c r="D37" s="284"/>
    </row>
    <row r="39" spans="1:17" x14ac:dyDescent="0.2">
      <c r="I39" s="698"/>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59" orientation="landscape" r:id="rId1"/>
  <headerFooter alignWithMargins="0"/>
  <ignoredErrors>
    <ignoredError sqref="D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I44"/>
  <sheetViews>
    <sheetView zoomScaleNormal="100" workbookViewId="0">
      <pane xSplit="2" ySplit="4" topLeftCell="C5" activePane="bottomRight" state="frozen"/>
      <selection pane="topRight" activeCell="C1" sqref="C1"/>
      <selection pane="bottomLeft" activeCell="A5" sqref="A5"/>
      <selection pane="bottomRight" activeCell="F44" sqref="F44"/>
    </sheetView>
  </sheetViews>
  <sheetFormatPr defaultColWidth="9.140625" defaultRowHeight="15.75" x14ac:dyDescent="0.25"/>
  <cols>
    <col min="1" max="1" width="10.140625" style="3" customWidth="1"/>
    <col min="2" max="2" width="83" style="34" customWidth="1"/>
    <col min="3" max="3" width="15.42578125" style="1" customWidth="1"/>
    <col min="4" max="4" width="14.28515625" style="1" customWidth="1"/>
    <col min="5" max="5" width="14.7109375" style="1" customWidth="1"/>
    <col min="6" max="16384" width="9.140625" style="1"/>
  </cols>
  <sheetData>
    <row r="1" spans="1:9" s="316" customFormat="1" ht="50.1" customHeight="1" thickBot="1" x14ac:dyDescent="0.3">
      <c r="A1" s="717" t="s">
        <v>696</v>
      </c>
      <c r="B1" s="718"/>
      <c r="C1" s="718"/>
      <c r="D1" s="718"/>
      <c r="E1" s="719"/>
      <c r="F1" s="317"/>
      <c r="G1" s="317"/>
      <c r="H1" s="317"/>
      <c r="I1" s="317"/>
    </row>
    <row r="2" spans="1:9" s="309" customFormat="1" ht="38.25" customHeight="1" x14ac:dyDescent="0.2">
      <c r="A2" s="720" t="s">
        <v>952</v>
      </c>
      <c r="B2" s="721"/>
      <c r="C2" s="721"/>
      <c r="D2" s="721"/>
      <c r="E2" s="722"/>
    </row>
    <row r="3" spans="1:9" s="317" customFormat="1" ht="35.25" customHeight="1" x14ac:dyDescent="0.25">
      <c r="A3" s="310" t="s">
        <v>80</v>
      </c>
      <c r="B3" s="293" t="s">
        <v>152</v>
      </c>
      <c r="C3" s="293" t="s">
        <v>133</v>
      </c>
      <c r="D3" s="293" t="s">
        <v>134</v>
      </c>
      <c r="E3" s="311" t="s">
        <v>83</v>
      </c>
    </row>
    <row r="4" spans="1:9" s="312" customFormat="1" ht="17.25" customHeight="1" x14ac:dyDescent="0.2">
      <c r="A4" s="313"/>
      <c r="B4" s="294"/>
      <c r="C4" s="314" t="s">
        <v>118</v>
      </c>
      <c r="D4" s="314" t="s">
        <v>119</v>
      </c>
      <c r="E4" s="315" t="s">
        <v>9</v>
      </c>
    </row>
    <row r="5" spans="1:9" ht="31.5" x14ac:dyDescent="0.25">
      <c r="A5" s="21">
        <v>1</v>
      </c>
      <c r="B5" s="31" t="s">
        <v>825</v>
      </c>
      <c r="C5" s="36">
        <f>SUM(C6:C13)</f>
        <v>1946119.13</v>
      </c>
      <c r="D5" s="36">
        <f>SUM(D6:D7)</f>
        <v>0</v>
      </c>
      <c r="E5" s="71">
        <f>C5+D5</f>
        <v>1946119.13</v>
      </c>
      <c r="F5" s="128"/>
    </row>
    <row r="6" spans="1:9" x14ac:dyDescent="0.25">
      <c r="A6" s="21" t="s">
        <v>143</v>
      </c>
      <c r="B6" s="32" t="s">
        <v>893</v>
      </c>
      <c r="C6" s="28">
        <v>1561000</v>
      </c>
      <c r="D6" s="28"/>
      <c r="E6" s="71">
        <f t="shared" ref="E6:E41" si="0">C6+D6</f>
        <v>1561000</v>
      </c>
      <c r="F6" s="128"/>
    </row>
    <row r="7" spans="1:9" x14ac:dyDescent="0.25">
      <c r="A7" s="21" t="s">
        <v>183</v>
      </c>
      <c r="B7" s="32" t="s">
        <v>894</v>
      </c>
      <c r="C7" s="28">
        <v>7500</v>
      </c>
      <c r="D7" s="28"/>
      <c r="E7" s="71">
        <f t="shared" si="0"/>
        <v>7500</v>
      </c>
    </row>
    <row r="8" spans="1:9" x14ac:dyDescent="0.25">
      <c r="A8" s="21" t="s">
        <v>895</v>
      </c>
      <c r="B8" s="32" t="s">
        <v>896</v>
      </c>
      <c r="C8" s="28">
        <v>22477</v>
      </c>
      <c r="D8" s="28"/>
      <c r="E8" s="71">
        <f t="shared" si="0"/>
        <v>22477</v>
      </c>
    </row>
    <row r="9" spans="1:9" x14ac:dyDescent="0.25">
      <c r="A9" s="21" t="s">
        <v>897</v>
      </c>
      <c r="B9" s="32" t="s">
        <v>898</v>
      </c>
      <c r="C9" s="28">
        <v>28116.66</v>
      </c>
      <c r="D9" s="28"/>
      <c r="E9" s="71">
        <f t="shared" si="0"/>
        <v>28116.66</v>
      </c>
    </row>
    <row r="10" spans="1:9" x14ac:dyDescent="0.25">
      <c r="A10" s="21" t="s">
        <v>899</v>
      </c>
      <c r="B10" s="32" t="s">
        <v>900</v>
      </c>
      <c r="C10" s="28">
        <v>194137</v>
      </c>
      <c r="D10" s="28"/>
      <c r="E10" s="71">
        <f t="shared" si="0"/>
        <v>194137</v>
      </c>
    </row>
    <row r="11" spans="1:9" x14ac:dyDescent="0.25">
      <c r="A11" s="21" t="s">
        <v>901</v>
      </c>
      <c r="B11" s="32" t="s">
        <v>971</v>
      </c>
      <c r="C11" s="28">
        <v>83464.52</v>
      </c>
      <c r="D11" s="28"/>
      <c r="E11" s="71">
        <f t="shared" si="0"/>
        <v>83464.52</v>
      </c>
    </row>
    <row r="12" spans="1:9" x14ac:dyDescent="0.25">
      <c r="A12" s="21" t="s">
        <v>968</v>
      </c>
      <c r="B12" s="32" t="s">
        <v>972</v>
      </c>
      <c r="C12" s="28">
        <v>11000</v>
      </c>
      <c r="D12" s="28"/>
      <c r="E12" s="71">
        <f t="shared" si="0"/>
        <v>11000</v>
      </c>
    </row>
    <row r="13" spans="1:9" x14ac:dyDescent="0.25">
      <c r="A13" s="21" t="s">
        <v>969</v>
      </c>
      <c r="B13" s="32" t="s">
        <v>970</v>
      </c>
      <c r="C13" s="28">
        <v>38423.949999999997</v>
      </c>
      <c r="D13" s="28"/>
      <c r="E13" s="71">
        <f t="shared" si="0"/>
        <v>38423.949999999997</v>
      </c>
    </row>
    <row r="14" spans="1:9" x14ac:dyDescent="0.25">
      <c r="A14" s="21"/>
      <c r="B14" s="32"/>
      <c r="C14" s="28"/>
      <c r="D14" s="28"/>
      <c r="E14" s="71">
        <f t="shared" si="0"/>
        <v>0</v>
      </c>
    </row>
    <row r="15" spans="1:9" x14ac:dyDescent="0.25">
      <c r="A15" s="21">
        <v>2</v>
      </c>
      <c r="B15" s="31" t="s">
        <v>27</v>
      </c>
      <c r="C15" s="36">
        <f>SUM(C16:C17)</f>
        <v>0</v>
      </c>
      <c r="D15" s="36">
        <f>SUM(D16:D17)</f>
        <v>0</v>
      </c>
      <c r="E15" s="71">
        <f t="shared" si="0"/>
        <v>0</v>
      </c>
    </row>
    <row r="16" spans="1:9" x14ac:dyDescent="0.25">
      <c r="A16" s="21" t="s">
        <v>144</v>
      </c>
      <c r="B16" s="32"/>
      <c r="C16" s="28"/>
      <c r="D16" s="28"/>
      <c r="E16" s="71">
        <f t="shared" si="0"/>
        <v>0</v>
      </c>
    </row>
    <row r="17" spans="1:6" x14ac:dyDescent="0.25">
      <c r="A17" s="21" t="s">
        <v>184</v>
      </c>
      <c r="B17" s="32"/>
      <c r="C17" s="28"/>
      <c r="D17" s="28"/>
      <c r="E17" s="71">
        <f t="shared" si="0"/>
        <v>0</v>
      </c>
    </row>
    <row r="18" spans="1:6" x14ac:dyDescent="0.25">
      <c r="A18" s="21"/>
      <c r="B18" s="32"/>
      <c r="C18" s="28"/>
      <c r="D18" s="28"/>
      <c r="E18" s="71">
        <f t="shared" si="0"/>
        <v>0</v>
      </c>
    </row>
    <row r="19" spans="1:6" x14ac:dyDescent="0.25">
      <c r="A19" s="21">
        <v>3</v>
      </c>
      <c r="B19" s="31" t="s">
        <v>103</v>
      </c>
      <c r="C19" s="36">
        <f>SUM(C20:C26)</f>
        <v>118502.18</v>
      </c>
      <c r="D19" s="36">
        <f>SUM(D20:D21)</f>
        <v>0</v>
      </c>
      <c r="E19" s="71">
        <f t="shared" si="0"/>
        <v>118502.18</v>
      </c>
    </row>
    <row r="20" spans="1:6" x14ac:dyDescent="0.25">
      <c r="A20" s="21" t="s">
        <v>145</v>
      </c>
      <c r="B20" s="70" t="s">
        <v>902</v>
      </c>
      <c r="C20" s="28">
        <v>6242.29</v>
      </c>
      <c r="D20" s="28"/>
      <c r="E20" s="71">
        <f t="shared" si="0"/>
        <v>6242.29</v>
      </c>
    </row>
    <row r="21" spans="1:6" x14ac:dyDescent="0.25">
      <c r="A21" s="21" t="s">
        <v>185</v>
      </c>
      <c r="B21" s="70" t="s">
        <v>903</v>
      </c>
      <c r="C21" s="28">
        <v>8154.71</v>
      </c>
      <c r="D21" s="28"/>
      <c r="E21" s="71">
        <f t="shared" si="0"/>
        <v>8154.71</v>
      </c>
    </row>
    <row r="22" spans="1:6" x14ac:dyDescent="0.25">
      <c r="A22" s="21" t="s">
        <v>904</v>
      </c>
      <c r="B22" s="70" t="s">
        <v>905</v>
      </c>
      <c r="C22" s="28">
        <v>1318</v>
      </c>
      <c r="D22" s="28"/>
      <c r="E22" s="71">
        <f t="shared" si="0"/>
        <v>1318</v>
      </c>
    </row>
    <row r="23" spans="1:6" x14ac:dyDescent="0.25">
      <c r="A23" s="21" t="s">
        <v>906</v>
      </c>
      <c r="B23" s="70" t="s">
        <v>907</v>
      </c>
      <c r="C23" s="28">
        <v>9000</v>
      </c>
      <c r="D23" s="28"/>
      <c r="E23" s="71">
        <f t="shared" si="0"/>
        <v>9000</v>
      </c>
    </row>
    <row r="24" spans="1:6" s="137" customFormat="1" x14ac:dyDescent="0.25">
      <c r="A24" s="21" t="s">
        <v>908</v>
      </c>
      <c r="B24" s="70" t="s">
        <v>909</v>
      </c>
      <c r="C24" s="28">
        <v>56455.9</v>
      </c>
      <c r="D24" s="28"/>
      <c r="E24" s="71">
        <f t="shared" si="0"/>
        <v>56455.9</v>
      </c>
      <c r="F24" s="1"/>
    </row>
    <row r="25" spans="1:6" x14ac:dyDescent="0.25">
      <c r="A25" s="21" t="s">
        <v>910</v>
      </c>
      <c r="B25" s="70" t="s">
        <v>911</v>
      </c>
      <c r="C25" s="28">
        <v>22331.279999999999</v>
      </c>
      <c r="D25" s="28"/>
      <c r="E25" s="71">
        <f t="shared" si="0"/>
        <v>22331.279999999999</v>
      </c>
    </row>
    <row r="26" spans="1:6" x14ac:dyDescent="0.25">
      <c r="A26" s="21" t="s">
        <v>912</v>
      </c>
      <c r="B26" s="70" t="s">
        <v>913</v>
      </c>
      <c r="C26" s="28">
        <v>15000</v>
      </c>
      <c r="D26" s="28"/>
      <c r="E26" s="71">
        <f t="shared" si="0"/>
        <v>15000</v>
      </c>
    </row>
    <row r="27" spans="1:6" x14ac:dyDescent="0.25">
      <c r="A27" s="21"/>
      <c r="B27" s="70"/>
      <c r="C27" s="28"/>
      <c r="D27" s="28"/>
      <c r="E27" s="71"/>
    </row>
    <row r="28" spans="1:6" x14ac:dyDescent="0.25">
      <c r="A28" s="21"/>
      <c r="B28" s="32"/>
      <c r="C28" s="28"/>
      <c r="D28" s="28"/>
      <c r="E28" s="71">
        <f t="shared" si="0"/>
        <v>0</v>
      </c>
    </row>
    <row r="29" spans="1:6" x14ac:dyDescent="0.25">
      <c r="A29" s="21">
        <v>4</v>
      </c>
      <c r="B29" s="31" t="s">
        <v>104</v>
      </c>
      <c r="C29" s="36">
        <f>SUM(C30:C38)</f>
        <v>1916471.82</v>
      </c>
      <c r="D29" s="36">
        <f t="shared" ref="D29:E29" si="1">SUM(D30:D38)</f>
        <v>163584.12</v>
      </c>
      <c r="E29" s="36">
        <f t="shared" si="1"/>
        <v>2080055.9400000002</v>
      </c>
    </row>
    <row r="30" spans="1:6" x14ac:dyDescent="0.25">
      <c r="A30" s="21" t="s">
        <v>97</v>
      </c>
      <c r="B30" s="32" t="s">
        <v>917</v>
      </c>
      <c r="C30" s="72">
        <v>108468.34</v>
      </c>
      <c r="D30" s="72"/>
      <c r="E30" s="71">
        <f t="shared" si="0"/>
        <v>108468.34</v>
      </c>
    </row>
    <row r="31" spans="1:6" x14ac:dyDescent="0.25">
      <c r="A31" s="21" t="s">
        <v>186</v>
      </c>
      <c r="B31" s="32" t="s">
        <v>916</v>
      </c>
      <c r="C31" s="72">
        <v>88965</v>
      </c>
      <c r="D31" s="72"/>
      <c r="E31" s="71">
        <f t="shared" si="0"/>
        <v>88965</v>
      </c>
    </row>
    <row r="32" spans="1:6" x14ac:dyDescent="0.25">
      <c r="A32" s="21" t="s">
        <v>915</v>
      </c>
      <c r="B32" s="32" t="s">
        <v>914</v>
      </c>
      <c r="C32" s="72">
        <v>3925</v>
      </c>
      <c r="D32" s="72"/>
      <c r="E32" s="71">
        <f t="shared" si="0"/>
        <v>3925</v>
      </c>
    </row>
    <row r="33" spans="1:5" x14ac:dyDescent="0.25">
      <c r="A33" s="21" t="s">
        <v>918</v>
      </c>
      <c r="B33" s="32" t="s">
        <v>919</v>
      </c>
      <c r="C33" s="72">
        <v>6878.75</v>
      </c>
      <c r="D33" s="72"/>
      <c r="E33" s="71">
        <f t="shared" si="0"/>
        <v>6878.75</v>
      </c>
    </row>
    <row r="34" spans="1:5" x14ac:dyDescent="0.25">
      <c r="A34" s="21" t="s">
        <v>920</v>
      </c>
      <c r="B34" s="32" t="s">
        <v>921</v>
      </c>
      <c r="C34" s="72">
        <v>72000</v>
      </c>
      <c r="D34" s="72"/>
      <c r="E34" s="71">
        <f t="shared" si="0"/>
        <v>72000</v>
      </c>
    </row>
    <row r="35" spans="1:5" x14ac:dyDescent="0.25">
      <c r="A35" s="21" t="s">
        <v>922</v>
      </c>
      <c r="B35" s="32" t="s">
        <v>923</v>
      </c>
      <c r="C35" s="72">
        <v>1115545.49</v>
      </c>
      <c r="D35" s="72"/>
      <c r="E35" s="71">
        <f t="shared" si="0"/>
        <v>1115545.49</v>
      </c>
    </row>
    <row r="36" spans="1:5" x14ac:dyDescent="0.25">
      <c r="A36" s="21" t="s">
        <v>924</v>
      </c>
      <c r="B36" s="32" t="s">
        <v>925</v>
      </c>
      <c r="C36" s="72">
        <v>9639.16</v>
      </c>
      <c r="D36" s="72"/>
      <c r="E36" s="71">
        <f t="shared" si="0"/>
        <v>9639.16</v>
      </c>
    </row>
    <row r="37" spans="1:5" x14ac:dyDescent="0.25">
      <c r="A37" s="21" t="s">
        <v>926</v>
      </c>
      <c r="B37" s="32" t="s">
        <v>927</v>
      </c>
      <c r="C37" s="72">
        <v>487862.9</v>
      </c>
      <c r="D37" s="72"/>
      <c r="E37" s="71">
        <f t="shared" si="0"/>
        <v>487862.9</v>
      </c>
    </row>
    <row r="38" spans="1:5" x14ac:dyDescent="0.25">
      <c r="A38" s="21" t="s">
        <v>966</v>
      </c>
      <c r="B38" s="32" t="s">
        <v>967</v>
      </c>
      <c r="C38" s="72">
        <v>23187.18</v>
      </c>
      <c r="D38" s="72">
        <v>163584.12</v>
      </c>
      <c r="E38" s="71">
        <f t="shared" si="0"/>
        <v>186771.3</v>
      </c>
    </row>
    <row r="39" spans="1:5" x14ac:dyDescent="0.25">
      <c r="A39" s="21"/>
      <c r="B39" s="32"/>
      <c r="C39" s="72"/>
      <c r="D39" s="72"/>
      <c r="E39" s="71"/>
    </row>
    <row r="40" spans="1:5" x14ac:dyDescent="0.25">
      <c r="A40" s="21"/>
      <c r="B40" s="32"/>
      <c r="C40" s="28"/>
      <c r="D40" s="28"/>
      <c r="E40" s="71">
        <f t="shared" si="0"/>
        <v>0</v>
      </c>
    </row>
    <row r="41" spans="1:5" ht="16.5" thickBot="1" x14ac:dyDescent="0.3">
      <c r="A41" s="22">
        <v>5</v>
      </c>
      <c r="B41" s="33" t="s">
        <v>135</v>
      </c>
      <c r="C41" s="559">
        <f>C5+C15+C19+C29</f>
        <v>3981093.13</v>
      </c>
      <c r="D41" s="76">
        <f>D5+D15+D19+D29</f>
        <v>163584.12</v>
      </c>
      <c r="E41" s="73">
        <f t="shared" si="0"/>
        <v>4144677.25</v>
      </c>
    </row>
    <row r="43" spans="1:5" ht="31.5" x14ac:dyDescent="0.25">
      <c r="A43" s="136"/>
      <c r="B43" s="476" t="s">
        <v>826</v>
      </c>
      <c r="C43" s="137"/>
      <c r="D43" s="137"/>
      <c r="E43" s="137"/>
    </row>
    <row r="44" spans="1:5" x14ac:dyDescent="0.25">
      <c r="B44" s="290"/>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6"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H24"/>
  <sheetViews>
    <sheetView zoomScaleNormal="100" workbookViewId="0">
      <pane xSplit="2" ySplit="4" topLeftCell="C5" activePane="bottomRight" state="frozen"/>
      <selection pane="topRight" activeCell="C1" sqref="C1"/>
      <selection pane="bottomLeft" activeCell="A5" sqref="A5"/>
      <selection pane="bottomRight" activeCell="H15" sqref="H15"/>
    </sheetView>
  </sheetViews>
  <sheetFormatPr defaultColWidth="9.140625" defaultRowHeight="15.75" x14ac:dyDescent="0.25"/>
  <cols>
    <col min="1" max="1" width="9.5703125" style="3" customWidth="1"/>
    <col min="2" max="2" width="58.42578125" style="1" customWidth="1"/>
    <col min="3" max="3" width="22.140625" style="13" customWidth="1"/>
    <col min="4" max="4" width="21.140625" style="13" customWidth="1"/>
    <col min="5" max="5" width="24.140625" style="13" customWidth="1"/>
    <col min="6" max="16384" width="9.140625" style="1"/>
  </cols>
  <sheetData>
    <row r="1" spans="1:8" s="316" customFormat="1" ht="80.25" customHeight="1" thickBot="1" x14ac:dyDescent="0.3">
      <c r="A1" s="912" t="s">
        <v>650</v>
      </c>
      <c r="B1" s="913"/>
      <c r="C1" s="913"/>
      <c r="D1" s="913"/>
      <c r="E1" s="914"/>
      <c r="F1" s="423"/>
    </row>
    <row r="2" spans="1:8" s="316" customFormat="1" ht="35.1" customHeight="1" x14ac:dyDescent="0.25">
      <c r="A2" s="714" t="s">
        <v>961</v>
      </c>
      <c r="B2" s="715"/>
      <c r="C2" s="715"/>
      <c r="D2" s="715"/>
      <c r="E2" s="716"/>
      <c r="F2" s="423"/>
    </row>
    <row r="3" spans="1:8" s="317" customFormat="1" ht="46.9" customHeight="1" x14ac:dyDescent="0.25">
      <c r="A3" s="310" t="s">
        <v>80</v>
      </c>
      <c r="B3" s="293" t="s">
        <v>152</v>
      </c>
      <c r="C3" s="293" t="s">
        <v>133</v>
      </c>
      <c r="D3" s="293" t="s">
        <v>134</v>
      </c>
      <c r="E3" s="318" t="s">
        <v>81</v>
      </c>
    </row>
    <row r="4" spans="1:8" s="317" customFormat="1" ht="16.5" customHeight="1" x14ac:dyDescent="0.25">
      <c r="A4" s="310"/>
      <c r="B4" s="293"/>
      <c r="C4" s="293" t="s">
        <v>118</v>
      </c>
      <c r="D4" s="293" t="s">
        <v>119</v>
      </c>
      <c r="E4" s="318" t="s">
        <v>9</v>
      </c>
    </row>
    <row r="5" spans="1:8" s="8" customFormat="1" ht="17.45" customHeight="1" x14ac:dyDescent="0.25">
      <c r="A5" s="191"/>
      <c r="B5" s="424" t="s">
        <v>170</v>
      </c>
      <c r="C5" s="38"/>
      <c r="D5" s="38"/>
      <c r="E5" s="62"/>
    </row>
    <row r="6" spans="1:8" s="8" customFormat="1" ht="17.45" customHeight="1" x14ac:dyDescent="0.25">
      <c r="A6" s="61">
        <v>1</v>
      </c>
      <c r="B6" s="294" t="s">
        <v>194</v>
      </c>
      <c r="C6" s="26">
        <f>SUM(C7:C10)</f>
        <v>2058262.77</v>
      </c>
      <c r="D6" s="26">
        <f>SUM(D7:D10)</f>
        <v>0</v>
      </c>
      <c r="E6" s="27">
        <f>C6+D6</f>
        <v>2058262.77</v>
      </c>
    </row>
    <row r="7" spans="1:8" s="13" customFormat="1" x14ac:dyDescent="0.2">
      <c r="A7" s="19">
        <f>A6+1</f>
        <v>2</v>
      </c>
      <c r="B7" s="420" t="s">
        <v>48</v>
      </c>
      <c r="C7" s="28">
        <v>2028262.77</v>
      </c>
      <c r="D7" s="72"/>
      <c r="E7" s="27">
        <f>C7+D7</f>
        <v>2028262.77</v>
      </c>
    </row>
    <row r="8" spans="1:8" s="13" customFormat="1" x14ac:dyDescent="0.2">
      <c r="A8" s="19">
        <f>A7+1</f>
        <v>3</v>
      </c>
      <c r="B8" s="420" t="s">
        <v>192</v>
      </c>
      <c r="C8" s="28">
        <v>30000</v>
      </c>
      <c r="D8" s="28"/>
      <c r="E8" s="27">
        <f t="shared" ref="E8:E16" si="0">C8+D8</f>
        <v>30000</v>
      </c>
      <c r="F8" s="193"/>
    </row>
    <row r="9" spans="1:8" s="13" customFormat="1" x14ac:dyDescent="0.2">
      <c r="A9" s="19">
        <f>A8+1</f>
        <v>4</v>
      </c>
      <c r="B9" s="420"/>
      <c r="C9" s="28"/>
      <c r="D9" s="28"/>
      <c r="E9" s="27"/>
    </row>
    <row r="10" spans="1:8" s="13" customFormat="1" x14ac:dyDescent="0.2">
      <c r="A10" s="19">
        <f>A9+1</f>
        <v>5</v>
      </c>
      <c r="B10" s="420"/>
      <c r="C10" s="28"/>
      <c r="D10" s="28"/>
      <c r="E10" s="27">
        <f t="shared" si="0"/>
        <v>0</v>
      </c>
    </row>
    <row r="11" spans="1:8" s="13" customFormat="1" x14ac:dyDescent="0.2">
      <c r="A11" s="23"/>
      <c r="B11" s="424" t="s">
        <v>472</v>
      </c>
      <c r="C11" s="38"/>
      <c r="D11" s="38"/>
      <c r="E11" s="62"/>
    </row>
    <row r="12" spans="1:8" x14ac:dyDescent="0.25">
      <c r="A12" s="23">
        <v>6</v>
      </c>
      <c r="B12" s="420" t="s">
        <v>3</v>
      </c>
      <c r="C12" s="74">
        <v>4115.95</v>
      </c>
      <c r="D12" s="74"/>
      <c r="E12" s="27">
        <f t="shared" si="0"/>
        <v>4115.95</v>
      </c>
    </row>
    <row r="13" spans="1:8" x14ac:dyDescent="0.25">
      <c r="A13" s="23">
        <v>7</v>
      </c>
      <c r="B13" s="420" t="s">
        <v>4</v>
      </c>
      <c r="C13" s="28">
        <v>5060</v>
      </c>
      <c r="D13" s="28"/>
      <c r="E13" s="27">
        <f t="shared" si="0"/>
        <v>5060</v>
      </c>
    </row>
    <row r="14" spans="1:8" s="24" customFormat="1" x14ac:dyDescent="0.25">
      <c r="A14" s="23"/>
      <c r="B14" s="303"/>
      <c r="C14" s="92"/>
      <c r="D14" s="92"/>
      <c r="E14" s="62"/>
    </row>
    <row r="15" spans="1:8" x14ac:dyDescent="0.25">
      <c r="A15" s="23">
        <v>8</v>
      </c>
      <c r="B15" s="303" t="s">
        <v>195</v>
      </c>
      <c r="C15" s="75">
        <f>SUM(C16:C17)</f>
        <v>0</v>
      </c>
      <c r="D15" s="75">
        <f>SUM(D16:D17)</f>
        <v>0</v>
      </c>
      <c r="E15" s="27">
        <f t="shared" si="0"/>
        <v>0</v>
      </c>
    </row>
    <row r="16" spans="1:8" ht="31.5" x14ac:dyDescent="0.25">
      <c r="A16" s="23" t="s">
        <v>193</v>
      </c>
      <c r="B16" s="383" t="s">
        <v>497</v>
      </c>
      <c r="C16" s="74"/>
      <c r="D16" s="74"/>
      <c r="E16" s="27">
        <f t="shared" si="0"/>
        <v>0</v>
      </c>
      <c r="H16" s="192"/>
    </row>
    <row r="17" spans="1:5" x14ac:dyDescent="0.25">
      <c r="A17" s="23"/>
      <c r="B17" s="303"/>
      <c r="C17" s="92"/>
      <c r="D17" s="92"/>
      <c r="E17" s="62"/>
    </row>
    <row r="18" spans="1:5" ht="16.5" thickBot="1" x14ac:dyDescent="0.3">
      <c r="A18" s="64">
        <v>9</v>
      </c>
      <c r="B18" s="425" t="s">
        <v>461</v>
      </c>
      <c r="C18" s="37">
        <f>C6+C12+C13+C15</f>
        <v>2067438.72</v>
      </c>
      <c r="D18" s="37">
        <f>D6+D12+D13+D15</f>
        <v>0</v>
      </c>
      <c r="E18" s="73">
        <f>E6+E12+E13+E15</f>
        <v>2067438.72</v>
      </c>
    </row>
    <row r="19" spans="1:5" x14ac:dyDescent="0.25">
      <c r="E19" s="16"/>
    </row>
    <row r="21" spans="1:5" x14ac:dyDescent="0.25">
      <c r="B21" s="129"/>
      <c r="C21" s="3"/>
    </row>
    <row r="22" spans="1:5" x14ac:dyDescent="0.25">
      <c r="B22" s="3"/>
      <c r="C22" s="3"/>
    </row>
    <row r="23" spans="1:5" x14ac:dyDescent="0.25">
      <c r="B23" s="3"/>
      <c r="C23" s="3"/>
    </row>
    <row r="24" spans="1:5" x14ac:dyDescent="0.25">
      <c r="D24" s="193"/>
    </row>
  </sheetData>
  <protectedRanges>
    <protectedRange sqref="C8:D10" name="Rozsah2_1"/>
    <protectedRange sqref="C11:D11" name="Rozsah2_2"/>
  </protectedRanges>
  <mergeCells count="2">
    <mergeCell ref="A1:E1"/>
    <mergeCell ref="A2:E2"/>
  </mergeCells>
  <phoneticPr fontId="5" type="noConversion"/>
  <pageMargins left="0.79" right="0.74803149606299213" top="0.98425196850393704" bottom="0.77" header="0.51181102362204722" footer="0.51181102362204722"/>
  <pageSetup paperSize="9" scale="9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9"/>
  <sheetViews>
    <sheetView zoomScaleNormal="100" workbookViewId="0">
      <pane xSplit="2" ySplit="5" topLeftCell="E6" activePane="bottomRight" state="frozen"/>
      <selection pane="topRight" activeCell="C1" sqref="C1"/>
      <selection pane="bottomLeft" activeCell="A6" sqref="A6"/>
      <selection pane="bottomRight" activeCell="I6" sqref="I6"/>
    </sheetView>
  </sheetViews>
  <sheetFormatPr defaultColWidth="9.140625" defaultRowHeight="15.75" x14ac:dyDescent="0.2"/>
  <cols>
    <col min="1" max="1" width="9.140625" style="13"/>
    <col min="2" max="2" width="75.42578125" style="41" customWidth="1"/>
    <col min="3" max="6" width="17.28515625" style="13" customWidth="1"/>
    <col min="7" max="7" width="31.7109375" style="13" customWidth="1"/>
    <col min="8" max="8" width="13.42578125" style="13" customWidth="1"/>
    <col min="9" max="9" width="9.140625" style="13"/>
    <col min="10" max="10" width="25.42578125" style="13" customWidth="1"/>
    <col min="11" max="16384" width="9.140625" style="13"/>
  </cols>
  <sheetData>
    <row r="1" spans="1:10" s="312" customFormat="1" ht="35.1" customHeight="1" thickBot="1" x14ac:dyDescent="0.25">
      <c r="A1" s="711" t="s">
        <v>651</v>
      </c>
      <c r="B1" s="922"/>
      <c r="C1" s="922"/>
      <c r="D1" s="922"/>
      <c r="E1" s="922"/>
      <c r="F1" s="923"/>
    </row>
    <row r="2" spans="1:10" s="312" customFormat="1" ht="35.1" customHeight="1" x14ac:dyDescent="0.2">
      <c r="A2" s="821" t="s">
        <v>964</v>
      </c>
      <c r="B2" s="822"/>
      <c r="C2" s="823" t="s">
        <v>829</v>
      </c>
      <c r="D2" s="823"/>
      <c r="E2" s="823"/>
      <c r="F2" s="824"/>
    </row>
    <row r="3" spans="1:10" s="312" customFormat="1" ht="22.9" customHeight="1" x14ac:dyDescent="0.2">
      <c r="A3" s="732" t="s">
        <v>80</v>
      </c>
      <c r="B3" s="838" t="s">
        <v>152</v>
      </c>
      <c r="C3" s="838">
        <v>2021</v>
      </c>
      <c r="D3" s="838"/>
      <c r="E3" s="838">
        <v>2022</v>
      </c>
      <c r="F3" s="839"/>
    </row>
    <row r="4" spans="1:10" s="312" customFormat="1" ht="75" customHeight="1" x14ac:dyDescent="0.2">
      <c r="A4" s="732"/>
      <c r="B4" s="838"/>
      <c r="C4" s="293" t="s">
        <v>14</v>
      </c>
      <c r="D4" s="293" t="s">
        <v>74</v>
      </c>
      <c r="E4" s="293" t="s">
        <v>14</v>
      </c>
      <c r="F4" s="318" t="s">
        <v>75</v>
      </c>
    </row>
    <row r="5" spans="1:10" s="312" customFormat="1" x14ac:dyDescent="0.2">
      <c r="A5" s="313"/>
      <c r="B5" s="426"/>
      <c r="C5" s="366" t="s">
        <v>118</v>
      </c>
      <c r="D5" s="366" t="s">
        <v>119</v>
      </c>
      <c r="E5" s="366" t="s">
        <v>120</v>
      </c>
      <c r="F5" s="371" t="s">
        <v>126</v>
      </c>
    </row>
    <row r="6" spans="1:10" ht="172.5" customHeight="1" x14ac:dyDescent="0.2">
      <c r="A6" s="19">
        <v>1</v>
      </c>
      <c r="B6" s="382" t="s">
        <v>567</v>
      </c>
      <c r="C6" s="60">
        <f>C7+C10+C13+C16+C19+C22</f>
        <v>67146</v>
      </c>
      <c r="D6" s="60">
        <f>D7+D10+D13+D16+D19+D22</f>
        <v>331</v>
      </c>
      <c r="E6" s="60">
        <f>E7+E10+E13+E16+E19+E22</f>
        <v>79735</v>
      </c>
      <c r="F6" s="226">
        <f>F7+F10+F13+F16+F19+F22</f>
        <v>358</v>
      </c>
      <c r="I6" s="691"/>
      <c r="J6" s="667"/>
    </row>
    <row r="7" spans="1:10" x14ac:dyDescent="0.2">
      <c r="A7" s="19">
        <v>2</v>
      </c>
      <c r="B7" s="382" t="s">
        <v>568</v>
      </c>
      <c r="C7" s="60">
        <f>SUM(C8:C9)</f>
        <v>22232</v>
      </c>
      <c r="D7" s="60">
        <f>SUM(D8:D9)</f>
        <v>63</v>
      </c>
      <c r="E7" s="60">
        <f>SUM(E8:E9)</f>
        <v>26550</v>
      </c>
      <c r="F7" s="226">
        <f>SUM(F8:F9)</f>
        <v>58</v>
      </c>
    </row>
    <row r="8" spans="1:10" x14ac:dyDescent="0.2">
      <c r="A8" s="19">
        <v>3</v>
      </c>
      <c r="B8" s="302" t="s">
        <v>16</v>
      </c>
      <c r="C8" s="77">
        <v>22232</v>
      </c>
      <c r="D8" s="77">
        <v>63</v>
      </c>
      <c r="E8" s="77">
        <f>25500+1050</f>
        <v>26550</v>
      </c>
      <c r="F8" s="93">
        <f>51+7</f>
        <v>58</v>
      </c>
      <c r="G8" s="18"/>
    </row>
    <row r="9" spans="1:10" ht="18.75" x14ac:dyDescent="0.2">
      <c r="A9" s="19">
        <v>4</v>
      </c>
      <c r="B9" s="302" t="s">
        <v>569</v>
      </c>
      <c r="C9" s="77"/>
      <c r="D9" s="77"/>
      <c r="E9" s="77"/>
      <c r="F9" s="93"/>
    </row>
    <row r="10" spans="1:10" ht="21" customHeight="1" x14ac:dyDescent="0.2">
      <c r="A10" s="19">
        <v>5</v>
      </c>
      <c r="B10" s="382" t="s">
        <v>510</v>
      </c>
      <c r="C10" s="60">
        <f>SUM(C11:C12)</f>
        <v>22200</v>
      </c>
      <c r="D10" s="60">
        <f>SUM(D11:D12)</f>
        <v>124</v>
      </c>
      <c r="E10" s="60">
        <f>SUM(E11:E12)</f>
        <v>20250</v>
      </c>
      <c r="F10" s="226">
        <f>SUM(F11:F12)</f>
        <v>104</v>
      </c>
    </row>
    <row r="11" spans="1:10" x14ac:dyDescent="0.2">
      <c r="A11" s="19">
        <v>6</v>
      </c>
      <c r="B11" s="302" t="s">
        <v>16</v>
      </c>
      <c r="C11" s="77">
        <v>22200</v>
      </c>
      <c r="D11" s="77">
        <v>124</v>
      </c>
      <c r="E11" s="77">
        <f>7900-150+1800+9000+1700</f>
        <v>20250</v>
      </c>
      <c r="F11" s="93">
        <f>47+17+30+10</f>
        <v>104</v>
      </c>
    </row>
    <row r="12" spans="1:10" ht="18.75" x14ac:dyDescent="0.2">
      <c r="A12" s="19">
        <v>7</v>
      </c>
      <c r="B12" s="302" t="s">
        <v>569</v>
      </c>
      <c r="C12" s="77"/>
      <c r="D12" s="77"/>
      <c r="E12" s="77"/>
      <c r="F12" s="93"/>
    </row>
    <row r="13" spans="1:10" x14ac:dyDescent="0.2">
      <c r="A13" s="19">
        <v>8</v>
      </c>
      <c r="B13" s="382" t="s">
        <v>511</v>
      </c>
      <c r="C13" s="60">
        <f>C14+C15</f>
        <v>17051</v>
      </c>
      <c r="D13" s="60">
        <f>D14+D15</f>
        <v>119</v>
      </c>
      <c r="E13" s="60">
        <f>E14+E15</f>
        <v>18557.5</v>
      </c>
      <c r="F13" s="226">
        <f>F14+F15</f>
        <v>125</v>
      </c>
    </row>
    <row r="14" spans="1:10" x14ac:dyDescent="0.2">
      <c r="A14" s="19">
        <v>9</v>
      </c>
      <c r="B14" s="302" t="s">
        <v>16</v>
      </c>
      <c r="C14" s="77">
        <v>17051</v>
      </c>
      <c r="D14" s="77">
        <v>119</v>
      </c>
      <c r="E14" s="77">
        <f>9155+8912+450+40.5</f>
        <v>18557.5</v>
      </c>
      <c r="F14" s="93">
        <f>76+45+3+1</f>
        <v>125</v>
      </c>
    </row>
    <row r="15" spans="1:10" ht="18.75" x14ac:dyDescent="0.2">
      <c r="A15" s="19">
        <v>10</v>
      </c>
      <c r="B15" s="302" t="s">
        <v>569</v>
      </c>
      <c r="C15" s="77"/>
      <c r="D15" s="77"/>
      <c r="E15" s="77"/>
      <c r="F15" s="93"/>
    </row>
    <row r="16" spans="1:10" x14ac:dyDescent="0.2">
      <c r="A16" s="19">
        <v>11</v>
      </c>
      <c r="B16" s="382" t="s">
        <v>570</v>
      </c>
      <c r="C16" s="60">
        <f>SUM(C17:C18)</f>
        <v>1020</v>
      </c>
      <c r="D16" s="60">
        <f>SUM(D17:D18)</f>
        <v>12</v>
      </c>
      <c r="E16" s="60">
        <f>SUM(E17:E18)</f>
        <v>7051</v>
      </c>
      <c r="F16" s="226">
        <f>SUM(F17:F18)</f>
        <v>46</v>
      </c>
    </row>
    <row r="17" spans="1:6" x14ac:dyDescent="0.2">
      <c r="A17" s="19">
        <v>12</v>
      </c>
      <c r="B17" s="302" t="s">
        <v>16</v>
      </c>
      <c r="C17" s="77">
        <v>1020</v>
      </c>
      <c r="D17" s="77">
        <v>12</v>
      </c>
      <c r="E17" s="77">
        <f>7051</f>
        <v>7051</v>
      </c>
      <c r="F17" s="93">
        <f>46</f>
        <v>46</v>
      </c>
    </row>
    <row r="18" spans="1:6" ht="18.75" x14ac:dyDescent="0.2">
      <c r="A18" s="19">
        <v>13</v>
      </c>
      <c r="B18" s="302" t="s">
        <v>569</v>
      </c>
      <c r="C18" s="77"/>
      <c r="D18" s="77"/>
      <c r="E18" s="77"/>
      <c r="F18" s="93"/>
    </row>
    <row r="19" spans="1:6" x14ac:dyDescent="0.2">
      <c r="A19" s="19">
        <v>14</v>
      </c>
      <c r="B19" s="382" t="s">
        <v>571</v>
      </c>
      <c r="C19" s="60">
        <f>SUM(C20:C21)</f>
        <v>1700</v>
      </c>
      <c r="D19" s="60">
        <f>SUM(D20:D21)</f>
        <v>2</v>
      </c>
      <c r="E19" s="60">
        <f>SUM(E20:E21)</f>
        <v>370</v>
      </c>
      <c r="F19" s="226">
        <f>SUM(F20:F21)</f>
        <v>2</v>
      </c>
    </row>
    <row r="20" spans="1:6" x14ac:dyDescent="0.2">
      <c r="A20" s="19">
        <v>15</v>
      </c>
      <c r="B20" s="302" t="s">
        <v>16</v>
      </c>
      <c r="C20" s="77">
        <v>1700</v>
      </c>
      <c r="D20" s="77">
        <v>2</v>
      </c>
      <c r="E20" s="77">
        <v>370</v>
      </c>
      <c r="F20" s="93">
        <v>2</v>
      </c>
    </row>
    <row r="21" spans="1:6" ht="18.75" x14ac:dyDescent="0.2">
      <c r="A21" s="19">
        <v>16</v>
      </c>
      <c r="B21" s="427" t="s">
        <v>569</v>
      </c>
      <c r="C21" s="94"/>
      <c r="D21" s="94"/>
      <c r="E21" s="94"/>
      <c r="F21" s="95"/>
    </row>
    <row r="22" spans="1:6" x14ac:dyDescent="0.2">
      <c r="A22" s="19">
        <v>17</v>
      </c>
      <c r="B22" s="428" t="s">
        <v>545</v>
      </c>
      <c r="C22" s="60">
        <f>C23+C24</f>
        <v>2943</v>
      </c>
      <c r="D22" s="60">
        <f>D23+D24</f>
        <v>11</v>
      </c>
      <c r="E22" s="60">
        <f>E23+E24</f>
        <v>6956.5</v>
      </c>
      <c r="F22" s="226">
        <f>F23+F24</f>
        <v>23</v>
      </c>
    </row>
    <row r="23" spans="1:6" x14ac:dyDescent="0.2">
      <c r="A23" s="19">
        <v>18</v>
      </c>
      <c r="B23" s="302" t="s">
        <v>16</v>
      </c>
      <c r="C23" s="94">
        <v>2943</v>
      </c>
      <c r="D23" s="94">
        <v>11</v>
      </c>
      <c r="E23" s="94">
        <f>926+150+5880.5</f>
        <v>6956.5</v>
      </c>
      <c r="F23" s="95">
        <v>23</v>
      </c>
    </row>
    <row r="24" spans="1:6" ht="18.75" x14ac:dyDescent="0.2">
      <c r="A24" s="19">
        <v>19</v>
      </c>
      <c r="B24" s="427" t="s">
        <v>569</v>
      </c>
      <c r="C24" s="94"/>
      <c r="D24" s="94"/>
      <c r="E24" s="94"/>
      <c r="F24" s="95"/>
    </row>
    <row r="25" spans="1:6" ht="19.5" thickBot="1" x14ac:dyDescent="0.25">
      <c r="A25" s="20">
        <v>20</v>
      </c>
      <c r="B25" s="429" t="s">
        <v>804</v>
      </c>
      <c r="C25" s="96" t="s">
        <v>139</v>
      </c>
      <c r="D25" s="97">
        <f>D11+D14+D17+D20+D23+D8</f>
        <v>331</v>
      </c>
      <c r="E25" s="96" t="s">
        <v>139</v>
      </c>
      <c r="F25" s="98">
        <f>F23+F20+F17+F14+F11+F8</f>
        <v>358</v>
      </c>
    </row>
    <row r="26" spans="1:6" s="56" customFormat="1" x14ac:dyDescent="0.2">
      <c r="A26" s="194"/>
      <c r="B26" s="195"/>
      <c r="C26" s="196"/>
      <c r="D26" s="197"/>
      <c r="E26" s="196"/>
      <c r="F26" s="197"/>
    </row>
    <row r="27" spans="1:6" s="312" customFormat="1" ht="15.75" customHeight="1" x14ac:dyDescent="0.2">
      <c r="A27" s="916" t="s">
        <v>802</v>
      </c>
      <c r="B27" s="917"/>
      <c r="C27" s="917"/>
      <c r="D27" s="917"/>
      <c r="E27" s="917"/>
      <c r="F27" s="918"/>
    </row>
    <row r="28" spans="1:6" s="312" customFormat="1" ht="15.75" customHeight="1" x14ac:dyDescent="0.2">
      <c r="A28" s="919" t="s">
        <v>803</v>
      </c>
      <c r="B28" s="920"/>
      <c r="C28" s="920"/>
      <c r="D28" s="920"/>
      <c r="E28" s="920"/>
      <c r="F28" s="921"/>
    </row>
    <row r="29" spans="1:6" s="312" customFormat="1" ht="15.75" customHeight="1" x14ac:dyDescent="0.2">
      <c r="A29" s="915" t="s">
        <v>839</v>
      </c>
      <c r="B29" s="915"/>
      <c r="C29" s="915"/>
      <c r="D29" s="915"/>
      <c r="E29" s="915"/>
      <c r="F29" s="915"/>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6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7"/>
  <sheetViews>
    <sheetView zoomScaleNormal="100" workbookViewId="0">
      <pane xSplit="2" ySplit="5" topLeftCell="C6" activePane="bottomRight" state="frozen"/>
      <selection pane="topRight" activeCell="C1" sqref="C1"/>
      <selection pane="bottomLeft" activeCell="A6" sqref="A6"/>
      <selection pane="bottomRight" activeCell="K10" sqref="K10"/>
    </sheetView>
  </sheetViews>
  <sheetFormatPr defaultColWidth="9.140625" defaultRowHeight="15.75" x14ac:dyDescent="0.2"/>
  <cols>
    <col min="1" max="1" width="8.140625" style="13" customWidth="1"/>
    <col min="2" max="2" width="93.140625" style="41" customWidth="1"/>
    <col min="3" max="3" width="15.7109375" style="13" customWidth="1"/>
    <col min="4" max="4" width="18.140625" style="13" customWidth="1"/>
    <col min="5" max="5" width="15.7109375" style="13" customWidth="1"/>
    <col min="6" max="6" width="18.140625" style="13" customWidth="1"/>
    <col min="7" max="7" width="9.140625" style="13"/>
    <col min="8" max="8" width="28.28515625" style="13" customWidth="1"/>
    <col min="9" max="16384" width="9.140625" style="13"/>
  </cols>
  <sheetData>
    <row r="1" spans="1:9" s="312" customFormat="1" ht="50.1" customHeight="1" thickBot="1" x14ac:dyDescent="0.25">
      <c r="A1" s="925" t="s">
        <v>847</v>
      </c>
      <c r="B1" s="926"/>
      <c r="C1" s="926"/>
      <c r="D1" s="926"/>
      <c r="E1" s="926"/>
      <c r="F1" s="927"/>
    </row>
    <row r="2" spans="1:9" s="312" customFormat="1" ht="47.45" customHeight="1" x14ac:dyDescent="0.2">
      <c r="A2" s="821" t="s">
        <v>961</v>
      </c>
      <c r="B2" s="822"/>
      <c r="C2" s="924" t="s">
        <v>662</v>
      </c>
      <c r="D2" s="824"/>
      <c r="E2" s="924" t="s">
        <v>663</v>
      </c>
      <c r="F2" s="824"/>
    </row>
    <row r="3" spans="1:9" s="312" customFormat="1" x14ac:dyDescent="0.2">
      <c r="A3" s="819" t="s">
        <v>80</v>
      </c>
      <c r="B3" s="817" t="s">
        <v>152</v>
      </c>
      <c r="C3" s="815">
        <v>2022</v>
      </c>
      <c r="D3" s="816"/>
      <c r="E3" s="815">
        <v>2022</v>
      </c>
      <c r="F3" s="816"/>
    </row>
    <row r="4" spans="1:9" s="312" customFormat="1" ht="69" customHeight="1" x14ac:dyDescent="0.2">
      <c r="A4" s="820"/>
      <c r="B4" s="818"/>
      <c r="C4" s="361" t="s">
        <v>481</v>
      </c>
      <c r="D4" s="318" t="s">
        <v>660</v>
      </c>
      <c r="E4" s="361" t="s">
        <v>481</v>
      </c>
      <c r="F4" s="318" t="s">
        <v>660</v>
      </c>
    </row>
    <row r="5" spans="1:9" s="312" customFormat="1" x14ac:dyDescent="0.2">
      <c r="A5" s="362"/>
      <c r="B5" s="363"/>
      <c r="C5" s="366" t="s">
        <v>118</v>
      </c>
      <c r="D5" s="311" t="s">
        <v>119</v>
      </c>
      <c r="E5" s="366" t="s">
        <v>120</v>
      </c>
      <c r="F5" s="311" t="s">
        <v>126</v>
      </c>
    </row>
    <row r="6" spans="1:9" ht="38.25" customHeight="1" x14ac:dyDescent="0.2">
      <c r="A6" s="19">
        <v>1</v>
      </c>
      <c r="B6" s="303" t="s">
        <v>664</v>
      </c>
      <c r="C6" s="81">
        <v>0</v>
      </c>
      <c r="D6" s="83" t="s">
        <v>139</v>
      </c>
      <c r="E6" s="81">
        <v>0</v>
      </c>
      <c r="F6" s="83" t="s">
        <v>139</v>
      </c>
      <c r="H6" s="18"/>
    </row>
    <row r="7" spans="1:9" ht="38.25" customHeight="1" x14ac:dyDescent="0.2">
      <c r="A7" s="19">
        <f>A6+1</f>
        <v>2</v>
      </c>
      <c r="B7" s="303" t="s">
        <v>665</v>
      </c>
      <c r="C7" s="82" t="s">
        <v>139</v>
      </c>
      <c r="D7" s="45">
        <v>0</v>
      </c>
      <c r="E7" s="82" t="s">
        <v>139</v>
      </c>
      <c r="F7" s="45">
        <v>0</v>
      </c>
      <c r="H7" s="56"/>
    </row>
    <row r="8" spans="1:9" ht="38.25" customHeight="1" x14ac:dyDescent="0.2">
      <c r="A8" s="19">
        <f>A7+1</f>
        <v>3</v>
      </c>
      <c r="B8" s="303" t="s">
        <v>666</v>
      </c>
      <c r="C8" s="82" t="s">
        <v>139</v>
      </c>
      <c r="D8" s="45">
        <v>0</v>
      </c>
      <c r="E8" s="82" t="s">
        <v>139</v>
      </c>
      <c r="F8" s="45">
        <v>0</v>
      </c>
      <c r="H8" s="56"/>
    </row>
    <row r="9" spans="1:9" ht="54.75" customHeight="1" x14ac:dyDescent="0.2">
      <c r="A9" s="19">
        <v>4</v>
      </c>
      <c r="B9" s="364" t="s">
        <v>661</v>
      </c>
      <c r="C9" s="85">
        <v>276000</v>
      </c>
      <c r="D9" s="83" t="s">
        <v>139</v>
      </c>
      <c r="E9" s="85">
        <v>33000</v>
      </c>
      <c r="F9" s="83" t="s">
        <v>139</v>
      </c>
      <c r="H9" s="56"/>
      <c r="I9" s="699"/>
    </row>
    <row r="10" spans="1:9" ht="33" customHeight="1" x14ac:dyDescent="0.2">
      <c r="A10" s="19">
        <v>5</v>
      </c>
      <c r="B10" s="364" t="s">
        <v>668</v>
      </c>
      <c r="C10" s="84">
        <f>C9-C6</f>
        <v>276000</v>
      </c>
      <c r="D10" s="83" t="s">
        <v>139</v>
      </c>
      <c r="E10" s="84">
        <f>E9-E6</f>
        <v>33000</v>
      </c>
      <c r="F10" s="83" t="s">
        <v>139</v>
      </c>
      <c r="H10" s="56"/>
    </row>
    <row r="11" spans="1:9" ht="36" customHeight="1" thickBot="1" x14ac:dyDescent="0.25">
      <c r="A11" s="20">
        <v>6</v>
      </c>
      <c r="B11" s="365" t="s">
        <v>100</v>
      </c>
      <c r="C11" s="87">
        <f>IF(C6=0,0,C6/D7)</f>
        <v>0</v>
      </c>
      <c r="D11" s="89" t="s">
        <v>139</v>
      </c>
      <c r="E11" s="87">
        <f>IF(E6=0,0,E6/F7)</f>
        <v>0</v>
      </c>
      <c r="F11" s="89" t="s">
        <v>139</v>
      </c>
      <c r="H11" s="56"/>
    </row>
    <row r="12" spans="1:9" x14ac:dyDescent="0.2">
      <c r="B12" s="15"/>
      <c r="E12" s="102"/>
      <c r="H12" s="56"/>
    </row>
    <row r="13" spans="1:9" x14ac:dyDescent="0.2">
      <c r="A13" s="928" t="s">
        <v>808</v>
      </c>
      <c r="B13" s="928"/>
      <c r="C13" s="928"/>
      <c r="D13" s="928"/>
      <c r="E13" s="928"/>
      <c r="H13" s="56"/>
    </row>
    <row r="14" spans="1:9" x14ac:dyDescent="0.2">
      <c r="A14" s="285" t="s">
        <v>667</v>
      </c>
      <c r="B14" s="285"/>
      <c r="C14" s="285"/>
      <c r="D14" s="285"/>
      <c r="E14" s="286"/>
      <c r="H14" s="56"/>
    </row>
    <row r="15" spans="1:9" x14ac:dyDescent="0.2">
      <c r="H15" s="56"/>
    </row>
    <row r="16" spans="1:9" x14ac:dyDescent="0.2">
      <c r="H16" s="56"/>
    </row>
    <row r="17" spans="8:8" x14ac:dyDescent="0.2">
      <c r="H17" s="56"/>
    </row>
  </sheetData>
  <mergeCells count="9">
    <mergeCell ref="E2:F2"/>
    <mergeCell ref="E3:F3"/>
    <mergeCell ref="A1:F1"/>
    <mergeCell ref="A13:E13"/>
    <mergeCell ref="A2:B2"/>
    <mergeCell ref="C2:D2"/>
    <mergeCell ref="A3:A4"/>
    <mergeCell ref="B3:B4"/>
    <mergeCell ref="C3:D3"/>
  </mergeCells>
  <pageMargins left="0.5" right="0.39" top="0.98425196850393704" bottom="0.98425196850393704" header="0.51181102362204722" footer="0.51181102362204722"/>
  <pageSetup paperSize="9"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G16"/>
  <sheetViews>
    <sheetView zoomScaleNormal="100" workbookViewId="0">
      <pane xSplit="2" ySplit="5" topLeftCell="C6" activePane="bottomRight" state="frozen"/>
      <selection pane="topRight" activeCell="C1" sqref="C1"/>
      <selection pane="bottomLeft" activeCell="A5" sqref="A5"/>
      <selection pane="bottomRight" activeCell="B3" sqref="B3:B4"/>
    </sheetView>
  </sheetViews>
  <sheetFormatPr defaultColWidth="9.140625" defaultRowHeight="18.75" x14ac:dyDescent="0.25"/>
  <cols>
    <col min="1" max="1" width="9.140625" style="144"/>
    <col min="2" max="2" width="67" style="148" customWidth="1"/>
    <col min="3" max="3" width="20.28515625" style="160" customWidth="1"/>
    <col min="4" max="4" width="23.5703125" style="160" customWidth="1"/>
    <col min="5" max="5" width="22.140625" style="160" customWidth="1"/>
    <col min="6" max="6" width="23.85546875" style="144" customWidth="1"/>
    <col min="7" max="16384" width="9.140625" style="144"/>
  </cols>
  <sheetData>
    <row r="1" spans="1:7" s="372" customFormat="1" ht="50.1" customHeight="1" thickBot="1" x14ac:dyDescent="0.3">
      <c r="A1" s="929" t="s">
        <v>652</v>
      </c>
      <c r="B1" s="930"/>
      <c r="C1" s="930"/>
      <c r="D1" s="931"/>
      <c r="E1" s="931"/>
      <c r="F1" s="932"/>
    </row>
    <row r="2" spans="1:7" s="372" customFormat="1" ht="35.1" customHeight="1" thickBot="1" x14ac:dyDescent="0.3">
      <c r="A2" s="933" t="s">
        <v>964</v>
      </c>
      <c r="B2" s="934"/>
      <c r="C2" s="934"/>
      <c r="D2" s="935"/>
      <c r="E2" s="935"/>
      <c r="F2" s="936"/>
    </row>
    <row r="3" spans="1:7" s="372" customFormat="1" ht="33" customHeight="1" x14ac:dyDescent="0.25">
      <c r="A3" s="820" t="s">
        <v>80</v>
      </c>
      <c r="B3" s="941" t="s">
        <v>152</v>
      </c>
      <c r="C3" s="940">
        <v>2021</v>
      </c>
      <c r="D3" s="940"/>
      <c r="E3" s="937">
        <v>2022</v>
      </c>
      <c r="F3" s="938"/>
    </row>
    <row r="4" spans="1:7" s="372" customFormat="1" ht="71.25" customHeight="1" x14ac:dyDescent="0.25">
      <c r="A4" s="732"/>
      <c r="B4" s="942"/>
      <c r="C4" s="430" t="s">
        <v>521</v>
      </c>
      <c r="D4" s="430" t="s">
        <v>574</v>
      </c>
      <c r="E4" s="430" t="s">
        <v>521</v>
      </c>
      <c r="F4" s="431" t="s">
        <v>574</v>
      </c>
    </row>
    <row r="5" spans="1:7" s="372" customFormat="1" ht="15.75" customHeight="1" x14ac:dyDescent="0.25">
      <c r="A5" s="373"/>
      <c r="B5" s="374"/>
      <c r="C5" s="374" t="s">
        <v>118</v>
      </c>
      <c r="D5" s="374" t="s">
        <v>119</v>
      </c>
      <c r="E5" s="432" t="s">
        <v>120</v>
      </c>
      <c r="F5" s="433" t="s">
        <v>126</v>
      </c>
    </row>
    <row r="6" spans="1:7" s="157" customFormat="1" ht="34.5" customHeight="1" x14ac:dyDescent="0.2">
      <c r="A6" s="145">
        <v>1</v>
      </c>
      <c r="B6" s="434" t="s">
        <v>488</v>
      </c>
      <c r="C6" s="147">
        <v>0</v>
      </c>
      <c r="D6" s="147">
        <v>64</v>
      </c>
      <c r="E6" s="146">
        <f>C9</f>
        <v>0</v>
      </c>
      <c r="F6" s="211">
        <f>D9</f>
        <v>0</v>
      </c>
      <c r="G6" s="200"/>
    </row>
    <row r="7" spans="1:7" ht="36" customHeight="1" x14ac:dyDescent="0.25">
      <c r="A7" s="145">
        <v>2</v>
      </c>
      <c r="B7" s="434" t="s">
        <v>518</v>
      </c>
      <c r="C7" s="147">
        <v>136080</v>
      </c>
      <c r="D7" s="147">
        <v>309870</v>
      </c>
      <c r="E7" s="147">
        <v>132840</v>
      </c>
      <c r="F7" s="212">
        <v>318500</v>
      </c>
    </row>
    <row r="8" spans="1:7" ht="35.25" customHeight="1" x14ac:dyDescent="0.25">
      <c r="A8" s="145">
        <v>3</v>
      </c>
      <c r="B8" s="434" t="s">
        <v>489</v>
      </c>
      <c r="C8" s="147">
        <v>136080</v>
      </c>
      <c r="D8" s="147">
        <v>309934</v>
      </c>
      <c r="E8" s="147">
        <v>132840</v>
      </c>
      <c r="F8" s="212">
        <v>318500</v>
      </c>
    </row>
    <row r="9" spans="1:7" ht="39.75" customHeight="1" x14ac:dyDescent="0.25">
      <c r="A9" s="145">
        <v>4</v>
      </c>
      <c r="B9" s="434" t="s">
        <v>519</v>
      </c>
      <c r="C9" s="146">
        <f>C6+C7-C8</f>
        <v>0</v>
      </c>
      <c r="D9" s="146">
        <f>D6+D7-D8</f>
        <v>0</v>
      </c>
      <c r="E9" s="146">
        <f>E6+E7-E8</f>
        <v>0</v>
      </c>
      <c r="F9" s="211">
        <f>F6+F7-F8</f>
        <v>0</v>
      </c>
    </row>
    <row r="10" spans="1:7" ht="36" customHeight="1" thickBot="1" x14ac:dyDescent="0.3">
      <c r="A10" s="213">
        <v>5</v>
      </c>
      <c r="B10" s="435" t="s">
        <v>520</v>
      </c>
      <c r="C10" s="214">
        <v>226</v>
      </c>
      <c r="D10" s="214">
        <v>754</v>
      </c>
      <c r="E10" s="214">
        <v>162</v>
      </c>
      <c r="F10" s="215">
        <v>773</v>
      </c>
    </row>
    <row r="11" spans="1:7" ht="21" customHeight="1" x14ac:dyDescent="0.25">
      <c r="A11" s="158"/>
      <c r="B11" s="159"/>
      <c r="C11" s="144"/>
      <c r="D11" s="144"/>
      <c r="E11" s="144"/>
    </row>
    <row r="12" spans="1:7" ht="21" customHeight="1" x14ac:dyDescent="0.25">
      <c r="A12" s="939" t="s">
        <v>805</v>
      </c>
      <c r="B12" s="939"/>
      <c r="C12" s="939"/>
      <c r="D12" s="939"/>
      <c r="E12" s="939"/>
      <c r="F12" s="939"/>
    </row>
    <row r="13" spans="1:7" ht="18" x14ac:dyDescent="0.25">
      <c r="A13" s="201" t="s">
        <v>806</v>
      </c>
      <c r="B13" s="202"/>
      <c r="C13" s="198"/>
      <c r="D13" s="198"/>
      <c r="E13" s="198"/>
      <c r="F13" s="199"/>
    </row>
    <row r="14" spans="1:7" ht="18" x14ac:dyDescent="0.25">
      <c r="A14" s="201" t="s">
        <v>807</v>
      </c>
      <c r="B14" s="202"/>
      <c r="C14" s="198"/>
      <c r="D14" s="198"/>
      <c r="E14" s="198"/>
      <c r="F14" s="199"/>
    </row>
    <row r="16" spans="1:7" x14ac:dyDescent="0.25">
      <c r="C16" s="160" t="s">
        <v>57</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5"/>
  <sheetViews>
    <sheetView zoomScaleNormal="100" workbookViewId="0">
      <selection activeCell="G15" sqref="G15"/>
    </sheetView>
  </sheetViews>
  <sheetFormatPr defaultRowHeight="12.75" x14ac:dyDescent="0.2"/>
  <cols>
    <col min="1" max="1" width="8.140625" customWidth="1"/>
    <col min="2" max="2" width="93.140625" customWidth="1"/>
    <col min="3" max="3" width="15.7109375" customWidth="1"/>
    <col min="4" max="4" width="18.140625" customWidth="1"/>
    <col min="5" max="6" width="17.85546875" customWidth="1"/>
    <col min="7" max="7" width="28.5703125" customWidth="1"/>
  </cols>
  <sheetData>
    <row r="1" spans="1:7" s="418" customFormat="1" ht="50.1" customHeight="1" thickBot="1" x14ac:dyDescent="0.25">
      <c r="A1" s="947" t="s">
        <v>848</v>
      </c>
      <c r="B1" s="948"/>
      <c r="C1" s="948"/>
      <c r="D1" s="948"/>
      <c r="E1" s="948"/>
      <c r="F1" s="948"/>
    </row>
    <row r="2" spans="1:7" s="418" customFormat="1" ht="46.15" customHeight="1" x14ac:dyDescent="0.2">
      <c r="A2" s="821" t="s">
        <v>962</v>
      </c>
      <c r="B2" s="822"/>
      <c r="C2" s="943" t="s">
        <v>691</v>
      </c>
      <c r="D2" s="944"/>
      <c r="E2" s="943" t="s">
        <v>849</v>
      </c>
      <c r="F2" s="944"/>
    </row>
    <row r="3" spans="1:7" s="418" customFormat="1" ht="15.75" x14ac:dyDescent="0.2">
      <c r="A3" s="819" t="s">
        <v>80</v>
      </c>
      <c r="B3" s="817" t="s">
        <v>152</v>
      </c>
      <c r="C3" s="815">
        <v>2022</v>
      </c>
      <c r="D3" s="816"/>
      <c r="E3" s="945">
        <v>2022</v>
      </c>
      <c r="F3" s="946"/>
    </row>
    <row r="4" spans="1:7" s="418" customFormat="1" ht="88.15" customHeight="1" x14ac:dyDescent="0.2">
      <c r="A4" s="820"/>
      <c r="B4" s="818"/>
      <c r="C4" s="361" t="s">
        <v>481</v>
      </c>
      <c r="D4" s="318" t="s">
        <v>660</v>
      </c>
      <c r="E4" s="487" t="s">
        <v>481</v>
      </c>
      <c r="F4" s="488" t="s">
        <v>660</v>
      </c>
    </row>
    <row r="5" spans="1:7" s="418" customFormat="1" ht="15.75" x14ac:dyDescent="0.2">
      <c r="A5" s="362"/>
      <c r="B5" s="363"/>
      <c r="C5" s="366" t="s">
        <v>118</v>
      </c>
      <c r="D5" s="311" t="s">
        <v>119</v>
      </c>
      <c r="E5" s="366" t="s">
        <v>120</v>
      </c>
      <c r="F5" s="311" t="s">
        <v>126</v>
      </c>
    </row>
    <row r="6" spans="1:7" ht="31.5" x14ac:dyDescent="0.2">
      <c r="A6" s="19">
        <v>1</v>
      </c>
      <c r="B6" s="303" t="s">
        <v>692</v>
      </c>
      <c r="C6" s="81">
        <v>6000</v>
      </c>
      <c r="D6" s="83" t="s">
        <v>139</v>
      </c>
      <c r="E6" s="81"/>
      <c r="F6" s="83" t="s">
        <v>139</v>
      </c>
    </row>
    <row r="7" spans="1:7" ht="15.75" x14ac:dyDescent="0.2">
      <c r="A7" s="19">
        <f>A6+1</f>
        <v>2</v>
      </c>
      <c r="B7" s="303" t="s">
        <v>980</v>
      </c>
      <c r="C7" s="82" t="s">
        <v>139</v>
      </c>
      <c r="D7" s="45">
        <v>3</v>
      </c>
      <c r="E7" s="82" t="s">
        <v>139</v>
      </c>
      <c r="F7" s="45"/>
    </row>
    <row r="8" spans="1:7" ht="37.5" x14ac:dyDescent="0.2">
      <c r="A8" s="19">
        <f>A7+1</f>
        <v>3</v>
      </c>
      <c r="B8" s="303" t="s">
        <v>693</v>
      </c>
      <c r="C8" s="82" t="s">
        <v>139</v>
      </c>
      <c r="D8" s="45">
        <v>3</v>
      </c>
      <c r="E8" s="82" t="s">
        <v>139</v>
      </c>
      <c r="F8" s="45"/>
    </row>
    <row r="9" spans="1:7" ht="15.75" customHeight="1" x14ac:dyDescent="0.2">
      <c r="A9" s="19">
        <v>4</v>
      </c>
      <c r="B9" s="364" t="s">
        <v>694</v>
      </c>
      <c r="C9" s="85">
        <v>20000</v>
      </c>
      <c r="D9" s="83" t="s">
        <v>139</v>
      </c>
      <c r="E9" s="85"/>
      <c r="F9" s="83" t="s">
        <v>139</v>
      </c>
    </row>
    <row r="10" spans="1:7" ht="15.75" x14ac:dyDescent="0.2">
      <c r="A10" s="19">
        <v>5</v>
      </c>
      <c r="B10" s="364" t="s">
        <v>668</v>
      </c>
      <c r="C10" s="84">
        <f>C9-C6</f>
        <v>14000</v>
      </c>
      <c r="D10" s="83" t="s">
        <v>139</v>
      </c>
      <c r="E10" s="84">
        <f>E9-E6</f>
        <v>0</v>
      </c>
      <c r="F10" s="83" t="s">
        <v>139</v>
      </c>
      <c r="G10" s="667"/>
    </row>
    <row r="11" spans="1:7" ht="16.5" thickBot="1" x14ac:dyDescent="0.25">
      <c r="A11" s="20">
        <v>6</v>
      </c>
      <c r="B11" s="365" t="s">
        <v>100</v>
      </c>
      <c r="C11" s="87">
        <f>IF(C6=0,0,C6/D7)</f>
        <v>2000</v>
      </c>
      <c r="D11" s="89" t="s">
        <v>139</v>
      </c>
      <c r="E11" s="87">
        <f>IF(E6=0,0,E6/F7)</f>
        <v>0</v>
      </c>
      <c r="F11" s="89" t="s">
        <v>139</v>
      </c>
    </row>
    <row r="12" spans="1:7" ht="15.75" x14ac:dyDescent="0.2">
      <c r="A12" s="13"/>
      <c r="B12" s="15"/>
      <c r="C12" s="13"/>
      <c r="D12" s="13"/>
    </row>
    <row r="13" spans="1:7" ht="15" x14ac:dyDescent="0.2">
      <c r="A13" s="828" t="s">
        <v>809</v>
      </c>
      <c r="B13" s="829"/>
      <c r="C13" s="829"/>
      <c r="D13" s="830"/>
    </row>
    <row r="14" spans="1:7" ht="31.5" customHeight="1" x14ac:dyDescent="0.2">
      <c r="A14" s="861" t="s">
        <v>690</v>
      </c>
      <c r="B14" s="862"/>
      <c r="C14" s="862"/>
      <c r="D14" s="863"/>
    </row>
    <row r="15" spans="1:7" x14ac:dyDescent="0.2">
      <c r="G15" s="57"/>
    </row>
  </sheetData>
  <mergeCells count="10">
    <mergeCell ref="E2:F2"/>
    <mergeCell ref="E3:F3"/>
    <mergeCell ref="A1:F1"/>
    <mergeCell ref="A14:D14"/>
    <mergeCell ref="A13:D13"/>
    <mergeCell ref="A2:B2"/>
    <mergeCell ref="C2:D2"/>
    <mergeCell ref="A3:A4"/>
    <mergeCell ref="B3:B4"/>
    <mergeCell ref="C3:D3"/>
  </mergeCells>
  <pageMargins left="0.7" right="0.7" top="0.75" bottom="0.75" header="0.3" footer="0.3"/>
  <pageSetup paperSize="9" scale="7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N14"/>
  <sheetViews>
    <sheetView zoomScaleNormal="100" workbookViewId="0">
      <pane xSplit="1" ySplit="5" topLeftCell="B6" activePane="bottomRight" state="frozen"/>
      <selection pane="topRight" activeCell="B1" sqref="B1"/>
      <selection pane="bottomLeft" activeCell="A6" sqref="A6"/>
      <selection pane="bottomRight" activeCell="H11" sqref="H11"/>
    </sheetView>
  </sheetViews>
  <sheetFormatPr defaultColWidth="9.140625" defaultRowHeight="15.75" x14ac:dyDescent="0.2"/>
  <cols>
    <col min="1" max="1" width="8.85546875" style="42" customWidth="1"/>
    <col min="2" max="2" width="20.5703125" style="42" customWidth="1"/>
    <col min="3" max="3" width="18.28515625" style="42" customWidth="1"/>
    <col min="4" max="4" width="15.85546875" style="42" customWidth="1"/>
    <col min="5" max="5" width="15.7109375" style="42" customWidth="1"/>
    <col min="6" max="6" width="14.5703125" style="42" customWidth="1"/>
    <col min="7" max="7" width="18.7109375" style="42" customWidth="1"/>
    <col min="8" max="8" width="20.28515625" style="42" customWidth="1"/>
    <col min="9" max="9" width="18" style="42" customWidth="1"/>
    <col min="10" max="10" width="17.85546875" style="42" customWidth="1"/>
    <col min="11" max="11" width="16.85546875" style="42" customWidth="1"/>
    <col min="12" max="12" width="17" style="42" customWidth="1"/>
    <col min="13" max="13" width="17.7109375" style="42" customWidth="1"/>
    <col min="14" max="14" width="47.85546875" style="42" customWidth="1"/>
    <col min="15" max="16384" width="9.140625" style="42"/>
  </cols>
  <sheetData>
    <row r="1" spans="1:14" s="436" customFormat="1" ht="35.1" customHeight="1" thickBot="1" x14ac:dyDescent="0.25">
      <c r="A1" s="949" t="s">
        <v>653</v>
      </c>
      <c r="B1" s="950"/>
      <c r="C1" s="950"/>
      <c r="D1" s="950"/>
      <c r="E1" s="950"/>
      <c r="F1" s="950"/>
      <c r="G1" s="950"/>
      <c r="H1" s="950"/>
      <c r="I1" s="950"/>
      <c r="J1" s="950"/>
      <c r="K1" s="950"/>
      <c r="L1" s="950"/>
      <c r="M1" s="951"/>
    </row>
    <row r="2" spans="1:14" s="436" customFormat="1" ht="42.75" customHeight="1" x14ac:dyDescent="0.2">
      <c r="A2" s="821" t="s">
        <v>960</v>
      </c>
      <c r="B2" s="877"/>
      <c r="C2" s="877"/>
      <c r="D2" s="877"/>
      <c r="E2" s="877"/>
      <c r="F2" s="877"/>
      <c r="G2" s="877"/>
      <c r="H2" s="877"/>
      <c r="I2" s="877"/>
      <c r="J2" s="877"/>
      <c r="K2" s="877"/>
      <c r="L2" s="877"/>
      <c r="M2" s="878"/>
    </row>
    <row r="3" spans="1:14" s="436" customFormat="1" ht="45.75" customHeight="1" x14ac:dyDescent="0.2">
      <c r="A3" s="954" t="s">
        <v>80</v>
      </c>
      <c r="B3" s="956" t="s">
        <v>627</v>
      </c>
      <c r="C3" s="956"/>
      <c r="D3" s="956"/>
      <c r="E3" s="956"/>
      <c r="F3" s="956"/>
      <c r="G3" s="956"/>
      <c r="H3" s="956" t="s">
        <v>654</v>
      </c>
      <c r="I3" s="956"/>
      <c r="J3" s="956"/>
      <c r="K3" s="956"/>
      <c r="L3" s="956"/>
      <c r="M3" s="957"/>
    </row>
    <row r="4" spans="1:14" s="440" customFormat="1" ht="171.75" customHeight="1" x14ac:dyDescent="0.2">
      <c r="A4" s="955"/>
      <c r="B4" s="437" t="s">
        <v>485</v>
      </c>
      <c r="C4" s="437" t="s">
        <v>486</v>
      </c>
      <c r="D4" s="437" t="s">
        <v>84</v>
      </c>
      <c r="E4" s="437" t="s">
        <v>28</v>
      </c>
      <c r="F4" s="437" t="s">
        <v>830</v>
      </c>
      <c r="G4" s="437" t="s">
        <v>78</v>
      </c>
      <c r="H4" s="437" t="s">
        <v>485</v>
      </c>
      <c r="I4" s="437" t="s">
        <v>486</v>
      </c>
      <c r="J4" s="437" t="s">
        <v>84</v>
      </c>
      <c r="K4" s="437" t="s">
        <v>28</v>
      </c>
      <c r="L4" s="438" t="s">
        <v>831</v>
      </c>
      <c r="M4" s="439" t="s">
        <v>78</v>
      </c>
    </row>
    <row r="5" spans="1:14" s="436" customFormat="1" x14ac:dyDescent="0.2">
      <c r="A5" s="441"/>
      <c r="B5" s="438" t="s">
        <v>118</v>
      </c>
      <c r="C5" s="438" t="s">
        <v>119</v>
      </c>
      <c r="D5" s="438" t="s">
        <v>120</v>
      </c>
      <c r="E5" s="438" t="s">
        <v>126</v>
      </c>
      <c r="F5" s="438" t="s">
        <v>121</v>
      </c>
      <c r="G5" s="438" t="s">
        <v>465</v>
      </c>
      <c r="H5" s="438" t="s">
        <v>123</v>
      </c>
      <c r="I5" s="438" t="s">
        <v>124</v>
      </c>
      <c r="J5" s="438" t="s">
        <v>125</v>
      </c>
      <c r="K5" s="438" t="s">
        <v>466</v>
      </c>
      <c r="L5" s="440" t="s">
        <v>467</v>
      </c>
      <c r="M5" s="439" t="s">
        <v>509</v>
      </c>
    </row>
    <row r="6" spans="1:14" ht="66.75" customHeight="1" thickBot="1" x14ac:dyDescent="0.25">
      <c r="A6" s="53">
        <v>1</v>
      </c>
      <c r="B6" s="130">
        <f>17809523.86</f>
        <v>17809523.859999999</v>
      </c>
      <c r="C6" s="130">
        <f>20125707.51</f>
        <v>20125707.510000002</v>
      </c>
      <c r="D6" s="130">
        <f>4187290.83+947324.67</f>
        <v>5134615.5</v>
      </c>
      <c r="E6" s="130">
        <f>2026780.18</f>
        <v>2026780.18</v>
      </c>
      <c r="F6" s="130">
        <f>47681486.01-45096627.05</f>
        <v>2584858.9600000009</v>
      </c>
      <c r="G6" s="131">
        <f>SUM(B6:F6)</f>
        <v>47681486.010000005</v>
      </c>
      <c r="H6" s="130">
        <f>17696813.52</f>
        <v>17696813.52</v>
      </c>
      <c r="I6" s="130">
        <f>23034575.4</f>
        <v>23034575.399999999</v>
      </c>
      <c r="J6" s="130">
        <f>3914308.81+1745428.83</f>
        <v>5659737.6400000006</v>
      </c>
      <c r="K6" s="130">
        <f>2177515.31</f>
        <v>2177515.31</v>
      </c>
      <c r="L6" s="130">
        <f>51174126.74-48568641.87</f>
        <v>2605484.8700000048</v>
      </c>
      <c r="M6" s="132">
        <f>SUM(H6:L6)</f>
        <v>51174126.74000001</v>
      </c>
      <c r="N6" s="627"/>
    </row>
    <row r="7" spans="1:14" x14ac:dyDescent="0.2">
      <c r="H7" s="704"/>
      <c r="I7" s="704"/>
    </row>
    <row r="8" spans="1:14" x14ac:dyDescent="0.2">
      <c r="H8" s="236"/>
      <c r="I8" s="632"/>
    </row>
    <row r="9" spans="1:14" ht="15.75" customHeight="1" x14ac:dyDescent="0.2">
      <c r="B9" s="209"/>
      <c r="C9" s="209"/>
    </row>
    <row r="10" spans="1:14" x14ac:dyDescent="0.2">
      <c r="H10" s="626"/>
      <c r="I10" s="626"/>
    </row>
    <row r="11" spans="1:14" x14ac:dyDescent="0.2">
      <c r="B11" s="209"/>
      <c r="C11" s="209"/>
    </row>
    <row r="13" spans="1:14" x14ac:dyDescent="0.2">
      <c r="B13" s="952"/>
      <c r="C13" s="952"/>
      <c r="D13" s="952"/>
      <c r="E13" s="952"/>
    </row>
    <row r="14" spans="1:14" x14ac:dyDescent="0.2">
      <c r="B14" s="953"/>
      <c r="C14" s="953"/>
      <c r="D14" s="953"/>
      <c r="E14" s="953"/>
    </row>
  </sheetData>
  <mergeCells count="7">
    <mergeCell ref="A1:M1"/>
    <mergeCell ref="A2:M2"/>
    <mergeCell ref="B13:E13"/>
    <mergeCell ref="B14:E14"/>
    <mergeCell ref="A3:A4"/>
    <mergeCell ref="B3:G3"/>
    <mergeCell ref="H3:M3"/>
  </mergeCells>
  <phoneticPr fontId="21" type="noConversion"/>
  <pageMargins left="0.4" right="0.27" top="0.98425196850393704" bottom="0.98425196850393704" header="0.51181102362204722" footer="0.51181102362204722"/>
  <pageSetup paperSize="9" scale="65" orientation="landscape" r:id="rId1"/>
  <headerFooter alignWithMargins="0"/>
  <ignoredErrors>
    <ignoredError sqref="G6"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5"/>
  <sheetViews>
    <sheetView zoomScaleNormal="100" workbookViewId="0">
      <pane xSplit="3" ySplit="3" topLeftCell="D31" activePane="bottomRight" state="frozen"/>
      <selection pane="topRight" activeCell="D1" sqref="D1"/>
      <selection pane="bottomLeft" activeCell="A4" sqref="A4"/>
      <selection pane="bottomRight" activeCell="K26" sqref="K26"/>
    </sheetView>
  </sheetViews>
  <sheetFormatPr defaultColWidth="9.140625" defaultRowHeight="15.75" x14ac:dyDescent="0.2"/>
  <cols>
    <col min="1" max="1" width="7.28515625" style="105" customWidth="1"/>
    <col min="2" max="2" width="39.85546875" style="105" customWidth="1"/>
    <col min="3" max="3" width="9.42578125" style="105" customWidth="1"/>
    <col min="4" max="4" width="18.42578125" style="105" customWidth="1"/>
    <col min="5" max="5" width="16.7109375" style="105" customWidth="1"/>
    <col min="6" max="6" width="15.42578125" style="105" customWidth="1"/>
    <col min="7" max="7" width="10" style="105" bestFit="1" customWidth="1"/>
    <col min="8" max="16384" width="9.140625" style="105"/>
  </cols>
  <sheetData>
    <row r="1" spans="1:6" s="442" customFormat="1" ht="50.1" customHeight="1" thickBot="1" x14ac:dyDescent="0.25">
      <c r="A1" s="964" t="s">
        <v>655</v>
      </c>
      <c r="B1" s="965"/>
      <c r="C1" s="965"/>
      <c r="D1" s="965"/>
      <c r="E1" s="965"/>
      <c r="F1" s="966"/>
    </row>
    <row r="2" spans="1:6" s="442" customFormat="1" ht="36.75" customHeight="1" thickBot="1" x14ac:dyDescent="0.25">
      <c r="A2" s="967" t="s">
        <v>984</v>
      </c>
      <c r="B2" s="968"/>
      <c r="C2" s="968"/>
      <c r="D2" s="968"/>
      <c r="E2" s="968"/>
      <c r="F2" s="969"/>
    </row>
    <row r="3" spans="1:6" s="446" customFormat="1" ht="69" customHeight="1" thickBot="1" x14ac:dyDescent="0.25">
      <c r="A3" s="233" t="s">
        <v>322</v>
      </c>
      <c r="B3" s="233" t="s">
        <v>196</v>
      </c>
      <c r="C3" s="443" t="s">
        <v>80</v>
      </c>
      <c r="D3" s="443" t="s">
        <v>656</v>
      </c>
      <c r="E3" s="444" t="s">
        <v>657</v>
      </c>
      <c r="F3" s="445" t="s">
        <v>631</v>
      </c>
    </row>
    <row r="4" spans="1:6" s="446" customFormat="1" x14ac:dyDescent="0.2">
      <c r="A4" s="447"/>
      <c r="B4" s="232"/>
      <c r="C4" s="448"/>
      <c r="D4" s="448" t="s">
        <v>118</v>
      </c>
      <c r="E4" s="449" t="s">
        <v>119</v>
      </c>
      <c r="F4" s="450" t="s">
        <v>120</v>
      </c>
    </row>
    <row r="5" spans="1:6" customFormat="1" ht="15.75" customHeight="1" x14ac:dyDescent="0.25">
      <c r="A5" s="467">
        <v>601</v>
      </c>
      <c r="B5" s="451" t="s">
        <v>390</v>
      </c>
      <c r="C5" s="468" t="s">
        <v>391</v>
      </c>
      <c r="D5" s="643">
        <v>121570.83</v>
      </c>
      <c r="E5" s="119">
        <v>467720.82</v>
      </c>
      <c r="F5" s="123">
        <f>E5-D5</f>
        <v>346149.99</v>
      </c>
    </row>
    <row r="6" spans="1:6" customFormat="1" ht="15.75" customHeight="1" x14ac:dyDescent="0.25">
      <c r="A6" s="469">
        <v>602</v>
      </c>
      <c r="B6" s="452" t="s">
        <v>392</v>
      </c>
      <c r="C6" s="470" t="s">
        <v>393</v>
      </c>
      <c r="D6" s="644">
        <v>570252.28</v>
      </c>
      <c r="E6" s="120">
        <v>855192.49</v>
      </c>
      <c r="F6" s="123">
        <f t="shared" ref="F6:F39" si="0">E6-D6</f>
        <v>284940.20999999996</v>
      </c>
    </row>
    <row r="7" spans="1:6" customFormat="1" ht="15.75" customHeight="1" x14ac:dyDescent="0.25">
      <c r="A7" s="469">
        <v>604</v>
      </c>
      <c r="B7" s="453" t="s">
        <v>394</v>
      </c>
      <c r="C7" s="470" t="s">
        <v>395</v>
      </c>
      <c r="D7" s="644"/>
      <c r="E7" s="120"/>
      <c r="F7" s="123">
        <f t="shared" si="0"/>
        <v>0</v>
      </c>
    </row>
    <row r="8" spans="1:6" customFormat="1" ht="15.75" customHeight="1" x14ac:dyDescent="0.25">
      <c r="A8" s="469">
        <v>611</v>
      </c>
      <c r="B8" s="452" t="s">
        <v>810</v>
      </c>
      <c r="C8" s="470" t="s">
        <v>396</v>
      </c>
      <c r="D8" s="644"/>
      <c r="E8" s="120"/>
      <c r="F8" s="123">
        <f t="shared" si="0"/>
        <v>0</v>
      </c>
    </row>
    <row r="9" spans="1:6" customFormat="1" ht="15.75" customHeight="1" x14ac:dyDescent="0.25">
      <c r="A9" s="469">
        <v>612</v>
      </c>
      <c r="B9" s="452" t="s">
        <v>397</v>
      </c>
      <c r="C9" s="470" t="s">
        <v>398</v>
      </c>
      <c r="D9" s="644"/>
      <c r="E9" s="120"/>
      <c r="F9" s="123">
        <f t="shared" si="0"/>
        <v>0</v>
      </c>
    </row>
    <row r="10" spans="1:6" customFormat="1" ht="15.75" customHeight="1" x14ac:dyDescent="0.25">
      <c r="A10" s="469">
        <v>613</v>
      </c>
      <c r="B10" s="452" t="s">
        <v>399</v>
      </c>
      <c r="C10" s="470" t="s">
        <v>400</v>
      </c>
      <c r="D10" s="644"/>
      <c r="E10" s="120"/>
      <c r="F10" s="123">
        <f t="shared" si="0"/>
        <v>0</v>
      </c>
    </row>
    <row r="11" spans="1:6" customFormat="1" ht="15.75" customHeight="1" x14ac:dyDescent="0.25">
      <c r="A11" s="469">
        <v>614</v>
      </c>
      <c r="B11" s="452" t="s">
        <v>401</v>
      </c>
      <c r="C11" s="470" t="s">
        <v>402</v>
      </c>
      <c r="D11" s="644"/>
      <c r="E11" s="120"/>
      <c r="F11" s="123">
        <f t="shared" si="0"/>
        <v>0</v>
      </c>
    </row>
    <row r="12" spans="1:6" customFormat="1" ht="15.75" customHeight="1" x14ac:dyDescent="0.25">
      <c r="A12" s="469">
        <v>621</v>
      </c>
      <c r="B12" s="452" t="s">
        <v>403</v>
      </c>
      <c r="C12" s="470" t="s">
        <v>404</v>
      </c>
      <c r="D12" s="644"/>
      <c r="E12" s="120"/>
      <c r="F12" s="123">
        <f t="shared" si="0"/>
        <v>0</v>
      </c>
    </row>
    <row r="13" spans="1:6" customFormat="1" ht="15.75" customHeight="1" x14ac:dyDescent="0.25">
      <c r="A13" s="469">
        <v>622</v>
      </c>
      <c r="B13" s="452" t="s">
        <v>405</v>
      </c>
      <c r="C13" s="470" t="s">
        <v>406</v>
      </c>
      <c r="D13" s="644"/>
      <c r="E13" s="120"/>
      <c r="F13" s="123">
        <f t="shared" si="0"/>
        <v>0</v>
      </c>
    </row>
    <row r="14" spans="1:6" customFormat="1" ht="15.75" customHeight="1" x14ac:dyDescent="0.25">
      <c r="A14" s="469">
        <v>623</v>
      </c>
      <c r="B14" s="452" t="s">
        <v>812</v>
      </c>
      <c r="C14" s="470" t="s">
        <v>407</v>
      </c>
      <c r="D14" s="644"/>
      <c r="E14" s="120"/>
      <c r="F14" s="123">
        <f t="shared" si="0"/>
        <v>0</v>
      </c>
    </row>
    <row r="15" spans="1:6" customFormat="1" ht="15.75" customHeight="1" x14ac:dyDescent="0.25">
      <c r="A15" s="469">
        <v>624</v>
      </c>
      <c r="B15" s="452" t="s">
        <v>813</v>
      </c>
      <c r="C15" s="470" t="s">
        <v>408</v>
      </c>
      <c r="D15" s="644"/>
      <c r="E15" s="120"/>
      <c r="F15" s="123">
        <f t="shared" si="0"/>
        <v>0</v>
      </c>
    </row>
    <row r="16" spans="1:6" customFormat="1" ht="15.75" customHeight="1" x14ac:dyDescent="0.25">
      <c r="A16" s="469">
        <v>641</v>
      </c>
      <c r="B16" s="452" t="s">
        <v>352</v>
      </c>
      <c r="C16" s="470" t="s">
        <v>409</v>
      </c>
      <c r="D16" s="644"/>
      <c r="E16" s="120"/>
      <c r="F16" s="123">
        <f t="shared" si="0"/>
        <v>0</v>
      </c>
    </row>
    <row r="17" spans="1:13" customFormat="1" ht="15.75" customHeight="1" x14ac:dyDescent="0.25">
      <c r="A17" s="469">
        <v>642</v>
      </c>
      <c r="B17" s="452" t="s">
        <v>354</v>
      </c>
      <c r="C17" s="470" t="s">
        <v>410</v>
      </c>
      <c r="D17" s="644"/>
      <c r="E17" s="120"/>
      <c r="F17" s="123">
        <f t="shared" si="0"/>
        <v>0</v>
      </c>
    </row>
    <row r="18" spans="1:13" customFormat="1" ht="15.75" customHeight="1" x14ac:dyDescent="0.25">
      <c r="A18" s="469">
        <v>643</v>
      </c>
      <c r="B18" s="452" t="s">
        <v>411</v>
      </c>
      <c r="C18" s="470" t="s">
        <v>412</v>
      </c>
      <c r="D18" s="644"/>
      <c r="E18" s="120"/>
      <c r="F18" s="123">
        <f t="shared" si="0"/>
        <v>0</v>
      </c>
    </row>
    <row r="19" spans="1:13" customFormat="1" ht="15.75" customHeight="1" x14ac:dyDescent="0.25">
      <c r="A19" s="469">
        <v>644</v>
      </c>
      <c r="B19" s="452" t="s">
        <v>358</v>
      </c>
      <c r="C19" s="470" t="s">
        <v>413</v>
      </c>
      <c r="D19" s="644"/>
      <c r="E19" s="120"/>
      <c r="F19" s="123">
        <f t="shared" si="0"/>
        <v>0</v>
      </c>
    </row>
    <row r="20" spans="1:13" customFormat="1" ht="15.75" customHeight="1" x14ac:dyDescent="0.25">
      <c r="A20" s="469">
        <v>645</v>
      </c>
      <c r="B20" s="452" t="s">
        <v>414</v>
      </c>
      <c r="C20" s="470" t="s">
        <v>415</v>
      </c>
      <c r="D20" s="644"/>
      <c r="E20" s="120"/>
      <c r="F20" s="123">
        <f t="shared" si="0"/>
        <v>0</v>
      </c>
    </row>
    <row r="21" spans="1:13" customFormat="1" ht="15.75" customHeight="1" x14ac:dyDescent="0.25">
      <c r="A21" s="469">
        <v>646</v>
      </c>
      <c r="B21" s="452" t="s">
        <v>416</v>
      </c>
      <c r="C21" s="470" t="s">
        <v>417</v>
      </c>
      <c r="D21" s="644"/>
      <c r="E21" s="120"/>
      <c r="F21" s="123">
        <f t="shared" si="0"/>
        <v>0</v>
      </c>
    </row>
    <row r="22" spans="1:13" customFormat="1" ht="15.75" customHeight="1" x14ac:dyDescent="0.25">
      <c r="A22" s="469">
        <v>647</v>
      </c>
      <c r="B22" s="452" t="s">
        <v>418</v>
      </c>
      <c r="C22" s="470" t="s">
        <v>419</v>
      </c>
      <c r="D22" s="644"/>
      <c r="E22" s="120"/>
      <c r="F22" s="123">
        <f t="shared" si="0"/>
        <v>0</v>
      </c>
      <c r="G22" s="208"/>
    </row>
    <row r="23" spans="1:13" customFormat="1" ht="15.75" customHeight="1" x14ac:dyDescent="0.25">
      <c r="A23" s="469">
        <v>648</v>
      </c>
      <c r="B23" s="454" t="s">
        <v>572</v>
      </c>
      <c r="C23" s="470" t="s">
        <v>420</v>
      </c>
      <c r="D23" s="645">
        <v>119941</v>
      </c>
      <c r="E23" s="645">
        <f>'T4-Výnosy zo školného'!D18</f>
        <v>85985.06</v>
      </c>
      <c r="F23" s="123">
        <f t="shared" si="0"/>
        <v>-33955.94</v>
      </c>
      <c r="H23" s="690"/>
      <c r="I23" s="690"/>
    </row>
    <row r="24" spans="1:13" customFormat="1" ht="15.75" customHeight="1" x14ac:dyDescent="0.25">
      <c r="A24" s="469">
        <v>649</v>
      </c>
      <c r="B24" s="452" t="s">
        <v>421</v>
      </c>
      <c r="C24" s="470" t="s">
        <v>422</v>
      </c>
      <c r="D24" s="644">
        <f>15313.9+65458.38</f>
        <v>80772.28</v>
      </c>
      <c r="E24" s="120">
        <v>9429.9500000000007</v>
      </c>
      <c r="F24" s="123">
        <f t="shared" si="0"/>
        <v>-71342.33</v>
      </c>
    </row>
    <row r="25" spans="1:13" customFormat="1" ht="15.75" customHeight="1" x14ac:dyDescent="0.25">
      <c r="A25" s="469">
        <v>651</v>
      </c>
      <c r="B25" s="452" t="s">
        <v>423</v>
      </c>
      <c r="C25" s="470" t="s">
        <v>424</v>
      </c>
      <c r="D25" s="644"/>
      <c r="E25" s="120"/>
      <c r="F25" s="123">
        <f t="shared" si="0"/>
        <v>0</v>
      </c>
    </row>
    <row r="26" spans="1:13" customFormat="1" ht="15.75" customHeight="1" x14ac:dyDescent="0.25">
      <c r="A26" s="469">
        <v>652</v>
      </c>
      <c r="B26" s="452" t="s">
        <v>814</v>
      </c>
      <c r="C26" s="470" t="s">
        <v>425</v>
      </c>
      <c r="D26" s="644"/>
      <c r="E26" s="120"/>
      <c r="F26" s="123">
        <f t="shared" si="0"/>
        <v>0</v>
      </c>
    </row>
    <row r="27" spans="1:13" customFormat="1" ht="15.75" customHeight="1" x14ac:dyDescent="0.25">
      <c r="A27" s="469">
        <v>653</v>
      </c>
      <c r="B27" s="452" t="s">
        <v>426</v>
      </c>
      <c r="C27" s="470" t="s">
        <v>427</v>
      </c>
      <c r="D27" s="644"/>
      <c r="E27" s="120"/>
      <c r="F27" s="123">
        <f t="shared" si="0"/>
        <v>0</v>
      </c>
    </row>
    <row r="28" spans="1:13" customFormat="1" ht="15.75" customHeight="1" x14ac:dyDescent="0.25">
      <c r="A28" s="469">
        <v>654</v>
      </c>
      <c r="B28" s="452" t="s">
        <v>428</v>
      </c>
      <c r="C28" s="470" t="s">
        <v>429</v>
      </c>
      <c r="D28" s="644"/>
      <c r="E28" s="120"/>
      <c r="F28" s="123">
        <f t="shared" si="0"/>
        <v>0</v>
      </c>
    </row>
    <row r="29" spans="1:13" customFormat="1" ht="15.75" customHeight="1" x14ac:dyDescent="0.25">
      <c r="A29" s="469">
        <v>655</v>
      </c>
      <c r="B29" s="452" t="s">
        <v>815</v>
      </c>
      <c r="C29" s="470" t="s">
        <v>430</v>
      </c>
      <c r="D29" s="644"/>
      <c r="E29" s="120"/>
      <c r="F29" s="123">
        <f t="shared" si="0"/>
        <v>0</v>
      </c>
    </row>
    <row r="30" spans="1:13" customFormat="1" ht="15.75" customHeight="1" x14ac:dyDescent="0.25">
      <c r="A30" s="471">
        <v>656</v>
      </c>
      <c r="B30" s="452" t="s">
        <v>431</v>
      </c>
      <c r="C30" s="470" t="s">
        <v>432</v>
      </c>
      <c r="D30" s="645">
        <v>67146</v>
      </c>
      <c r="E30" s="645">
        <f>'T3-Výnosy'!E57</f>
        <v>89072.9</v>
      </c>
      <c r="F30" s="123">
        <f t="shared" si="0"/>
        <v>21926.899999999994</v>
      </c>
      <c r="G30" s="705"/>
      <c r="H30" s="57"/>
      <c r="I30" s="57"/>
      <c r="J30" s="57"/>
      <c r="K30" s="57"/>
      <c r="L30" s="57"/>
      <c r="M30" s="57"/>
    </row>
    <row r="31" spans="1:13" customFormat="1" ht="15.75" customHeight="1" x14ac:dyDescent="0.25">
      <c r="A31" s="471">
        <v>657</v>
      </c>
      <c r="B31" s="452" t="s">
        <v>433</v>
      </c>
      <c r="C31" s="470" t="s">
        <v>434</v>
      </c>
      <c r="D31" s="644"/>
      <c r="E31" s="120"/>
      <c r="F31" s="123">
        <f t="shared" si="0"/>
        <v>0</v>
      </c>
    </row>
    <row r="32" spans="1:13" customFormat="1" ht="15.75" customHeight="1" x14ac:dyDescent="0.25">
      <c r="A32" s="471">
        <v>658</v>
      </c>
      <c r="B32" s="452" t="s">
        <v>435</v>
      </c>
      <c r="C32" s="470" t="s">
        <v>436</v>
      </c>
      <c r="D32" s="644"/>
      <c r="E32" s="120"/>
      <c r="F32" s="123">
        <f t="shared" si="0"/>
        <v>0</v>
      </c>
    </row>
    <row r="33" spans="1:7" customFormat="1" ht="15.75" customHeight="1" x14ac:dyDescent="0.25">
      <c r="A33" s="471">
        <v>661</v>
      </c>
      <c r="B33" s="452" t="s">
        <v>437</v>
      </c>
      <c r="C33" s="470" t="s">
        <v>438</v>
      </c>
      <c r="D33" s="644"/>
      <c r="E33" s="120"/>
      <c r="F33" s="123">
        <f t="shared" si="0"/>
        <v>0</v>
      </c>
      <c r="G33" s="208"/>
    </row>
    <row r="34" spans="1:7" customFormat="1" ht="15.75" customHeight="1" x14ac:dyDescent="0.25">
      <c r="A34" s="471">
        <v>662</v>
      </c>
      <c r="B34" s="452" t="s">
        <v>439</v>
      </c>
      <c r="C34" s="470" t="s">
        <v>440</v>
      </c>
      <c r="D34" s="644"/>
      <c r="E34" s="120"/>
      <c r="F34" s="123">
        <f t="shared" si="0"/>
        <v>0</v>
      </c>
    </row>
    <row r="35" spans="1:7" customFormat="1" ht="15.75" customHeight="1" x14ac:dyDescent="0.25">
      <c r="A35" s="471">
        <v>663</v>
      </c>
      <c r="B35" s="452" t="s">
        <v>441</v>
      </c>
      <c r="C35" s="470" t="s">
        <v>442</v>
      </c>
      <c r="D35" s="644"/>
      <c r="E35" s="120"/>
      <c r="F35" s="123">
        <f t="shared" si="0"/>
        <v>0</v>
      </c>
    </row>
    <row r="36" spans="1:7" customFormat="1" ht="15.75" customHeight="1" x14ac:dyDescent="0.25">
      <c r="A36" s="471">
        <v>664</v>
      </c>
      <c r="B36" s="452" t="s">
        <v>443</v>
      </c>
      <c r="C36" s="470" t="s">
        <v>444</v>
      </c>
      <c r="D36" s="646"/>
      <c r="E36" s="121"/>
      <c r="F36" s="123">
        <f t="shared" si="0"/>
        <v>0</v>
      </c>
      <c r="G36" s="208"/>
    </row>
    <row r="37" spans="1:7" customFormat="1" ht="15.75" customHeight="1" x14ac:dyDescent="0.25">
      <c r="A37" s="471">
        <v>665</v>
      </c>
      <c r="B37" s="452" t="s">
        <v>445</v>
      </c>
      <c r="C37" s="470" t="s">
        <v>446</v>
      </c>
      <c r="D37" s="646"/>
      <c r="E37" s="121"/>
      <c r="F37" s="123">
        <f t="shared" si="0"/>
        <v>0</v>
      </c>
    </row>
    <row r="38" spans="1:7" ht="15.75" customHeight="1" x14ac:dyDescent="0.25">
      <c r="A38" s="471">
        <v>667</v>
      </c>
      <c r="B38" s="452" t="s">
        <v>447</v>
      </c>
      <c r="C38" s="470" t="s">
        <v>448</v>
      </c>
      <c r="D38" s="646"/>
      <c r="E38" s="121"/>
      <c r="F38" s="123">
        <f t="shared" si="0"/>
        <v>0</v>
      </c>
      <c r="G38" s="208"/>
    </row>
    <row r="39" spans="1:7" ht="15.75" customHeight="1" x14ac:dyDescent="0.25">
      <c r="A39" s="471">
        <v>691</v>
      </c>
      <c r="B39" s="452" t="s">
        <v>449</v>
      </c>
      <c r="C39" s="470" t="s">
        <v>450</v>
      </c>
      <c r="D39" s="647">
        <v>2019708.16</v>
      </c>
      <c r="E39" s="121">
        <f>1286608.34+5031</f>
        <v>1291639.3400000001</v>
      </c>
      <c r="F39" s="123">
        <f t="shared" si="0"/>
        <v>-728068.81999999983</v>
      </c>
    </row>
    <row r="40" spans="1:7" x14ac:dyDescent="0.2">
      <c r="A40" s="958" t="s">
        <v>451</v>
      </c>
      <c r="B40" s="959"/>
      <c r="C40" s="472" t="s">
        <v>452</v>
      </c>
      <c r="D40" s="118">
        <f>SUM(D5:D39)</f>
        <v>2979390.55</v>
      </c>
      <c r="E40" s="122">
        <f>SUM(E5:E39)</f>
        <v>2799040.56</v>
      </c>
      <c r="F40" s="123">
        <f>SUM(F5:F39)</f>
        <v>-180349.98999999976</v>
      </c>
    </row>
    <row r="41" spans="1:7" x14ac:dyDescent="0.2">
      <c r="A41" s="960" t="s">
        <v>453</v>
      </c>
      <c r="B41" s="961"/>
      <c r="C41" s="473" t="s">
        <v>454</v>
      </c>
      <c r="D41" s="26">
        <f>D40-T23_Náklady_soc_oblasť!D42</f>
        <v>593728.01999999955</v>
      </c>
      <c r="E41" s="138">
        <f>E40-T23_Náklady_soc_oblasť!E42</f>
        <v>-272994.79999999981</v>
      </c>
      <c r="F41" s="123">
        <f>F40-T23_Náklady_soc_oblasť!F42</f>
        <v>-866722.81999999983</v>
      </c>
    </row>
    <row r="42" spans="1:7" x14ac:dyDescent="0.25">
      <c r="A42" s="471">
        <v>591</v>
      </c>
      <c r="B42" s="452" t="s">
        <v>455</v>
      </c>
      <c r="C42" s="470" t="s">
        <v>456</v>
      </c>
      <c r="D42" s="116"/>
      <c r="E42" s="120"/>
      <c r="F42" s="123">
        <f>E42-D42</f>
        <v>0</v>
      </c>
    </row>
    <row r="43" spans="1:7" x14ac:dyDescent="0.25">
      <c r="A43" s="471">
        <v>595</v>
      </c>
      <c r="B43" s="452" t="s">
        <v>457</v>
      </c>
      <c r="C43" s="470" t="s">
        <v>458</v>
      </c>
      <c r="D43" s="116"/>
      <c r="E43" s="120"/>
      <c r="F43" s="123">
        <f>E43-D43</f>
        <v>0</v>
      </c>
    </row>
    <row r="44" spans="1:7" ht="16.5" thickBot="1" x14ac:dyDescent="0.25">
      <c r="A44" s="962" t="s">
        <v>459</v>
      </c>
      <c r="B44" s="963"/>
      <c r="C44" s="474" t="s">
        <v>460</v>
      </c>
      <c r="D44" s="186">
        <f>D41-D42-D43</f>
        <v>593728.01999999955</v>
      </c>
      <c r="E44" s="186">
        <f>E41-E42-E43</f>
        <v>-272994.79999999981</v>
      </c>
      <c r="F44" s="185">
        <f>E44-D44</f>
        <v>-866722.81999999937</v>
      </c>
    </row>
    <row r="45" spans="1:7" x14ac:dyDescent="0.2">
      <c r="B45" s="696"/>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6" orientation="portrait" r:id="rId1"/>
  <headerFooter alignWithMargins="0"/>
  <ignoredErrors>
    <ignoredError sqref="C5:C4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zoomScaleNormal="100" workbookViewId="0">
      <pane xSplit="3" ySplit="3" topLeftCell="D28" activePane="bottomRight" state="frozen"/>
      <selection pane="topRight" activeCell="D1" sqref="D1"/>
      <selection pane="bottomLeft" activeCell="A4" sqref="A4"/>
      <selection pane="bottomRight" activeCell="G43" sqref="G43"/>
    </sheetView>
  </sheetViews>
  <sheetFormatPr defaultRowHeight="12.75" x14ac:dyDescent="0.2"/>
  <cols>
    <col min="1" max="1" width="8.28515625" customWidth="1"/>
    <col min="2" max="2" width="42.7109375" customWidth="1"/>
    <col min="3" max="3" width="10.140625" customWidth="1"/>
    <col min="4" max="4" width="17.42578125" customWidth="1"/>
    <col min="5" max="5" width="17.140625" customWidth="1"/>
    <col min="6" max="6" width="16.5703125" customWidth="1"/>
    <col min="7" max="7" width="26.7109375" customWidth="1"/>
  </cols>
  <sheetData>
    <row r="1" spans="1:6" s="418" customFormat="1" ht="50.1" customHeight="1" thickBot="1" x14ac:dyDescent="0.25">
      <c r="A1" s="973" t="s">
        <v>821</v>
      </c>
      <c r="B1" s="974"/>
      <c r="C1" s="974"/>
      <c r="D1" s="974"/>
      <c r="E1" s="974"/>
      <c r="F1" s="975"/>
    </row>
    <row r="2" spans="1:6" s="418" customFormat="1" ht="47.25" customHeight="1" thickBot="1" x14ac:dyDescent="0.25">
      <c r="A2" s="970" t="s">
        <v>965</v>
      </c>
      <c r="B2" s="971"/>
      <c r="C2" s="971"/>
      <c r="D2" s="971"/>
      <c r="E2" s="971"/>
      <c r="F2" s="972"/>
    </row>
    <row r="3" spans="1:6" s="418" customFormat="1" ht="64.5" customHeight="1" thickBot="1" x14ac:dyDescent="0.25">
      <c r="A3" s="233" t="s">
        <v>322</v>
      </c>
      <c r="B3" s="233" t="s">
        <v>196</v>
      </c>
      <c r="C3" s="234" t="s">
        <v>80</v>
      </c>
      <c r="D3" s="443" t="s">
        <v>628</v>
      </c>
      <c r="E3" s="444" t="s">
        <v>658</v>
      </c>
      <c r="F3" s="445" t="s">
        <v>631</v>
      </c>
    </row>
    <row r="4" spans="1:6" s="418" customFormat="1" ht="15.75" x14ac:dyDescent="0.2">
      <c r="A4" s="447"/>
      <c r="B4" s="232"/>
      <c r="C4" s="232"/>
      <c r="D4" s="448" t="s">
        <v>118</v>
      </c>
      <c r="E4" s="449" t="s">
        <v>119</v>
      </c>
      <c r="F4" s="450" t="s">
        <v>120</v>
      </c>
    </row>
    <row r="5" spans="1:6" ht="15.75" customHeight="1" x14ac:dyDescent="0.25">
      <c r="A5" s="455">
        <v>501</v>
      </c>
      <c r="B5" s="456" t="s">
        <v>323</v>
      </c>
      <c r="C5" s="457" t="s">
        <v>324</v>
      </c>
      <c r="D5" s="643">
        <v>217870.65</v>
      </c>
      <c r="E5" s="119">
        <v>678784.43</v>
      </c>
      <c r="F5" s="123">
        <f>E5-D5</f>
        <v>460913.78</v>
      </c>
    </row>
    <row r="6" spans="1:6" ht="15.75" customHeight="1" x14ac:dyDescent="0.25">
      <c r="A6" s="458">
        <v>502</v>
      </c>
      <c r="B6" s="459" t="s">
        <v>325</v>
      </c>
      <c r="C6" s="460" t="s">
        <v>326</v>
      </c>
      <c r="D6" s="644">
        <v>339841.76</v>
      </c>
      <c r="E6" s="120">
        <v>438690.81</v>
      </c>
      <c r="F6" s="187">
        <f t="shared" ref="F6:F41" si="0">E6-D6</f>
        <v>98849.049999999988</v>
      </c>
    </row>
    <row r="7" spans="1:6" ht="15.75" customHeight="1" x14ac:dyDescent="0.25">
      <c r="A7" s="458">
        <v>504</v>
      </c>
      <c r="B7" s="459" t="s">
        <v>327</v>
      </c>
      <c r="C7" s="460" t="s">
        <v>328</v>
      </c>
      <c r="D7" s="644"/>
      <c r="E7" s="120">
        <v>2693.4</v>
      </c>
      <c r="F7" s="187">
        <f t="shared" si="0"/>
        <v>2693.4</v>
      </c>
    </row>
    <row r="8" spans="1:6" ht="15.75" customHeight="1" x14ac:dyDescent="0.25">
      <c r="A8" s="458">
        <v>511</v>
      </c>
      <c r="B8" s="459" t="s">
        <v>329</v>
      </c>
      <c r="C8" s="460" t="s">
        <v>330</v>
      </c>
      <c r="D8" s="644">
        <v>45398.2</v>
      </c>
      <c r="E8" s="120">
        <v>67598.600000000006</v>
      </c>
      <c r="F8" s="187">
        <f t="shared" si="0"/>
        <v>22200.400000000009</v>
      </c>
    </row>
    <row r="9" spans="1:6" ht="15.75" customHeight="1" x14ac:dyDescent="0.25">
      <c r="A9" s="458">
        <v>512</v>
      </c>
      <c r="B9" s="459" t="s">
        <v>331</v>
      </c>
      <c r="C9" s="460" t="s">
        <v>332</v>
      </c>
      <c r="D9" s="644"/>
      <c r="E9" s="120">
        <v>0</v>
      </c>
      <c r="F9" s="187">
        <f t="shared" si="0"/>
        <v>0</v>
      </c>
    </row>
    <row r="10" spans="1:6" ht="15.75" customHeight="1" x14ac:dyDescent="0.25">
      <c r="A10" s="458">
        <v>513</v>
      </c>
      <c r="B10" s="459" t="s">
        <v>333</v>
      </c>
      <c r="C10" s="460" t="s">
        <v>334</v>
      </c>
      <c r="D10" s="644">
        <v>30</v>
      </c>
      <c r="E10" s="120">
        <v>76.599999999999994</v>
      </c>
      <c r="F10" s="187">
        <f t="shared" si="0"/>
        <v>46.599999999999994</v>
      </c>
    </row>
    <row r="11" spans="1:6" ht="15.75" customHeight="1" x14ac:dyDescent="0.25">
      <c r="A11" s="458">
        <v>518</v>
      </c>
      <c r="B11" s="459" t="s">
        <v>335</v>
      </c>
      <c r="C11" s="460" t="s">
        <v>336</v>
      </c>
      <c r="D11" s="644">
        <f>64131.02+108203.67+1473.3</f>
        <v>173807.99</v>
      </c>
      <c r="E11" s="120">
        <v>107423.44</v>
      </c>
      <c r="F11" s="187">
        <f t="shared" si="0"/>
        <v>-66384.549999999988</v>
      </c>
    </row>
    <row r="12" spans="1:6" ht="15.75" customHeight="1" x14ac:dyDescent="0.25">
      <c r="A12" s="458">
        <v>521</v>
      </c>
      <c r="B12" s="459" t="s">
        <v>337</v>
      </c>
      <c r="C12" s="460" t="s">
        <v>338</v>
      </c>
      <c r="D12" s="644">
        <v>967800.07</v>
      </c>
      <c r="E12" s="120">
        <v>1075375.68</v>
      </c>
      <c r="F12" s="187">
        <f t="shared" si="0"/>
        <v>107575.60999999999</v>
      </c>
    </row>
    <row r="13" spans="1:6" ht="15.75" customHeight="1" x14ac:dyDescent="0.25">
      <c r="A13" s="458">
        <v>524</v>
      </c>
      <c r="B13" s="459" t="s">
        <v>811</v>
      </c>
      <c r="C13" s="460" t="s">
        <v>339</v>
      </c>
      <c r="D13" s="644">
        <v>338750.97</v>
      </c>
      <c r="E13" s="120">
        <v>377897.56</v>
      </c>
      <c r="F13" s="187">
        <f t="shared" si="0"/>
        <v>39146.590000000026</v>
      </c>
    </row>
    <row r="14" spans="1:6" ht="15.75" customHeight="1" x14ac:dyDescent="0.25">
      <c r="A14" s="458">
        <v>525</v>
      </c>
      <c r="B14" s="459" t="s">
        <v>340</v>
      </c>
      <c r="C14" s="460" t="s">
        <v>341</v>
      </c>
      <c r="D14" s="644">
        <v>20769.18</v>
      </c>
      <c r="E14" s="120">
        <v>19977.88</v>
      </c>
      <c r="F14" s="187">
        <f t="shared" si="0"/>
        <v>-791.29999999999927</v>
      </c>
    </row>
    <row r="15" spans="1:6" ht="15.75" customHeight="1" x14ac:dyDescent="0.25">
      <c r="A15" s="458">
        <v>527</v>
      </c>
      <c r="B15" s="459" t="s">
        <v>342</v>
      </c>
      <c r="C15" s="460" t="s">
        <v>343</v>
      </c>
      <c r="D15" s="644">
        <v>47472.639999999999</v>
      </c>
      <c r="E15" s="120">
        <v>70136.539999999994</v>
      </c>
      <c r="F15" s="187">
        <f t="shared" si="0"/>
        <v>22663.899999999994</v>
      </c>
    </row>
    <row r="16" spans="1:6" ht="15.75" customHeight="1" x14ac:dyDescent="0.25">
      <c r="A16" s="458">
        <v>528</v>
      </c>
      <c r="B16" s="459" t="s">
        <v>344</v>
      </c>
      <c r="C16" s="460" t="s">
        <v>345</v>
      </c>
      <c r="D16" s="644"/>
      <c r="E16" s="120">
        <v>0</v>
      </c>
      <c r="F16" s="187">
        <f t="shared" si="0"/>
        <v>0</v>
      </c>
    </row>
    <row r="17" spans="1:7" ht="15.75" customHeight="1" x14ac:dyDescent="0.25">
      <c r="A17" s="458">
        <v>531</v>
      </c>
      <c r="B17" s="459" t="s">
        <v>346</v>
      </c>
      <c r="C17" s="460" t="s">
        <v>347</v>
      </c>
      <c r="D17" s="644"/>
      <c r="E17" s="120">
        <v>0</v>
      </c>
      <c r="F17" s="187">
        <f t="shared" si="0"/>
        <v>0</v>
      </c>
    </row>
    <row r="18" spans="1:7" ht="15.75" customHeight="1" x14ac:dyDescent="0.25">
      <c r="A18" s="458">
        <v>532</v>
      </c>
      <c r="B18" s="459" t="s">
        <v>348</v>
      </c>
      <c r="C18" s="460" t="s">
        <v>349</v>
      </c>
      <c r="D18" s="644">
        <v>31943.95</v>
      </c>
      <c r="E18" s="120">
        <v>31785.82</v>
      </c>
      <c r="F18" s="187">
        <f t="shared" si="0"/>
        <v>-158.13000000000102</v>
      </c>
    </row>
    <row r="19" spans="1:7" ht="15.75" customHeight="1" x14ac:dyDescent="0.25">
      <c r="A19" s="458">
        <v>538</v>
      </c>
      <c r="B19" s="459" t="s">
        <v>350</v>
      </c>
      <c r="C19" s="460" t="s">
        <v>351</v>
      </c>
      <c r="D19" s="644">
        <v>0</v>
      </c>
      <c r="E19" s="120">
        <v>50</v>
      </c>
      <c r="F19" s="187">
        <f t="shared" si="0"/>
        <v>50</v>
      </c>
    </row>
    <row r="20" spans="1:7" ht="15.75" customHeight="1" x14ac:dyDescent="0.25">
      <c r="A20" s="458">
        <v>541</v>
      </c>
      <c r="B20" s="459" t="s">
        <v>352</v>
      </c>
      <c r="C20" s="460" t="s">
        <v>353</v>
      </c>
      <c r="D20" s="644"/>
      <c r="E20" s="120"/>
      <c r="F20" s="187">
        <f t="shared" si="0"/>
        <v>0</v>
      </c>
    </row>
    <row r="21" spans="1:7" ht="15.75" customHeight="1" x14ac:dyDescent="0.25">
      <c r="A21" s="458">
        <v>542</v>
      </c>
      <c r="B21" s="459" t="s">
        <v>354</v>
      </c>
      <c r="C21" s="460" t="s">
        <v>355</v>
      </c>
      <c r="D21" s="644"/>
      <c r="E21" s="120"/>
      <c r="F21" s="187">
        <f t="shared" si="0"/>
        <v>0</v>
      </c>
    </row>
    <row r="22" spans="1:7" ht="15.75" customHeight="1" x14ac:dyDescent="0.25">
      <c r="A22" s="458">
        <v>543</v>
      </c>
      <c r="B22" s="459" t="s">
        <v>356</v>
      </c>
      <c r="C22" s="460" t="s">
        <v>357</v>
      </c>
      <c r="D22" s="644"/>
      <c r="E22" s="120"/>
      <c r="F22" s="187">
        <f t="shared" si="0"/>
        <v>0</v>
      </c>
    </row>
    <row r="23" spans="1:7" ht="15.75" customHeight="1" x14ac:dyDescent="0.25">
      <c r="A23" s="458">
        <v>544</v>
      </c>
      <c r="B23" s="459" t="s">
        <v>358</v>
      </c>
      <c r="C23" s="460" t="s">
        <v>359</v>
      </c>
      <c r="D23" s="644"/>
      <c r="E23" s="120"/>
      <c r="F23" s="187">
        <f t="shared" si="0"/>
        <v>0</v>
      </c>
    </row>
    <row r="24" spans="1:7" ht="15.75" customHeight="1" x14ac:dyDescent="0.25">
      <c r="A24" s="458">
        <v>545</v>
      </c>
      <c r="B24" s="459" t="s">
        <v>360</v>
      </c>
      <c r="C24" s="460" t="s">
        <v>361</v>
      </c>
      <c r="D24" s="644"/>
      <c r="E24" s="120"/>
      <c r="F24" s="187">
        <f t="shared" si="0"/>
        <v>0</v>
      </c>
    </row>
    <row r="25" spans="1:7" ht="15.75" customHeight="1" x14ac:dyDescent="0.25">
      <c r="A25" s="458">
        <v>546</v>
      </c>
      <c r="B25" s="459" t="s">
        <v>362</v>
      </c>
      <c r="C25" s="460" t="s">
        <v>363</v>
      </c>
      <c r="D25" s="644"/>
      <c r="E25" s="120"/>
      <c r="F25" s="187">
        <f t="shared" si="0"/>
        <v>0</v>
      </c>
    </row>
    <row r="26" spans="1:7" ht="15.75" customHeight="1" x14ac:dyDescent="0.25">
      <c r="A26" s="458">
        <v>547</v>
      </c>
      <c r="B26" s="459" t="s">
        <v>364</v>
      </c>
      <c r="C26" s="460" t="s">
        <v>365</v>
      </c>
      <c r="D26" s="644"/>
      <c r="E26" s="120"/>
      <c r="F26" s="187">
        <f t="shared" si="0"/>
        <v>0</v>
      </c>
    </row>
    <row r="27" spans="1:7" ht="15.75" customHeight="1" x14ac:dyDescent="0.25">
      <c r="A27" s="458">
        <v>548</v>
      </c>
      <c r="B27" s="459" t="s">
        <v>366</v>
      </c>
      <c r="C27" s="460" t="s">
        <v>367</v>
      </c>
      <c r="D27" s="644"/>
      <c r="E27" s="120"/>
      <c r="F27" s="187">
        <f t="shared" si="0"/>
        <v>0</v>
      </c>
    </row>
    <row r="28" spans="1:7" ht="117" customHeight="1" x14ac:dyDescent="0.25">
      <c r="A28" s="458">
        <v>549</v>
      </c>
      <c r="B28" s="459" t="s">
        <v>368</v>
      </c>
      <c r="C28" s="460" t="s">
        <v>369</v>
      </c>
      <c r="D28" s="645">
        <v>67146</v>
      </c>
      <c r="E28" s="645">
        <v>89072.9</v>
      </c>
      <c r="F28" s="187">
        <f t="shared" si="0"/>
        <v>21926.899999999994</v>
      </c>
      <c r="G28" s="667"/>
    </row>
    <row r="29" spans="1:7" ht="15.75" customHeight="1" x14ac:dyDescent="0.25">
      <c r="A29" s="458">
        <v>551</v>
      </c>
      <c r="B29" s="459" t="s">
        <v>370</v>
      </c>
      <c r="C29" s="460" t="s">
        <v>371</v>
      </c>
      <c r="D29" s="644">
        <v>14890.12</v>
      </c>
      <c r="E29" s="120">
        <v>26486.639999999999</v>
      </c>
      <c r="F29" s="187">
        <f t="shared" si="0"/>
        <v>11596.519999999999</v>
      </c>
    </row>
    <row r="30" spans="1:7" ht="15.75" customHeight="1" x14ac:dyDescent="0.25">
      <c r="A30" s="461">
        <v>552</v>
      </c>
      <c r="B30" s="459" t="s">
        <v>471</v>
      </c>
      <c r="C30" s="460" t="s">
        <v>372</v>
      </c>
      <c r="D30" s="644"/>
      <c r="E30" s="120"/>
      <c r="F30" s="187">
        <f t="shared" si="0"/>
        <v>0</v>
      </c>
    </row>
    <row r="31" spans="1:7" ht="15.75" customHeight="1" x14ac:dyDescent="0.25">
      <c r="A31" s="461">
        <v>553</v>
      </c>
      <c r="B31" s="459" t="s">
        <v>373</v>
      </c>
      <c r="C31" s="460" t="s">
        <v>374</v>
      </c>
      <c r="D31" s="644"/>
      <c r="E31" s="120"/>
      <c r="F31" s="187">
        <f t="shared" si="0"/>
        <v>0</v>
      </c>
    </row>
    <row r="32" spans="1:7" ht="15.75" customHeight="1" x14ac:dyDescent="0.25">
      <c r="A32" s="461">
        <v>554</v>
      </c>
      <c r="B32" s="459" t="s">
        <v>375</v>
      </c>
      <c r="C32" s="460" t="s">
        <v>376</v>
      </c>
      <c r="D32" s="644"/>
      <c r="E32" s="120"/>
      <c r="F32" s="187">
        <f t="shared" si="0"/>
        <v>0</v>
      </c>
    </row>
    <row r="33" spans="1:7" ht="15.75" customHeight="1" x14ac:dyDescent="0.25">
      <c r="A33" s="461">
        <v>555</v>
      </c>
      <c r="B33" s="459" t="s">
        <v>820</v>
      </c>
      <c r="C33" s="460" t="s">
        <v>377</v>
      </c>
      <c r="D33" s="644"/>
      <c r="E33" s="120"/>
      <c r="F33" s="187">
        <f t="shared" si="0"/>
        <v>0</v>
      </c>
      <c r="G33" s="208"/>
    </row>
    <row r="34" spans="1:7" ht="15.75" customHeight="1" x14ac:dyDescent="0.25">
      <c r="A34" s="461">
        <v>556</v>
      </c>
      <c r="B34" s="459" t="s">
        <v>378</v>
      </c>
      <c r="C34" s="460" t="s">
        <v>379</v>
      </c>
      <c r="D34" s="645">
        <v>119941</v>
      </c>
      <c r="E34" s="645">
        <f>'T5 - Analýza nákladov'!E97</f>
        <v>85985.06</v>
      </c>
      <c r="F34" s="187">
        <f t="shared" si="0"/>
        <v>-33955.94</v>
      </c>
    </row>
    <row r="35" spans="1:7" ht="15.75" customHeight="1" x14ac:dyDescent="0.25">
      <c r="A35" s="461">
        <v>557</v>
      </c>
      <c r="B35" s="459" t="s">
        <v>380</v>
      </c>
      <c r="C35" s="460" t="s">
        <v>381</v>
      </c>
      <c r="D35" s="644"/>
      <c r="E35" s="120"/>
      <c r="F35" s="187">
        <f t="shared" si="0"/>
        <v>0</v>
      </c>
    </row>
    <row r="36" spans="1:7" ht="15.75" customHeight="1" x14ac:dyDescent="0.25">
      <c r="A36" s="461">
        <v>558</v>
      </c>
      <c r="B36" s="459" t="s">
        <v>819</v>
      </c>
      <c r="C36" s="460" t="s">
        <v>382</v>
      </c>
      <c r="D36" s="644"/>
      <c r="E36" s="120"/>
      <c r="F36" s="187">
        <f t="shared" si="0"/>
        <v>0</v>
      </c>
    </row>
    <row r="37" spans="1:7" ht="15.75" customHeight="1" x14ac:dyDescent="0.25">
      <c r="A37" s="461">
        <v>561</v>
      </c>
      <c r="B37" s="459" t="s">
        <v>818</v>
      </c>
      <c r="C37" s="460" t="s">
        <v>383</v>
      </c>
      <c r="D37" s="644"/>
      <c r="E37" s="120"/>
      <c r="F37" s="187">
        <f t="shared" si="0"/>
        <v>0</v>
      </c>
      <c r="G37" s="208"/>
    </row>
    <row r="38" spans="1:7" ht="15.75" customHeight="1" x14ac:dyDescent="0.25">
      <c r="A38" s="461">
        <v>562</v>
      </c>
      <c r="B38" s="459" t="s">
        <v>817</v>
      </c>
      <c r="C38" s="460" t="s">
        <v>384</v>
      </c>
      <c r="D38" s="644"/>
      <c r="E38" s="120"/>
      <c r="F38" s="187">
        <f t="shared" si="0"/>
        <v>0</v>
      </c>
    </row>
    <row r="39" spans="1:7" ht="15.75" customHeight="1" x14ac:dyDescent="0.25">
      <c r="A39" s="461">
        <v>563</v>
      </c>
      <c r="B39" s="459" t="s">
        <v>816</v>
      </c>
      <c r="C39" s="460" t="s">
        <v>385</v>
      </c>
      <c r="D39" s="644"/>
      <c r="E39" s="120"/>
      <c r="F39" s="187">
        <f t="shared" si="0"/>
        <v>0</v>
      </c>
    </row>
    <row r="40" spans="1:7" ht="15.75" customHeight="1" x14ac:dyDescent="0.25">
      <c r="A40" s="462">
        <v>565</v>
      </c>
      <c r="B40" s="463" t="s">
        <v>470</v>
      </c>
      <c r="C40" s="460" t="s">
        <v>386</v>
      </c>
      <c r="D40" s="646"/>
      <c r="E40" s="121"/>
      <c r="F40" s="187">
        <f t="shared" si="0"/>
        <v>0</v>
      </c>
      <c r="G40" s="208"/>
    </row>
    <row r="41" spans="1:7" ht="15.75" customHeight="1" thickBot="1" x14ac:dyDescent="0.3">
      <c r="A41" s="462">
        <v>567</v>
      </c>
      <c r="B41" s="464" t="s">
        <v>387</v>
      </c>
      <c r="C41" s="465" t="s">
        <v>388</v>
      </c>
      <c r="D41" s="646"/>
      <c r="E41" s="121"/>
      <c r="F41" s="188">
        <f t="shared" si="0"/>
        <v>0</v>
      </c>
      <c r="G41" s="208"/>
    </row>
    <row r="42" spans="1:7" ht="24.75" customHeight="1" thickBot="1" x14ac:dyDescent="0.25">
      <c r="A42" s="976" t="s">
        <v>484</v>
      </c>
      <c r="B42" s="977"/>
      <c r="C42" s="466" t="s">
        <v>389</v>
      </c>
      <c r="D42" s="117">
        <f>SUM(D5:D41)</f>
        <v>2385662.5300000003</v>
      </c>
      <c r="E42" s="184">
        <f>SUM(E5:E41)</f>
        <v>3072035.36</v>
      </c>
      <c r="F42" s="189">
        <f>SUM(F5:F41)</f>
        <v>686372.83000000007</v>
      </c>
    </row>
    <row r="43" spans="1:7" x14ac:dyDescent="0.2">
      <c r="B43" s="106"/>
      <c r="C43" s="106"/>
      <c r="D43" s="106"/>
      <c r="E43" s="106"/>
      <c r="G43" s="206"/>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5" orientation="portrait" r:id="rId1"/>
  <ignoredErrors>
    <ignoredError sqref="C5:C42"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6"/>
  <sheetViews>
    <sheetView zoomScaleNormal="100" workbookViewId="0">
      <selection activeCell="F20" sqref="F20"/>
    </sheetView>
  </sheetViews>
  <sheetFormatPr defaultRowHeight="12.75" x14ac:dyDescent="0.2"/>
  <cols>
    <col min="1" max="1" width="8.140625" customWidth="1"/>
    <col min="2" max="2" width="62.5703125" customWidth="1"/>
    <col min="3" max="3" width="15.7109375" customWidth="1"/>
    <col min="4" max="5" width="17.140625" customWidth="1"/>
    <col min="6" max="6" width="15.7109375" customWidth="1"/>
    <col min="7" max="10" width="16.85546875" customWidth="1"/>
    <col min="11" max="11" width="15.7109375" customWidth="1"/>
  </cols>
  <sheetData>
    <row r="1" spans="1:11" ht="49.9" customHeight="1" thickBot="1" x14ac:dyDescent="0.25">
      <c r="A1" s="925" t="s">
        <v>850</v>
      </c>
      <c r="B1" s="926"/>
      <c r="C1" s="926"/>
      <c r="D1" s="926"/>
      <c r="E1" s="926"/>
      <c r="F1" s="926"/>
      <c r="G1" s="926"/>
      <c r="H1" s="926"/>
      <c r="I1" s="926"/>
      <c r="J1" s="926"/>
      <c r="K1" s="927"/>
    </row>
    <row r="2" spans="1:11" ht="15.75" x14ac:dyDescent="0.2">
      <c r="A2" s="821" t="s">
        <v>984</v>
      </c>
      <c r="B2" s="822"/>
      <c r="C2" s="987" t="s">
        <v>851</v>
      </c>
      <c r="D2" s="988"/>
      <c r="E2" s="988"/>
      <c r="F2" s="988"/>
      <c r="G2" s="988"/>
      <c r="H2" s="988"/>
      <c r="I2" s="988"/>
      <c r="J2" s="988"/>
      <c r="K2" s="989"/>
    </row>
    <row r="3" spans="1:11" ht="15.6" customHeight="1" x14ac:dyDescent="0.2">
      <c r="A3" s="819" t="s">
        <v>80</v>
      </c>
      <c r="B3" s="817" t="s">
        <v>845</v>
      </c>
      <c r="C3" s="980" t="s">
        <v>852</v>
      </c>
      <c r="D3" s="980" t="s">
        <v>853</v>
      </c>
      <c r="E3" s="980" t="s">
        <v>854</v>
      </c>
      <c r="F3" s="980" t="s">
        <v>857</v>
      </c>
      <c r="G3" s="980" t="s">
        <v>856</v>
      </c>
      <c r="H3" s="980" t="s">
        <v>855</v>
      </c>
      <c r="I3" s="980" t="s">
        <v>858</v>
      </c>
      <c r="J3" s="990" t="s">
        <v>859</v>
      </c>
      <c r="K3" s="982" t="s">
        <v>846</v>
      </c>
    </row>
    <row r="4" spans="1:11" ht="84" customHeight="1" x14ac:dyDescent="0.2">
      <c r="A4" s="820"/>
      <c r="B4" s="818"/>
      <c r="C4" s="981"/>
      <c r="D4" s="981"/>
      <c r="E4" s="981"/>
      <c r="F4" s="981"/>
      <c r="G4" s="981"/>
      <c r="H4" s="981"/>
      <c r="I4" s="981"/>
      <c r="J4" s="991"/>
      <c r="K4" s="983"/>
    </row>
    <row r="5" spans="1:11" ht="18.600000000000001" customHeight="1" x14ac:dyDescent="0.2">
      <c r="A5" s="978"/>
      <c r="B5" s="979"/>
      <c r="C5" s="491" t="s">
        <v>118</v>
      </c>
      <c r="D5" s="491" t="s">
        <v>119</v>
      </c>
      <c r="E5" s="491" t="s">
        <v>120</v>
      </c>
      <c r="F5" s="491" t="s">
        <v>126</v>
      </c>
      <c r="G5" s="491" t="s">
        <v>121</v>
      </c>
      <c r="H5" s="491" t="s">
        <v>122</v>
      </c>
      <c r="I5" s="491" t="s">
        <v>123</v>
      </c>
      <c r="J5" s="491" t="s">
        <v>124</v>
      </c>
      <c r="K5" s="486" t="s">
        <v>125</v>
      </c>
    </row>
    <row r="6" spans="1:11" ht="31.5" customHeight="1" x14ac:dyDescent="0.2">
      <c r="A6" s="19">
        <v>1</v>
      </c>
      <c r="B6" s="493" t="s">
        <v>876</v>
      </c>
      <c r="C6" s="81">
        <v>44990</v>
      </c>
      <c r="D6" s="81">
        <v>0</v>
      </c>
      <c r="E6" s="36">
        <f>C6-D6</f>
        <v>44990</v>
      </c>
      <c r="F6" s="81">
        <v>0</v>
      </c>
      <c r="G6" s="81">
        <v>0</v>
      </c>
      <c r="H6" s="36">
        <f>F6-G6+E6</f>
        <v>44990</v>
      </c>
      <c r="I6" s="81">
        <v>0</v>
      </c>
      <c r="J6" s="81">
        <v>5751</v>
      </c>
      <c r="K6" s="71">
        <f>I6-J6+H6</f>
        <v>39239</v>
      </c>
    </row>
    <row r="7" spans="1:11" ht="33" customHeight="1" x14ac:dyDescent="0.2">
      <c r="A7" s="19">
        <f>A6+1</f>
        <v>2</v>
      </c>
      <c r="B7" s="493" t="s">
        <v>876</v>
      </c>
      <c r="C7" s="81">
        <v>198220</v>
      </c>
      <c r="D7" s="81">
        <v>0</v>
      </c>
      <c r="E7" s="36">
        <f t="shared" ref="E7:E12" si="0">C7-D7</f>
        <v>198220</v>
      </c>
      <c r="F7" s="81">
        <v>0</v>
      </c>
      <c r="G7" s="81">
        <v>198220</v>
      </c>
      <c r="H7" s="36">
        <f t="shared" ref="H7:H12" si="1">F7-G7+E7</f>
        <v>0</v>
      </c>
      <c r="I7" s="81"/>
      <c r="J7" s="81"/>
      <c r="K7" s="71">
        <f t="shared" ref="K7:K12" si="2">I7-J7+H7</f>
        <v>0</v>
      </c>
    </row>
    <row r="8" spans="1:11" ht="33" customHeight="1" x14ac:dyDescent="0.2">
      <c r="A8" s="19">
        <f>A7+1</f>
        <v>3</v>
      </c>
      <c r="B8" s="493" t="s">
        <v>877</v>
      </c>
      <c r="C8" s="81"/>
      <c r="D8" s="81"/>
      <c r="E8" s="36">
        <f t="shared" si="0"/>
        <v>0</v>
      </c>
      <c r="F8" s="81">
        <v>2674943</v>
      </c>
      <c r="G8" s="81">
        <v>0</v>
      </c>
      <c r="H8" s="36">
        <f t="shared" si="1"/>
        <v>2674943</v>
      </c>
      <c r="I8" s="81">
        <v>0</v>
      </c>
      <c r="J8" s="81">
        <v>1400285</v>
      </c>
      <c r="K8" s="71">
        <f t="shared" si="2"/>
        <v>1274658</v>
      </c>
    </row>
    <row r="9" spans="1:11" ht="24" customHeight="1" x14ac:dyDescent="0.2">
      <c r="A9" s="19">
        <v>4</v>
      </c>
      <c r="B9" s="493" t="s">
        <v>878</v>
      </c>
      <c r="C9" s="81"/>
      <c r="D9" s="81"/>
      <c r="E9" s="36">
        <f t="shared" si="0"/>
        <v>0</v>
      </c>
      <c r="F9" s="81">
        <v>200000</v>
      </c>
      <c r="G9" s="81">
        <v>0</v>
      </c>
      <c r="H9" s="36">
        <f t="shared" si="1"/>
        <v>200000</v>
      </c>
      <c r="I9" s="81">
        <v>0</v>
      </c>
      <c r="J9" s="81">
        <v>53573</v>
      </c>
      <c r="K9" s="71">
        <f t="shared" si="2"/>
        <v>146427</v>
      </c>
    </row>
    <row r="10" spans="1:11" ht="28.5" customHeight="1" x14ac:dyDescent="0.2">
      <c r="A10" s="19">
        <v>5</v>
      </c>
      <c r="B10" s="493" t="s">
        <v>879</v>
      </c>
      <c r="C10" s="81"/>
      <c r="D10" s="81"/>
      <c r="E10" s="36">
        <f t="shared" si="0"/>
        <v>0</v>
      </c>
      <c r="F10" s="81">
        <v>290036</v>
      </c>
      <c r="G10" s="81">
        <v>0</v>
      </c>
      <c r="H10" s="36">
        <f t="shared" si="1"/>
        <v>290036</v>
      </c>
      <c r="I10" s="81">
        <v>0</v>
      </c>
      <c r="J10" s="81">
        <v>91175</v>
      </c>
      <c r="K10" s="71">
        <f>I10-J10+H10</f>
        <v>198861</v>
      </c>
    </row>
    <row r="11" spans="1:11" ht="32.25" customHeight="1" x14ac:dyDescent="0.2">
      <c r="A11" s="484">
        <v>6</v>
      </c>
      <c r="B11" s="497" t="s">
        <v>981</v>
      </c>
      <c r="C11" s="485"/>
      <c r="D11" s="485"/>
      <c r="E11" s="36">
        <f t="shared" si="0"/>
        <v>0</v>
      </c>
      <c r="F11" s="485"/>
      <c r="G11" s="485"/>
      <c r="H11" s="36">
        <f t="shared" si="1"/>
        <v>0</v>
      </c>
      <c r="I11" s="485">
        <v>20000</v>
      </c>
      <c r="J11" s="485">
        <v>12500</v>
      </c>
      <c r="K11" s="71">
        <f>I11-J11+H11</f>
        <v>7500</v>
      </c>
    </row>
    <row r="12" spans="1:11" ht="22.15" customHeight="1" thickBot="1" x14ac:dyDescent="0.25">
      <c r="A12" s="20" t="s">
        <v>78</v>
      </c>
      <c r="B12" s="365"/>
      <c r="C12" s="483">
        <f>C6+C7+C8+C9+C10+C11</f>
        <v>243210</v>
      </c>
      <c r="D12" s="483">
        <f>D6+D7+D8+D9+D10+D11</f>
        <v>0</v>
      </c>
      <c r="E12" s="37">
        <f t="shared" si="0"/>
        <v>243210</v>
      </c>
      <c r="F12" s="483">
        <f t="shared" ref="F12:J12" si="3">F6+F7+F8+F9+F10+F11</f>
        <v>3164979</v>
      </c>
      <c r="G12" s="483">
        <f t="shared" si="3"/>
        <v>198220</v>
      </c>
      <c r="H12" s="37">
        <f t="shared" si="1"/>
        <v>3209969</v>
      </c>
      <c r="I12" s="483">
        <f>I6+I7+I8+I9+I10+I11</f>
        <v>20000</v>
      </c>
      <c r="J12" s="483">
        <f t="shared" si="3"/>
        <v>1563284</v>
      </c>
      <c r="K12" s="73">
        <f t="shared" si="2"/>
        <v>1666685</v>
      </c>
    </row>
    <row r="13" spans="1:11" ht="15.75" x14ac:dyDescent="0.2">
      <c r="A13" s="13"/>
      <c r="B13" s="15"/>
      <c r="C13" s="13"/>
      <c r="D13" s="13"/>
      <c r="E13" s="13"/>
      <c r="F13" s="13"/>
      <c r="G13" s="13"/>
      <c r="H13" s="13"/>
      <c r="I13" s="13"/>
      <c r="J13" s="13"/>
      <c r="K13" s="13"/>
    </row>
    <row r="14" spans="1:11" ht="15" x14ac:dyDescent="0.2">
      <c r="B14" s="984" t="s">
        <v>874</v>
      </c>
      <c r="C14" s="985"/>
      <c r="D14" s="985"/>
      <c r="E14" s="986"/>
    </row>
    <row r="16" spans="1:11" x14ac:dyDescent="0.2">
      <c r="B16" s="206"/>
    </row>
  </sheetData>
  <mergeCells count="16">
    <mergeCell ref="A5:B5"/>
    <mergeCell ref="C3:C4"/>
    <mergeCell ref="K3:K4"/>
    <mergeCell ref="B14:E14"/>
    <mergeCell ref="A1:K1"/>
    <mergeCell ref="A2:B2"/>
    <mergeCell ref="C2:K2"/>
    <mergeCell ref="A3:A4"/>
    <mergeCell ref="B3:B4"/>
    <mergeCell ref="G3:G4"/>
    <mergeCell ref="D3:D4"/>
    <mergeCell ref="F3:F4"/>
    <mergeCell ref="J3:J4"/>
    <mergeCell ref="E3:E4"/>
    <mergeCell ref="H3:H4"/>
    <mergeCell ref="I3:I4"/>
  </mergeCells>
  <pageMargins left="0.7" right="0.7" top="0.75" bottom="0.75" header="0.3" footer="0.3"/>
  <pageSetup paperSize="9" scale="6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993" t="s">
        <v>319</v>
      </c>
      <c r="B1" s="994"/>
      <c r="C1" s="994"/>
      <c r="D1" s="994"/>
      <c r="E1" s="994"/>
      <c r="F1" s="995"/>
    </row>
    <row r="2" spans="1:6" ht="19.5" customHeight="1" x14ac:dyDescent="0.25">
      <c r="A2" s="992" t="s">
        <v>190</v>
      </c>
      <c r="B2" s="992"/>
      <c r="C2" s="992"/>
      <c r="D2" s="992"/>
      <c r="E2" s="992"/>
      <c r="F2" s="992"/>
    </row>
    <row r="3" spans="1:6" ht="42" customHeight="1" x14ac:dyDescent="0.2">
      <c r="A3" s="107" t="s">
        <v>197</v>
      </c>
      <c r="B3" s="108" t="s">
        <v>198</v>
      </c>
      <c r="C3" s="115" t="s">
        <v>321</v>
      </c>
      <c r="D3" s="108" t="s">
        <v>316</v>
      </c>
      <c r="E3" s="108" t="s">
        <v>317</v>
      </c>
      <c r="F3" s="108" t="s">
        <v>318</v>
      </c>
    </row>
    <row r="4" spans="1:6" ht="15.75" x14ac:dyDescent="0.25">
      <c r="A4" s="109" t="s">
        <v>199</v>
      </c>
      <c r="B4" s="109" t="s">
        <v>200</v>
      </c>
      <c r="C4" s="110"/>
      <c r="D4" s="110"/>
      <c r="E4" s="110"/>
      <c r="F4" s="110"/>
    </row>
    <row r="5" spans="1:6" ht="15.75" x14ac:dyDescent="0.25">
      <c r="A5" s="114" t="s">
        <v>201</v>
      </c>
      <c r="B5" s="109" t="s">
        <v>202</v>
      </c>
      <c r="C5" s="110"/>
      <c r="D5" s="110"/>
      <c r="E5" s="110"/>
      <c r="F5" s="110"/>
    </row>
    <row r="6" spans="1:6" ht="15.75" x14ac:dyDescent="0.25">
      <c r="A6" s="109" t="s">
        <v>203</v>
      </c>
      <c r="B6" s="109" t="s">
        <v>204</v>
      </c>
      <c r="C6" s="110"/>
      <c r="D6" s="110"/>
      <c r="E6" s="110"/>
      <c r="F6" s="110"/>
    </row>
    <row r="7" spans="1:6" ht="15.75" x14ac:dyDescent="0.25">
      <c r="A7" s="109" t="s">
        <v>205</v>
      </c>
      <c r="B7" s="109" t="s">
        <v>206</v>
      </c>
      <c r="C7" s="110"/>
      <c r="D7" s="110"/>
      <c r="E7" s="110"/>
      <c r="F7" s="110"/>
    </row>
    <row r="8" spans="1:6" ht="15.75" x14ac:dyDescent="0.25">
      <c r="A8" s="113" t="s">
        <v>320</v>
      </c>
      <c r="B8" s="109" t="s">
        <v>207</v>
      </c>
      <c r="C8" s="110"/>
      <c r="D8" s="110"/>
      <c r="E8" s="110"/>
      <c r="F8" s="110"/>
    </row>
    <row r="9" spans="1:6" ht="15.75" x14ac:dyDescent="0.25">
      <c r="A9" s="109" t="s">
        <v>208</v>
      </c>
      <c r="B9" s="109" t="s">
        <v>209</v>
      </c>
      <c r="C9" s="110"/>
      <c r="D9" s="110"/>
      <c r="E9" s="110"/>
      <c r="F9" s="110"/>
    </row>
    <row r="10" spans="1:6" ht="15.75" x14ac:dyDescent="0.25">
      <c r="A10" s="109" t="s">
        <v>210</v>
      </c>
      <c r="B10" s="109" t="s">
        <v>211</v>
      </c>
      <c r="C10" s="110"/>
      <c r="D10" s="110"/>
      <c r="E10" s="110"/>
      <c r="F10" s="110"/>
    </row>
    <row r="11" spans="1:6" ht="15.75" x14ac:dyDescent="0.25">
      <c r="A11" s="109" t="s">
        <v>212</v>
      </c>
      <c r="B11" s="109" t="s">
        <v>213</v>
      </c>
      <c r="C11" s="110"/>
      <c r="D11" s="110"/>
      <c r="E11" s="110"/>
      <c r="F11" s="110"/>
    </row>
    <row r="12" spans="1:6" ht="15.75" x14ac:dyDescent="0.25">
      <c r="A12" s="114" t="s">
        <v>214</v>
      </c>
      <c r="B12" s="109" t="s">
        <v>215</v>
      </c>
      <c r="C12" s="110"/>
      <c r="D12" s="110"/>
      <c r="E12" s="110"/>
      <c r="F12" s="110"/>
    </row>
    <row r="13" spans="1:6" ht="15.75" x14ac:dyDescent="0.25">
      <c r="A13" s="109" t="s">
        <v>216</v>
      </c>
      <c r="B13" s="109" t="s">
        <v>217</v>
      </c>
      <c r="C13" s="110"/>
      <c r="D13" s="110"/>
      <c r="E13" s="110"/>
      <c r="F13" s="110"/>
    </row>
    <row r="14" spans="1:6" ht="15.75" x14ac:dyDescent="0.25">
      <c r="A14" s="109" t="s">
        <v>218</v>
      </c>
      <c r="B14" s="109" t="s">
        <v>219</v>
      </c>
      <c r="C14" s="110"/>
      <c r="D14" s="110"/>
      <c r="E14" s="110"/>
      <c r="F14" s="110"/>
    </row>
    <row r="15" spans="1:6" ht="15.75" x14ac:dyDescent="0.25">
      <c r="A15" s="109" t="s">
        <v>220</v>
      </c>
      <c r="B15" s="109" t="s">
        <v>221</v>
      </c>
      <c r="C15" s="110"/>
      <c r="D15" s="110"/>
      <c r="E15" s="110"/>
      <c r="F15" s="110"/>
    </row>
    <row r="16" spans="1:6" ht="15.75" x14ac:dyDescent="0.25">
      <c r="A16" s="109" t="s">
        <v>222</v>
      </c>
      <c r="B16" s="109" t="s">
        <v>223</v>
      </c>
      <c r="C16" s="110"/>
      <c r="D16" s="110"/>
      <c r="E16" s="110"/>
      <c r="F16" s="110"/>
    </row>
    <row r="17" spans="1:6" ht="15.75" x14ac:dyDescent="0.25">
      <c r="A17" s="109" t="s">
        <v>224</v>
      </c>
      <c r="B17" s="109" t="s">
        <v>225</v>
      </c>
      <c r="C17" s="110"/>
      <c r="D17" s="110"/>
      <c r="E17" s="110"/>
      <c r="F17" s="110"/>
    </row>
    <row r="18" spans="1:6" ht="15.75" x14ac:dyDescent="0.25">
      <c r="A18" s="109" t="s">
        <v>226</v>
      </c>
      <c r="B18" s="109" t="s">
        <v>227</v>
      </c>
      <c r="C18" s="110"/>
      <c r="D18" s="110"/>
      <c r="E18" s="110"/>
      <c r="F18" s="110"/>
    </row>
    <row r="19" spans="1:6" ht="15.75" x14ac:dyDescent="0.25">
      <c r="A19" s="109" t="s">
        <v>228</v>
      </c>
      <c r="B19" s="109" t="s">
        <v>229</v>
      </c>
      <c r="C19" s="110"/>
      <c r="D19" s="110"/>
      <c r="E19" s="110"/>
      <c r="F19" s="110"/>
    </row>
    <row r="20" spans="1:6" ht="15.75" x14ac:dyDescent="0.25">
      <c r="A20" s="109" t="s">
        <v>230</v>
      </c>
      <c r="B20" s="109" t="s">
        <v>231</v>
      </c>
      <c r="C20" s="110"/>
      <c r="D20" s="110"/>
      <c r="E20" s="110"/>
      <c r="F20" s="110"/>
    </row>
    <row r="21" spans="1:6" ht="15.75" x14ac:dyDescent="0.25">
      <c r="A21" s="109" t="s">
        <v>232</v>
      </c>
      <c r="B21" s="109" t="s">
        <v>233</v>
      </c>
      <c r="C21" s="110"/>
      <c r="D21" s="110"/>
      <c r="E21" s="110"/>
      <c r="F21" s="110"/>
    </row>
    <row r="22" spans="1:6" ht="15.75" x14ac:dyDescent="0.25">
      <c r="A22" s="109" t="s">
        <v>234</v>
      </c>
      <c r="B22" s="109" t="s">
        <v>235</v>
      </c>
      <c r="C22" s="110"/>
      <c r="D22" s="110"/>
      <c r="E22" s="110"/>
      <c r="F22" s="110"/>
    </row>
    <row r="23" spans="1:6" ht="15.75" x14ac:dyDescent="0.25">
      <c r="A23" s="109" t="s">
        <v>236</v>
      </c>
      <c r="B23" s="109" t="s">
        <v>237</v>
      </c>
      <c r="C23" s="110"/>
      <c r="D23" s="110"/>
      <c r="E23" s="110"/>
      <c r="F23" s="110"/>
    </row>
    <row r="24" spans="1:6" ht="15.75" x14ac:dyDescent="0.25">
      <c r="A24" s="114" t="s">
        <v>238</v>
      </c>
      <c r="B24" s="109" t="s">
        <v>239</v>
      </c>
      <c r="C24" s="110"/>
      <c r="D24" s="110"/>
      <c r="E24" s="110"/>
      <c r="F24" s="110"/>
    </row>
    <row r="25" spans="1:6" ht="15.75" x14ac:dyDescent="0.25">
      <c r="A25" s="109" t="s">
        <v>240</v>
      </c>
      <c r="B25" s="109" t="s">
        <v>241</v>
      </c>
      <c r="C25" s="110"/>
      <c r="D25" s="110"/>
      <c r="E25" s="110"/>
      <c r="F25" s="110"/>
    </row>
    <row r="26" spans="1:6" ht="15.75" x14ac:dyDescent="0.25">
      <c r="A26" s="109" t="s">
        <v>242</v>
      </c>
      <c r="B26" s="109" t="s">
        <v>243</v>
      </c>
      <c r="C26" s="110"/>
      <c r="D26" s="110"/>
      <c r="E26" s="110"/>
      <c r="F26" s="110"/>
    </row>
    <row r="27" spans="1:6" ht="15.75" x14ac:dyDescent="0.25">
      <c r="A27" s="109" t="s">
        <v>244</v>
      </c>
      <c r="B27" s="109" t="s">
        <v>245</v>
      </c>
      <c r="C27" s="110"/>
      <c r="D27" s="110"/>
      <c r="E27" s="110"/>
      <c r="F27" s="110"/>
    </row>
    <row r="28" spans="1:6" ht="15.75" x14ac:dyDescent="0.25">
      <c r="A28" s="109" t="s">
        <v>246</v>
      </c>
      <c r="B28" s="109" t="s">
        <v>247</v>
      </c>
      <c r="C28" s="110"/>
      <c r="D28" s="110"/>
      <c r="E28" s="110"/>
      <c r="F28" s="110"/>
    </row>
    <row r="29" spans="1:6" ht="15.75" x14ac:dyDescent="0.25">
      <c r="A29" s="109" t="s">
        <v>248</v>
      </c>
      <c r="B29" s="109" t="s">
        <v>249</v>
      </c>
      <c r="C29" s="110"/>
      <c r="D29" s="110"/>
      <c r="E29" s="110"/>
      <c r="F29" s="110"/>
    </row>
    <row r="30" spans="1:6" ht="15.75" x14ac:dyDescent="0.25">
      <c r="A30" s="109" t="s">
        <v>250</v>
      </c>
      <c r="B30" s="109" t="s">
        <v>251</v>
      </c>
      <c r="C30" s="110"/>
      <c r="D30" s="110"/>
      <c r="E30" s="110"/>
      <c r="F30" s="110"/>
    </row>
    <row r="31" spans="1:6" ht="15.75" x14ac:dyDescent="0.25">
      <c r="A31" s="109" t="s">
        <v>252</v>
      </c>
      <c r="B31" s="109" t="s">
        <v>253</v>
      </c>
      <c r="C31" s="110"/>
      <c r="D31" s="110"/>
      <c r="E31" s="110"/>
      <c r="F31" s="110"/>
    </row>
    <row r="32" spans="1:6" ht="15.75" x14ac:dyDescent="0.25">
      <c r="A32" s="109" t="s">
        <v>254</v>
      </c>
      <c r="B32" s="109" t="s">
        <v>255</v>
      </c>
      <c r="C32" s="110"/>
      <c r="D32" s="110"/>
      <c r="E32" s="110"/>
      <c r="F32" s="110"/>
    </row>
    <row r="33" spans="1:6" ht="15.75" x14ac:dyDescent="0.25">
      <c r="A33" s="114" t="s">
        <v>256</v>
      </c>
      <c r="B33" s="109" t="s">
        <v>257</v>
      </c>
      <c r="C33" s="110"/>
      <c r="D33" s="110"/>
      <c r="E33" s="110"/>
      <c r="F33" s="110"/>
    </row>
    <row r="34" spans="1:6" ht="15.75" x14ac:dyDescent="0.25">
      <c r="A34" s="109" t="s">
        <v>258</v>
      </c>
      <c r="B34" s="109" t="s">
        <v>259</v>
      </c>
      <c r="C34" s="110"/>
      <c r="D34" s="110"/>
      <c r="E34" s="110"/>
      <c r="F34" s="110"/>
    </row>
    <row r="35" spans="1:6" ht="15.75" x14ac:dyDescent="0.25">
      <c r="A35" s="109" t="s">
        <v>260</v>
      </c>
      <c r="B35" s="109" t="s">
        <v>261</v>
      </c>
      <c r="C35" s="110"/>
      <c r="D35" s="110"/>
      <c r="E35" s="110"/>
      <c r="F35" s="110"/>
    </row>
    <row r="36" spans="1:6" ht="15.75" x14ac:dyDescent="0.25">
      <c r="A36" s="109" t="s">
        <v>262</v>
      </c>
      <c r="B36" s="109" t="s">
        <v>263</v>
      </c>
      <c r="C36" s="110"/>
      <c r="D36" s="110"/>
      <c r="E36" s="110"/>
      <c r="F36" s="110"/>
    </row>
    <row r="37" spans="1:6" ht="15.75" x14ac:dyDescent="0.25">
      <c r="A37" s="109" t="s">
        <v>264</v>
      </c>
      <c r="B37" s="109" t="s">
        <v>265</v>
      </c>
      <c r="C37" s="110"/>
      <c r="D37" s="110"/>
      <c r="E37" s="110"/>
      <c r="F37" s="110"/>
    </row>
    <row r="38" spans="1:6" ht="15.75" x14ac:dyDescent="0.25">
      <c r="A38" s="109" t="s">
        <v>266</v>
      </c>
      <c r="B38" s="109" t="s">
        <v>267</v>
      </c>
      <c r="C38" s="110"/>
      <c r="D38" s="110"/>
      <c r="E38" s="110"/>
      <c r="F38" s="110"/>
    </row>
    <row r="39" spans="1:6" ht="15.75" x14ac:dyDescent="0.25">
      <c r="A39" s="109" t="s">
        <v>268</v>
      </c>
      <c r="B39" s="109" t="s">
        <v>269</v>
      </c>
      <c r="C39" s="110"/>
      <c r="D39" s="110"/>
      <c r="E39" s="110"/>
      <c r="F39" s="110"/>
    </row>
    <row r="40" spans="1:6" ht="15.75" x14ac:dyDescent="0.25">
      <c r="A40" s="114" t="s">
        <v>270</v>
      </c>
      <c r="B40" s="109" t="s">
        <v>271</v>
      </c>
      <c r="C40" s="110"/>
      <c r="D40" s="110"/>
      <c r="E40" s="110"/>
      <c r="F40" s="110"/>
    </row>
    <row r="41" spans="1:6" ht="15.75" x14ac:dyDescent="0.25">
      <c r="A41" s="109" t="s">
        <v>272</v>
      </c>
      <c r="B41" s="109" t="s">
        <v>273</v>
      </c>
      <c r="C41" s="110"/>
      <c r="D41" s="110"/>
      <c r="E41" s="110"/>
      <c r="F41" s="110"/>
    </row>
    <row r="42" spans="1:6" ht="15.75" x14ac:dyDescent="0.25">
      <c r="A42" s="109" t="s">
        <v>274</v>
      </c>
      <c r="B42" s="109" t="s">
        <v>275</v>
      </c>
      <c r="C42" s="110"/>
      <c r="D42" s="110"/>
      <c r="E42" s="110"/>
      <c r="F42" s="110"/>
    </row>
    <row r="43" spans="1:6" ht="15.75" x14ac:dyDescent="0.25">
      <c r="A43" s="109" t="s">
        <v>276</v>
      </c>
      <c r="B43" s="109" t="s">
        <v>277</v>
      </c>
      <c r="C43" s="110"/>
      <c r="D43" s="110"/>
      <c r="E43" s="110"/>
      <c r="F43" s="110"/>
    </row>
    <row r="44" spans="1:6" ht="15.75" x14ac:dyDescent="0.25">
      <c r="A44" s="109" t="s">
        <v>278</v>
      </c>
      <c r="B44" s="109" t="s">
        <v>279</v>
      </c>
      <c r="C44" s="110"/>
      <c r="D44" s="110"/>
      <c r="E44" s="110"/>
      <c r="F44" s="110"/>
    </row>
    <row r="45" spans="1:6" ht="15.75" x14ac:dyDescent="0.25">
      <c r="A45" s="114" t="s">
        <v>280</v>
      </c>
      <c r="B45" s="109" t="s">
        <v>281</v>
      </c>
      <c r="C45" s="110"/>
      <c r="D45" s="110"/>
      <c r="E45" s="110"/>
      <c r="F45" s="110"/>
    </row>
    <row r="46" spans="1:6" ht="15.75" x14ac:dyDescent="0.25">
      <c r="A46" s="109" t="s">
        <v>282</v>
      </c>
      <c r="B46" s="109" t="s">
        <v>283</v>
      </c>
      <c r="C46" s="110"/>
      <c r="D46" s="110"/>
      <c r="E46" s="110"/>
      <c r="F46" s="110"/>
    </row>
    <row r="47" spans="1:6" ht="15.75" x14ac:dyDescent="0.25">
      <c r="A47" s="109" t="s">
        <v>274</v>
      </c>
      <c r="B47" s="109" t="s">
        <v>284</v>
      </c>
      <c r="C47" s="110"/>
      <c r="D47" s="110"/>
      <c r="E47" s="110"/>
      <c r="F47" s="110"/>
    </row>
    <row r="48" spans="1:6" ht="15.75" x14ac:dyDescent="0.25">
      <c r="A48" s="109" t="s">
        <v>285</v>
      </c>
      <c r="B48" s="109" t="s">
        <v>286</v>
      </c>
      <c r="C48" s="110"/>
      <c r="D48" s="110"/>
      <c r="E48" s="110"/>
      <c r="F48" s="110"/>
    </row>
    <row r="49" spans="1:6" ht="15.75" x14ac:dyDescent="0.25">
      <c r="A49" s="109" t="s">
        <v>287</v>
      </c>
      <c r="B49" s="109" t="s">
        <v>288</v>
      </c>
      <c r="C49" s="110"/>
      <c r="D49" s="110"/>
      <c r="E49" s="110"/>
      <c r="F49" s="110"/>
    </row>
    <row r="50" spans="1:6" ht="15.75" x14ac:dyDescent="0.25">
      <c r="A50" s="109" t="s">
        <v>289</v>
      </c>
      <c r="B50" s="109" t="s">
        <v>290</v>
      </c>
      <c r="C50" s="110"/>
      <c r="D50" s="110"/>
      <c r="E50" s="110"/>
      <c r="F50" s="110"/>
    </row>
    <row r="51" spans="1:6" ht="15.75" x14ac:dyDescent="0.25">
      <c r="A51" s="109" t="s">
        <v>276</v>
      </c>
      <c r="B51" s="109" t="s">
        <v>291</v>
      </c>
      <c r="C51" s="110"/>
      <c r="D51" s="110"/>
      <c r="E51" s="110"/>
      <c r="F51" s="110"/>
    </row>
    <row r="52" spans="1:6" ht="15.75" x14ac:dyDescent="0.25">
      <c r="A52" s="109" t="s">
        <v>292</v>
      </c>
      <c r="B52" s="109" t="s">
        <v>293</v>
      </c>
      <c r="C52" s="110"/>
      <c r="D52" s="110"/>
      <c r="E52" s="110"/>
      <c r="F52" s="110"/>
    </row>
    <row r="53" spans="1:6" ht="15.75" x14ac:dyDescent="0.25">
      <c r="A53" s="109" t="s">
        <v>278</v>
      </c>
      <c r="B53" s="109" t="s">
        <v>294</v>
      </c>
      <c r="C53" s="110"/>
      <c r="D53" s="110"/>
      <c r="E53" s="110"/>
      <c r="F53" s="110"/>
    </row>
    <row r="54" spans="1:6" ht="15.75" x14ac:dyDescent="0.25">
      <c r="A54" s="114" t="s">
        <v>295</v>
      </c>
      <c r="B54" s="109" t="s">
        <v>296</v>
      </c>
      <c r="C54" s="110"/>
      <c r="D54" s="110"/>
      <c r="E54" s="110"/>
      <c r="F54" s="110"/>
    </row>
    <row r="55" spans="1:6" ht="15.75" x14ac:dyDescent="0.25">
      <c r="A55" s="109" t="s">
        <v>297</v>
      </c>
      <c r="B55" s="109" t="s">
        <v>298</v>
      </c>
      <c r="C55" s="110"/>
      <c r="D55" s="110"/>
      <c r="E55" s="110"/>
      <c r="F55" s="110"/>
    </row>
    <row r="56" spans="1:6" ht="15.75" x14ac:dyDescent="0.25">
      <c r="A56" s="109" t="s">
        <v>299</v>
      </c>
      <c r="B56" s="109" t="s">
        <v>300</v>
      </c>
      <c r="C56" s="110"/>
      <c r="D56" s="110"/>
      <c r="E56" s="110"/>
      <c r="F56" s="110"/>
    </row>
    <row r="57" spans="1:6" ht="15.75" x14ac:dyDescent="0.25">
      <c r="A57" s="109" t="s">
        <v>301</v>
      </c>
      <c r="B57" s="109" t="s">
        <v>302</v>
      </c>
      <c r="C57" s="110"/>
      <c r="D57" s="110"/>
      <c r="E57" s="110"/>
      <c r="F57" s="110"/>
    </row>
    <row r="58" spans="1:6" ht="15.75" x14ac:dyDescent="0.25">
      <c r="A58" s="109" t="s">
        <v>303</v>
      </c>
      <c r="B58" s="109" t="s">
        <v>304</v>
      </c>
      <c r="C58" s="110"/>
      <c r="D58" s="110"/>
      <c r="E58" s="110"/>
      <c r="F58" s="110"/>
    </row>
    <row r="59" spans="1:6" ht="15.75" x14ac:dyDescent="0.25">
      <c r="A59" s="109" t="s">
        <v>305</v>
      </c>
      <c r="B59" s="109" t="s">
        <v>306</v>
      </c>
      <c r="C59" s="110"/>
      <c r="D59" s="110"/>
      <c r="E59" s="110"/>
      <c r="F59" s="110"/>
    </row>
    <row r="60" spans="1:6" ht="15.75" x14ac:dyDescent="0.25">
      <c r="A60" s="109" t="s">
        <v>307</v>
      </c>
      <c r="B60" s="109" t="s">
        <v>308</v>
      </c>
      <c r="C60" s="110"/>
      <c r="D60" s="110"/>
      <c r="E60" s="110"/>
      <c r="F60" s="110"/>
    </row>
    <row r="61" spans="1:6" ht="15.75" x14ac:dyDescent="0.25">
      <c r="A61" s="114" t="s">
        <v>309</v>
      </c>
      <c r="B61" s="109" t="s">
        <v>310</v>
      </c>
      <c r="C61" s="110"/>
      <c r="D61" s="110"/>
      <c r="E61" s="110"/>
      <c r="F61" s="110"/>
    </row>
    <row r="62" spans="1:6" ht="15.75" x14ac:dyDescent="0.25">
      <c r="A62" s="109" t="s">
        <v>311</v>
      </c>
      <c r="B62" s="109" t="s">
        <v>312</v>
      </c>
      <c r="C62" s="110"/>
      <c r="D62" s="110"/>
      <c r="E62" s="110"/>
      <c r="F62" s="110"/>
    </row>
    <row r="63" spans="1:6" ht="15.75" x14ac:dyDescent="0.25">
      <c r="A63" s="109" t="s">
        <v>313</v>
      </c>
      <c r="B63" s="109" t="s">
        <v>314</v>
      </c>
      <c r="C63" s="110"/>
      <c r="D63" s="110"/>
      <c r="E63" s="110"/>
      <c r="F63" s="110"/>
    </row>
    <row r="64" spans="1:6" ht="15.75" x14ac:dyDescent="0.25">
      <c r="A64" s="111" t="s">
        <v>315</v>
      </c>
      <c r="B64" s="112"/>
      <c r="C64" s="110"/>
      <c r="D64" s="110"/>
      <c r="E64" s="110"/>
      <c r="F64" s="110"/>
    </row>
    <row r="65" spans="1:6" ht="15.75" x14ac:dyDescent="0.25">
      <c r="A65" s="52"/>
      <c r="B65" s="52"/>
      <c r="C65" s="52"/>
      <c r="D65" s="52"/>
      <c r="E65" s="52"/>
      <c r="F65" s="52"/>
    </row>
    <row r="66" spans="1:6" ht="15.75" x14ac:dyDescent="0.25">
      <c r="A66" s="52"/>
      <c r="B66" s="52"/>
      <c r="C66" s="52"/>
      <c r="D66" s="52"/>
      <c r="E66" s="52"/>
      <c r="F66" s="52"/>
    </row>
    <row r="67" spans="1:6" ht="15.75" x14ac:dyDescent="0.25">
      <c r="A67" s="52"/>
      <c r="B67" s="52"/>
      <c r="C67" s="52"/>
      <c r="D67" s="52"/>
      <c r="E67" s="52"/>
      <c r="F67" s="52"/>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81"/>
  <sheetViews>
    <sheetView zoomScaleNormal="100" workbookViewId="0">
      <pane xSplit="2" ySplit="5" topLeftCell="C66" activePane="bottomRight" state="frozen"/>
      <selection pane="topRight" activeCell="C1" sqref="C1"/>
      <selection pane="bottomLeft" activeCell="A6" sqref="A6"/>
      <selection pane="bottomRight" activeCell="D78" sqref="D78"/>
    </sheetView>
  </sheetViews>
  <sheetFormatPr defaultColWidth="9.140625" defaultRowHeight="15.75" x14ac:dyDescent="0.25"/>
  <cols>
    <col min="1" max="1" width="7.85546875" style="3" customWidth="1"/>
    <col min="2" max="2" width="82.140625" style="65" customWidth="1"/>
    <col min="3" max="3" width="16.42578125" style="66" customWidth="1"/>
    <col min="4" max="4" width="16.5703125" style="66" customWidth="1"/>
    <col min="5" max="5" width="16.42578125" style="66" customWidth="1"/>
    <col min="6" max="6" width="19.140625" style="66" customWidth="1"/>
    <col min="7" max="7" width="16.85546875" style="66" customWidth="1"/>
    <col min="8" max="8" width="20.140625" style="66" customWidth="1"/>
    <col min="9" max="9" width="20.42578125" style="1" customWidth="1"/>
    <col min="10" max="10" width="11.28515625" style="1" customWidth="1"/>
    <col min="11" max="16384" width="9.140625" style="1"/>
  </cols>
  <sheetData>
    <row r="1" spans="1:9" s="316" customFormat="1" ht="35.1" customHeight="1" thickBot="1" x14ac:dyDescent="0.3">
      <c r="A1" s="729" t="s">
        <v>630</v>
      </c>
      <c r="B1" s="730"/>
      <c r="C1" s="730"/>
      <c r="D1" s="730"/>
      <c r="E1" s="730"/>
      <c r="F1" s="730"/>
      <c r="G1" s="730"/>
      <c r="H1" s="731"/>
    </row>
    <row r="2" spans="1:9" s="316" customFormat="1" ht="31.9" customHeight="1" x14ac:dyDescent="0.25">
      <c r="A2" s="714" t="s">
        <v>982</v>
      </c>
      <c r="B2" s="715"/>
      <c r="C2" s="715"/>
      <c r="D2" s="715"/>
      <c r="E2" s="715"/>
      <c r="F2" s="715"/>
      <c r="G2" s="715"/>
      <c r="H2" s="716"/>
    </row>
    <row r="3" spans="1:9" s="316" customFormat="1" ht="24" customHeight="1" x14ac:dyDescent="0.25">
      <c r="A3" s="732" t="s">
        <v>80</v>
      </c>
      <c r="B3" s="733" t="s">
        <v>152</v>
      </c>
      <c r="C3" s="735">
        <v>2021</v>
      </c>
      <c r="D3" s="736"/>
      <c r="E3" s="735">
        <v>2022</v>
      </c>
      <c r="F3" s="736"/>
      <c r="G3" s="735" t="s">
        <v>631</v>
      </c>
      <c r="H3" s="737"/>
    </row>
    <row r="4" spans="1:9" s="317" customFormat="1" ht="31.5" x14ac:dyDescent="0.25">
      <c r="A4" s="732"/>
      <c r="B4" s="734"/>
      <c r="C4" s="603" t="s">
        <v>153</v>
      </c>
      <c r="D4" s="603" t="s">
        <v>154</v>
      </c>
      <c r="E4" s="603" t="s">
        <v>153</v>
      </c>
      <c r="F4" s="603" t="s">
        <v>154</v>
      </c>
      <c r="G4" s="603" t="s">
        <v>153</v>
      </c>
      <c r="H4" s="604" t="s">
        <v>154</v>
      </c>
      <c r="I4" s="316"/>
    </row>
    <row r="5" spans="1:9" s="317" customFormat="1" x14ac:dyDescent="0.25">
      <c r="A5" s="602"/>
      <c r="B5" s="294"/>
      <c r="C5" s="603" t="s">
        <v>118</v>
      </c>
      <c r="D5" s="603" t="s">
        <v>119</v>
      </c>
      <c r="E5" s="603" t="s">
        <v>120</v>
      </c>
      <c r="F5" s="603" t="s">
        <v>126</v>
      </c>
      <c r="G5" s="603" t="s">
        <v>10</v>
      </c>
      <c r="H5" s="604" t="s">
        <v>11</v>
      </c>
      <c r="I5" s="319"/>
    </row>
    <row r="6" spans="1:9" x14ac:dyDescent="0.25">
      <c r="A6" s="21">
        <v>1</v>
      </c>
      <c r="B6" s="297" t="s">
        <v>101</v>
      </c>
      <c r="C6" s="605">
        <f>SUM(C7:C10)</f>
        <v>122883.63</v>
      </c>
      <c r="D6" s="605">
        <f>SUM(D7:D10)</f>
        <v>326689.89999999997</v>
      </c>
      <c r="E6" s="605">
        <f>SUM(E7:E10)</f>
        <v>469436.38</v>
      </c>
      <c r="F6" s="605">
        <f>SUM(F7:F10)</f>
        <v>519328.32</v>
      </c>
      <c r="G6" s="99">
        <f>E6-C6</f>
        <v>346552.75</v>
      </c>
      <c r="H6" s="100">
        <f t="shared" ref="G6:H71" si="0">F6-D6</f>
        <v>192638.42000000004</v>
      </c>
    </row>
    <row r="7" spans="1:9" x14ac:dyDescent="0.25">
      <c r="A7" s="21">
        <f>A6+1</f>
        <v>2</v>
      </c>
      <c r="B7" s="298" t="s">
        <v>112</v>
      </c>
      <c r="C7" s="606"/>
      <c r="D7" s="606"/>
      <c r="E7" s="606"/>
      <c r="F7" s="606"/>
      <c r="G7" s="99">
        <f t="shared" si="0"/>
        <v>0</v>
      </c>
      <c r="H7" s="100">
        <f t="shared" si="0"/>
        <v>0</v>
      </c>
      <c r="I7" s="208"/>
    </row>
    <row r="8" spans="1:9" x14ac:dyDescent="0.25">
      <c r="A8" s="21">
        <f t="shared" ref="A8:A71" si="1">A7+1</f>
        <v>3</v>
      </c>
      <c r="B8" s="298" t="s">
        <v>131</v>
      </c>
      <c r="C8" s="606"/>
      <c r="D8" s="606"/>
      <c r="E8" s="606"/>
      <c r="F8" s="606"/>
      <c r="G8" s="99">
        <f t="shared" si="0"/>
        <v>0</v>
      </c>
      <c r="H8" s="100">
        <f t="shared" si="0"/>
        <v>0</v>
      </c>
      <c r="I8" s="208"/>
    </row>
    <row r="9" spans="1:9" x14ac:dyDescent="0.25">
      <c r="A9" s="21">
        <f t="shared" si="1"/>
        <v>4</v>
      </c>
      <c r="B9" s="298" t="s">
        <v>19</v>
      </c>
      <c r="C9" s="606">
        <v>121570.83</v>
      </c>
      <c r="D9" s="606">
        <v>326056.15999999997</v>
      </c>
      <c r="E9" s="606">
        <v>467720.82</v>
      </c>
      <c r="F9" s="606">
        <v>519032.76</v>
      </c>
      <c r="G9" s="99">
        <f t="shared" si="0"/>
        <v>346149.99</v>
      </c>
      <c r="H9" s="100">
        <f t="shared" si="0"/>
        <v>192976.60000000003</v>
      </c>
      <c r="I9" s="208"/>
    </row>
    <row r="10" spans="1:9" x14ac:dyDescent="0.25">
      <c r="A10" s="21">
        <f t="shared" si="1"/>
        <v>5</v>
      </c>
      <c r="B10" s="298" t="s">
        <v>130</v>
      </c>
      <c r="C10" s="606">
        <v>1312.8</v>
      </c>
      <c r="D10" s="606">
        <v>633.74</v>
      </c>
      <c r="E10" s="606">
        <v>1715.56</v>
      </c>
      <c r="F10" s="606">
        <v>295.56</v>
      </c>
      <c r="G10" s="99">
        <f t="shared" si="0"/>
        <v>402.76</v>
      </c>
      <c r="H10" s="100">
        <f t="shared" si="0"/>
        <v>-338.18</v>
      </c>
      <c r="I10" s="208"/>
    </row>
    <row r="11" spans="1:9" x14ac:dyDescent="0.25">
      <c r="A11" s="21">
        <f t="shared" si="1"/>
        <v>6</v>
      </c>
      <c r="B11" s="299" t="s">
        <v>495</v>
      </c>
      <c r="C11" s="605">
        <f>SUM(C12:C15)</f>
        <v>994762.22</v>
      </c>
      <c r="D11" s="605">
        <f>SUM(D12:D15)</f>
        <v>260850.82</v>
      </c>
      <c r="E11" s="605">
        <f>SUM(E12:E15)</f>
        <v>1382111.3900000001</v>
      </c>
      <c r="F11" s="605">
        <f>SUM(F12:F15)</f>
        <v>668115.31000000006</v>
      </c>
      <c r="G11" s="99">
        <f t="shared" si="0"/>
        <v>387349.17000000016</v>
      </c>
      <c r="H11" s="100">
        <f t="shared" si="0"/>
        <v>407264.49000000005</v>
      </c>
    </row>
    <row r="12" spans="1:9" x14ac:dyDescent="0.25">
      <c r="A12" s="21">
        <f t="shared" si="1"/>
        <v>7</v>
      </c>
      <c r="B12" s="300" t="s">
        <v>33</v>
      </c>
      <c r="C12" s="606">
        <v>570252.28</v>
      </c>
      <c r="D12" s="606">
        <v>0</v>
      </c>
      <c r="E12" s="606">
        <v>848612.5</v>
      </c>
      <c r="F12" s="606">
        <v>0</v>
      </c>
      <c r="G12" s="99">
        <f t="shared" si="0"/>
        <v>278360.21999999997</v>
      </c>
      <c r="H12" s="100">
        <f t="shared" si="0"/>
        <v>0</v>
      </c>
    </row>
    <row r="13" spans="1:9" x14ac:dyDescent="0.25">
      <c r="A13" s="21">
        <f t="shared" si="1"/>
        <v>8</v>
      </c>
      <c r="B13" s="300" t="s">
        <v>34</v>
      </c>
      <c r="C13" s="606">
        <v>0</v>
      </c>
      <c r="D13" s="606">
        <v>0</v>
      </c>
      <c r="E13" s="606">
        <v>0</v>
      </c>
      <c r="F13" s="606">
        <v>0</v>
      </c>
      <c r="G13" s="99">
        <f t="shared" si="0"/>
        <v>0</v>
      </c>
      <c r="H13" s="100">
        <f t="shared" si="0"/>
        <v>0</v>
      </c>
    </row>
    <row r="14" spans="1:9" x14ac:dyDescent="0.25">
      <c r="A14" s="21">
        <f>A13+1</f>
        <v>9</v>
      </c>
      <c r="B14" s="300" t="s">
        <v>709</v>
      </c>
      <c r="C14" s="606">
        <v>0</v>
      </c>
      <c r="D14" s="606">
        <v>83388.899999999994</v>
      </c>
      <c r="E14" s="606">
        <v>6580</v>
      </c>
      <c r="F14" s="606">
        <v>316487.21000000002</v>
      </c>
      <c r="G14" s="99">
        <f t="shared" si="0"/>
        <v>6580</v>
      </c>
      <c r="H14" s="100">
        <f t="shared" si="0"/>
        <v>233098.31000000003</v>
      </c>
    </row>
    <row r="15" spans="1:9" x14ac:dyDescent="0.25">
      <c r="A15" s="155">
        <f t="shared" si="1"/>
        <v>10</v>
      </c>
      <c r="B15" s="300" t="s">
        <v>616</v>
      </c>
      <c r="C15" s="606">
        <v>424509.94</v>
      </c>
      <c r="D15" s="606">
        <v>177461.92</v>
      </c>
      <c r="E15" s="606">
        <v>526918.89</v>
      </c>
      <c r="F15" s="606">
        <v>351628.1</v>
      </c>
      <c r="G15" s="99">
        <f t="shared" si="0"/>
        <v>102408.95000000001</v>
      </c>
      <c r="H15" s="100">
        <f t="shared" si="0"/>
        <v>174166.17999999996</v>
      </c>
      <c r="I15" s="253"/>
    </row>
    <row r="16" spans="1:9" x14ac:dyDescent="0.25">
      <c r="A16" s="21">
        <f t="shared" si="1"/>
        <v>11</v>
      </c>
      <c r="B16" s="299" t="s">
        <v>7</v>
      </c>
      <c r="C16" s="606">
        <v>0</v>
      </c>
      <c r="D16" s="606">
        <v>100164.71</v>
      </c>
      <c r="E16" s="606">
        <v>0</v>
      </c>
      <c r="F16" s="606">
        <v>133067.32999999999</v>
      </c>
      <c r="G16" s="99">
        <f t="shared" si="0"/>
        <v>0</v>
      </c>
      <c r="H16" s="100">
        <f t="shared" si="0"/>
        <v>32902.619999999981</v>
      </c>
      <c r="I16" s="253"/>
    </row>
    <row r="17" spans="1:10" x14ac:dyDescent="0.25">
      <c r="A17" s="21">
        <f t="shared" si="1"/>
        <v>12</v>
      </c>
      <c r="B17" s="299" t="s">
        <v>512</v>
      </c>
      <c r="C17" s="606">
        <v>0</v>
      </c>
      <c r="D17" s="606">
        <v>0</v>
      </c>
      <c r="E17" s="606">
        <v>0</v>
      </c>
      <c r="F17" s="606">
        <v>0</v>
      </c>
      <c r="G17" s="99">
        <f t="shared" si="0"/>
        <v>0</v>
      </c>
      <c r="H17" s="100">
        <f t="shared" si="0"/>
        <v>0</v>
      </c>
    </row>
    <row r="18" spans="1:10" x14ac:dyDescent="0.25">
      <c r="A18" s="21">
        <f t="shared" si="1"/>
        <v>13</v>
      </c>
      <c r="B18" s="299" t="s">
        <v>827</v>
      </c>
      <c r="C18" s="606">
        <v>0</v>
      </c>
      <c r="D18" s="606">
        <v>0</v>
      </c>
      <c r="E18" s="606">
        <v>163782.16</v>
      </c>
      <c r="F18" s="606">
        <v>0</v>
      </c>
      <c r="G18" s="99">
        <f t="shared" si="0"/>
        <v>163782.16</v>
      </c>
      <c r="H18" s="100">
        <f t="shared" si="0"/>
        <v>0</v>
      </c>
    </row>
    <row r="19" spans="1:10" x14ac:dyDescent="0.25">
      <c r="A19" s="21">
        <f t="shared" si="1"/>
        <v>14</v>
      </c>
      <c r="B19" s="299" t="s">
        <v>710</v>
      </c>
      <c r="C19" s="606">
        <v>1738.51</v>
      </c>
      <c r="D19" s="606">
        <v>72.319999999999993</v>
      </c>
      <c r="E19" s="606">
        <v>7984.9</v>
      </c>
      <c r="F19" s="606">
        <v>416.91</v>
      </c>
      <c r="G19" s="99">
        <f t="shared" si="0"/>
        <v>6246.3899999999994</v>
      </c>
      <c r="H19" s="100">
        <f t="shared" si="0"/>
        <v>344.59000000000003</v>
      </c>
    </row>
    <row r="20" spans="1:10" x14ac:dyDescent="0.25">
      <c r="A20" s="21">
        <f t="shared" si="1"/>
        <v>15</v>
      </c>
      <c r="B20" s="299" t="s">
        <v>711</v>
      </c>
      <c r="C20" s="606">
        <v>0</v>
      </c>
      <c r="D20" s="606">
        <v>0</v>
      </c>
      <c r="E20" s="606">
        <v>0</v>
      </c>
      <c r="F20" s="606">
        <v>0</v>
      </c>
      <c r="G20" s="99">
        <f t="shared" si="0"/>
        <v>0</v>
      </c>
      <c r="H20" s="100">
        <f t="shared" si="0"/>
        <v>0</v>
      </c>
    </row>
    <row r="21" spans="1:10" x14ac:dyDescent="0.25">
      <c r="A21" s="21">
        <f t="shared" si="1"/>
        <v>16</v>
      </c>
      <c r="B21" s="299" t="s">
        <v>496</v>
      </c>
      <c r="C21" s="605">
        <f>SUM(C22:C23)</f>
        <v>89.25</v>
      </c>
      <c r="D21" s="605">
        <f>SUM(D22:D23)</f>
        <v>43.22</v>
      </c>
      <c r="E21" s="605">
        <f>SUM(E22:E23)</f>
        <v>0</v>
      </c>
      <c r="F21" s="605">
        <f>SUM(F22:F23)</f>
        <v>0</v>
      </c>
      <c r="G21" s="99">
        <f t="shared" si="0"/>
        <v>-89.25</v>
      </c>
      <c r="H21" s="100">
        <f t="shared" si="0"/>
        <v>-43.22</v>
      </c>
    </row>
    <row r="22" spans="1:10" x14ac:dyDescent="0.25">
      <c r="A22" s="21">
        <f t="shared" si="1"/>
        <v>17</v>
      </c>
      <c r="B22" s="300" t="s">
        <v>712</v>
      </c>
      <c r="C22" s="606">
        <v>0</v>
      </c>
      <c r="D22" s="606">
        <v>0</v>
      </c>
      <c r="E22" s="606">
        <v>0</v>
      </c>
      <c r="F22" s="606">
        <v>0</v>
      </c>
      <c r="G22" s="99">
        <f t="shared" si="0"/>
        <v>0</v>
      </c>
      <c r="H22" s="100">
        <f t="shared" si="0"/>
        <v>0</v>
      </c>
    </row>
    <row r="23" spans="1:10" x14ac:dyDescent="0.25">
      <c r="A23" s="21">
        <f t="shared" si="1"/>
        <v>18</v>
      </c>
      <c r="B23" s="300" t="s">
        <v>713</v>
      </c>
      <c r="C23" s="606">
        <v>89.25</v>
      </c>
      <c r="D23" s="606">
        <v>43.22</v>
      </c>
      <c r="E23" s="606">
        <v>0</v>
      </c>
      <c r="F23" s="607">
        <v>0</v>
      </c>
      <c r="G23" s="99">
        <f t="shared" si="0"/>
        <v>-89.25</v>
      </c>
      <c r="H23" s="100">
        <f t="shared" si="0"/>
        <v>-43.22</v>
      </c>
    </row>
    <row r="24" spans="1:10" x14ac:dyDescent="0.25">
      <c r="A24" s="21">
        <f t="shared" si="1"/>
        <v>19</v>
      </c>
      <c r="B24" s="299" t="s">
        <v>714</v>
      </c>
      <c r="C24" s="606">
        <v>4417.21</v>
      </c>
      <c r="D24" s="606">
        <v>0</v>
      </c>
      <c r="E24" s="606">
        <v>7694.04</v>
      </c>
      <c r="F24" s="606">
        <v>0.52</v>
      </c>
      <c r="G24" s="99">
        <f t="shared" si="0"/>
        <v>3276.83</v>
      </c>
      <c r="H24" s="100">
        <f t="shared" si="0"/>
        <v>0.52</v>
      </c>
    </row>
    <row r="25" spans="1:10" x14ac:dyDescent="0.25">
      <c r="A25" s="21">
        <f t="shared" si="1"/>
        <v>20</v>
      </c>
      <c r="B25" s="301" t="s">
        <v>577</v>
      </c>
      <c r="C25" s="605">
        <f>SUM(C26:C30)</f>
        <v>13890048.310000001</v>
      </c>
      <c r="D25" s="605">
        <f>SUM(D26:D30)</f>
        <v>0</v>
      </c>
      <c r="E25" s="605">
        <f>SUM(E26:E30)</f>
        <v>13977488.35</v>
      </c>
      <c r="F25" s="605">
        <f>SUM(F26:F30)</f>
        <v>0</v>
      </c>
      <c r="G25" s="99">
        <f t="shared" si="0"/>
        <v>87440.039999999106</v>
      </c>
      <c r="H25" s="100">
        <f t="shared" si="0"/>
        <v>0</v>
      </c>
      <c r="I25" s="687"/>
      <c r="J25" s="688"/>
    </row>
    <row r="26" spans="1:10" x14ac:dyDescent="0.25">
      <c r="A26" s="21">
        <f t="shared" si="1"/>
        <v>21</v>
      </c>
      <c r="B26" s="302" t="s">
        <v>715</v>
      </c>
      <c r="C26" s="606">
        <v>268320.93</v>
      </c>
      <c r="D26" s="606">
        <v>0</v>
      </c>
      <c r="E26" s="606">
        <v>274831.09999999998</v>
      </c>
      <c r="F26" s="606">
        <v>0</v>
      </c>
      <c r="G26" s="99">
        <f t="shared" si="0"/>
        <v>6510.1699999999837</v>
      </c>
      <c r="H26" s="100">
        <f t="shared" si="0"/>
        <v>0</v>
      </c>
    </row>
    <row r="27" spans="1:10" x14ac:dyDescent="0.25">
      <c r="A27" s="21">
        <f t="shared" si="1"/>
        <v>22</v>
      </c>
      <c r="B27" s="302" t="s">
        <v>719</v>
      </c>
      <c r="C27" s="606">
        <v>13360297.5</v>
      </c>
      <c r="D27" s="606">
        <v>0</v>
      </c>
      <c r="E27" s="606">
        <v>13373320</v>
      </c>
      <c r="F27" s="606">
        <v>0</v>
      </c>
      <c r="G27" s="99">
        <f t="shared" si="0"/>
        <v>13022.5</v>
      </c>
      <c r="H27" s="100">
        <f t="shared" si="0"/>
        <v>0</v>
      </c>
    </row>
    <row r="28" spans="1:10" x14ac:dyDescent="0.25">
      <c r="A28" s="21">
        <f t="shared" si="1"/>
        <v>23</v>
      </c>
      <c r="B28" s="302" t="s">
        <v>716</v>
      </c>
      <c r="C28" s="606">
        <v>0</v>
      </c>
      <c r="D28" s="606">
        <v>0</v>
      </c>
      <c r="E28" s="606">
        <v>0</v>
      </c>
      <c r="F28" s="606">
        <v>0</v>
      </c>
      <c r="G28" s="99">
        <f t="shared" si="0"/>
        <v>0</v>
      </c>
      <c r="H28" s="100">
        <f t="shared" si="0"/>
        <v>0</v>
      </c>
      <c r="I28" s="128"/>
    </row>
    <row r="29" spans="1:10" x14ac:dyDescent="0.25">
      <c r="A29" s="21">
        <f t="shared" si="1"/>
        <v>24</v>
      </c>
      <c r="B29" s="302" t="s">
        <v>717</v>
      </c>
      <c r="C29" s="606">
        <v>261429.88</v>
      </c>
      <c r="D29" s="606">
        <v>0</v>
      </c>
      <c r="E29" s="606">
        <v>329337.25</v>
      </c>
      <c r="F29" s="606">
        <v>0</v>
      </c>
      <c r="G29" s="99">
        <f t="shared" si="0"/>
        <v>67907.37</v>
      </c>
      <c r="H29" s="100">
        <f t="shared" si="0"/>
        <v>0</v>
      </c>
      <c r="I29" s="128"/>
    </row>
    <row r="30" spans="1:10" x14ac:dyDescent="0.25">
      <c r="A30" s="21">
        <f t="shared" si="1"/>
        <v>25</v>
      </c>
      <c r="B30" s="302" t="s">
        <v>718</v>
      </c>
      <c r="C30" s="606">
        <v>0</v>
      </c>
      <c r="D30" s="606">
        <v>0</v>
      </c>
      <c r="E30" s="606">
        <v>0</v>
      </c>
      <c r="F30" s="606">
        <v>0</v>
      </c>
      <c r="G30" s="99">
        <f t="shared" si="0"/>
        <v>0</v>
      </c>
      <c r="H30" s="100">
        <f t="shared" si="0"/>
        <v>0</v>
      </c>
    </row>
    <row r="31" spans="1:10" x14ac:dyDescent="0.25">
      <c r="A31" s="21">
        <f t="shared" si="1"/>
        <v>26</v>
      </c>
      <c r="B31" s="294" t="s">
        <v>720</v>
      </c>
      <c r="C31" s="605">
        <f>SUM(C32:C37)</f>
        <v>263584.28999999998</v>
      </c>
      <c r="D31" s="605">
        <f>SUM(D32:D37)</f>
        <v>0</v>
      </c>
      <c r="E31" s="605">
        <f>SUM(E32:E37)</f>
        <v>285564.02</v>
      </c>
      <c r="F31" s="605">
        <f>SUM(F32:F37)</f>
        <v>0</v>
      </c>
      <c r="G31" s="99">
        <f t="shared" si="0"/>
        <v>21979.73000000004</v>
      </c>
      <c r="H31" s="100">
        <f t="shared" si="0"/>
        <v>0</v>
      </c>
      <c r="I31" s="689"/>
      <c r="J31" s="688"/>
    </row>
    <row r="32" spans="1:10" x14ac:dyDescent="0.25">
      <c r="A32" s="21">
        <f t="shared" si="1"/>
        <v>27</v>
      </c>
      <c r="B32" s="291" t="s">
        <v>726</v>
      </c>
      <c r="C32" s="606">
        <v>172330.01</v>
      </c>
      <c r="D32" s="606">
        <v>0</v>
      </c>
      <c r="E32" s="606">
        <v>172191.35999999999</v>
      </c>
      <c r="F32" s="606">
        <v>0</v>
      </c>
      <c r="G32" s="99">
        <f t="shared" si="0"/>
        <v>-138.65000000002328</v>
      </c>
      <c r="H32" s="100">
        <f t="shared" si="0"/>
        <v>0</v>
      </c>
    </row>
    <row r="33" spans="1:9" x14ac:dyDescent="0.25">
      <c r="A33" s="21">
        <f t="shared" si="1"/>
        <v>28</v>
      </c>
      <c r="B33" s="291" t="s">
        <v>721</v>
      </c>
      <c r="C33" s="606">
        <v>71778.34</v>
      </c>
      <c r="D33" s="606">
        <v>0</v>
      </c>
      <c r="E33" s="606">
        <v>92136.66</v>
      </c>
      <c r="F33" s="606">
        <v>0</v>
      </c>
      <c r="G33" s="99">
        <f t="shared" si="0"/>
        <v>20358.320000000007</v>
      </c>
      <c r="H33" s="100">
        <f t="shared" si="0"/>
        <v>0</v>
      </c>
    </row>
    <row r="34" spans="1:9" x14ac:dyDescent="0.25">
      <c r="A34" s="21">
        <f t="shared" si="1"/>
        <v>29</v>
      </c>
      <c r="B34" s="291" t="s">
        <v>722</v>
      </c>
      <c r="C34" s="606">
        <v>9116</v>
      </c>
      <c r="D34" s="606">
        <v>0</v>
      </c>
      <c r="E34" s="606">
        <v>6635</v>
      </c>
      <c r="F34" s="606">
        <v>0</v>
      </c>
      <c r="G34" s="99">
        <f t="shared" si="0"/>
        <v>-2481</v>
      </c>
      <c r="H34" s="100">
        <f t="shared" si="0"/>
        <v>0</v>
      </c>
    </row>
    <row r="35" spans="1:9" x14ac:dyDescent="0.25">
      <c r="A35" s="21">
        <f t="shared" si="1"/>
        <v>30</v>
      </c>
      <c r="B35" s="291" t="s">
        <v>723</v>
      </c>
      <c r="C35" s="606">
        <v>9823.94</v>
      </c>
      <c r="D35" s="606">
        <v>0</v>
      </c>
      <c r="E35" s="606">
        <v>12744</v>
      </c>
      <c r="F35" s="606">
        <v>0</v>
      </c>
      <c r="G35" s="99">
        <f t="shared" si="0"/>
        <v>2920.0599999999995</v>
      </c>
      <c r="H35" s="100">
        <f t="shared" si="0"/>
        <v>0</v>
      </c>
    </row>
    <row r="36" spans="1:9" x14ac:dyDescent="0.25">
      <c r="A36" s="21">
        <f t="shared" si="1"/>
        <v>31</v>
      </c>
      <c r="B36" s="291" t="s">
        <v>724</v>
      </c>
      <c r="C36" s="606">
        <v>536</v>
      </c>
      <c r="D36" s="606">
        <v>0</v>
      </c>
      <c r="E36" s="606">
        <v>1857</v>
      </c>
      <c r="F36" s="606">
        <v>0</v>
      </c>
      <c r="G36" s="99">
        <f t="shared" si="0"/>
        <v>1321</v>
      </c>
      <c r="H36" s="100">
        <f t="shared" si="0"/>
        <v>0</v>
      </c>
    </row>
    <row r="37" spans="1:9" ht="15.75" customHeight="1" x14ac:dyDescent="0.25">
      <c r="A37" s="21">
        <f t="shared" si="1"/>
        <v>32</v>
      </c>
      <c r="B37" s="291" t="s">
        <v>725</v>
      </c>
      <c r="C37" s="606">
        <v>0</v>
      </c>
      <c r="D37" s="606">
        <v>0</v>
      </c>
      <c r="E37" s="606">
        <v>0</v>
      </c>
      <c r="F37" s="606">
        <v>0</v>
      </c>
      <c r="G37" s="99">
        <f t="shared" si="0"/>
        <v>0</v>
      </c>
      <c r="H37" s="100">
        <f t="shared" si="0"/>
        <v>0</v>
      </c>
    </row>
    <row r="38" spans="1:9" ht="15.75" customHeight="1" x14ac:dyDescent="0.25">
      <c r="A38" s="21">
        <f t="shared" si="1"/>
        <v>33</v>
      </c>
      <c r="B38" s="291" t="s">
        <v>727</v>
      </c>
      <c r="C38" s="606">
        <v>544278.32999999996</v>
      </c>
      <c r="D38" s="606">
        <v>0</v>
      </c>
      <c r="E38" s="606">
        <v>410913.69</v>
      </c>
      <c r="F38" s="606">
        <v>0</v>
      </c>
      <c r="G38" s="99">
        <f t="shared" si="0"/>
        <v>-133364.63999999996</v>
      </c>
      <c r="H38" s="100">
        <f t="shared" si="0"/>
        <v>0</v>
      </c>
      <c r="I38" s="254"/>
    </row>
    <row r="39" spans="1:9" s="207" customFormat="1" ht="15.75" customHeight="1" x14ac:dyDescent="0.3">
      <c r="A39" s="21">
        <f t="shared" si="1"/>
        <v>34</v>
      </c>
      <c r="B39" s="303" t="s">
        <v>559</v>
      </c>
      <c r="C39" s="605">
        <f>SUM(C40:C49)</f>
        <v>1248046.3899999999</v>
      </c>
      <c r="D39" s="605">
        <f>SUM(D40:D49)</f>
        <v>16.38</v>
      </c>
      <c r="E39" s="605">
        <f>SUM(E40:E49)</f>
        <v>1863577.11</v>
      </c>
      <c r="F39" s="605">
        <f>SUM(F40:F49)</f>
        <v>654.44000000000005</v>
      </c>
      <c r="G39" s="99">
        <f t="shared" si="0"/>
        <v>615530.7200000002</v>
      </c>
      <c r="H39" s="100">
        <f t="shared" si="0"/>
        <v>638.06000000000006</v>
      </c>
      <c r="I39" s="1"/>
    </row>
    <row r="40" spans="1:9" x14ac:dyDescent="0.25">
      <c r="A40" s="21">
        <f t="shared" si="1"/>
        <v>35</v>
      </c>
      <c r="B40" s="291" t="s">
        <v>728</v>
      </c>
      <c r="C40" s="606">
        <v>84325.46</v>
      </c>
      <c r="D40" s="606">
        <v>0</v>
      </c>
      <c r="E40" s="606">
        <v>40903.01</v>
      </c>
      <c r="F40" s="606">
        <v>0</v>
      </c>
      <c r="G40" s="99">
        <f t="shared" si="0"/>
        <v>-43422.450000000004</v>
      </c>
      <c r="H40" s="100">
        <f t="shared" si="0"/>
        <v>0</v>
      </c>
    </row>
    <row r="41" spans="1:9" x14ac:dyDescent="0.25">
      <c r="A41" s="21">
        <f t="shared" si="1"/>
        <v>36</v>
      </c>
      <c r="B41" s="291" t="s">
        <v>729</v>
      </c>
      <c r="C41" s="606">
        <v>0</v>
      </c>
      <c r="D41" s="606">
        <v>0</v>
      </c>
      <c r="E41" s="606">
        <v>0</v>
      </c>
      <c r="F41" s="606">
        <v>0</v>
      </c>
      <c r="G41" s="99">
        <f t="shared" si="0"/>
        <v>0</v>
      </c>
      <c r="H41" s="100">
        <f t="shared" si="0"/>
        <v>0</v>
      </c>
    </row>
    <row r="42" spans="1:9" x14ac:dyDescent="0.25">
      <c r="A42" s="21">
        <f t="shared" si="1"/>
        <v>37</v>
      </c>
      <c r="B42" s="291" t="s">
        <v>36</v>
      </c>
      <c r="C42" s="606">
        <v>0</v>
      </c>
      <c r="D42" s="606">
        <v>0</v>
      </c>
      <c r="E42" s="606">
        <v>0</v>
      </c>
      <c r="F42" s="606">
        <v>0</v>
      </c>
      <c r="G42" s="99">
        <f t="shared" si="0"/>
        <v>0</v>
      </c>
      <c r="H42" s="100">
        <f t="shared" si="0"/>
        <v>0</v>
      </c>
    </row>
    <row r="43" spans="1:9" x14ac:dyDescent="0.25">
      <c r="A43" s="21">
        <f t="shared" si="1"/>
        <v>38</v>
      </c>
      <c r="B43" s="291" t="s">
        <v>37</v>
      </c>
      <c r="C43" s="606">
        <v>567.5</v>
      </c>
      <c r="D43" s="606">
        <v>0</v>
      </c>
      <c r="E43" s="606">
        <v>0</v>
      </c>
      <c r="F43" s="606">
        <v>0</v>
      </c>
      <c r="G43" s="99">
        <f t="shared" si="0"/>
        <v>-567.5</v>
      </c>
      <c r="H43" s="100">
        <f t="shared" si="0"/>
        <v>0</v>
      </c>
    </row>
    <row r="44" spans="1:9" x14ac:dyDescent="0.25">
      <c r="A44" s="21">
        <f t="shared" si="1"/>
        <v>39</v>
      </c>
      <c r="B44" s="291" t="s">
        <v>38</v>
      </c>
      <c r="C44" s="606">
        <v>0</v>
      </c>
      <c r="D44" s="606">
        <v>0</v>
      </c>
      <c r="E44" s="606">
        <v>0</v>
      </c>
      <c r="F44" s="606">
        <v>0</v>
      </c>
      <c r="G44" s="99">
        <f t="shared" si="0"/>
        <v>0</v>
      </c>
      <c r="H44" s="100">
        <f t="shared" si="0"/>
        <v>0</v>
      </c>
    </row>
    <row r="45" spans="1:9" x14ac:dyDescent="0.25">
      <c r="A45" s="21">
        <f t="shared" si="1"/>
        <v>40</v>
      </c>
      <c r="B45" s="291" t="s">
        <v>730</v>
      </c>
      <c r="C45" s="606">
        <v>1100273.3799999999</v>
      </c>
      <c r="D45" s="606">
        <v>0</v>
      </c>
      <c r="E45" s="606">
        <v>1604181.56</v>
      </c>
      <c r="F45" s="606">
        <v>0</v>
      </c>
      <c r="G45" s="99">
        <f t="shared" si="0"/>
        <v>503908.18000000017</v>
      </c>
      <c r="H45" s="100">
        <f t="shared" si="0"/>
        <v>0</v>
      </c>
    </row>
    <row r="46" spans="1:9" ht="15.75" customHeight="1" x14ac:dyDescent="0.25">
      <c r="A46" s="21">
        <f t="shared" si="1"/>
        <v>41</v>
      </c>
      <c r="B46" s="304" t="s">
        <v>731</v>
      </c>
      <c r="C46" s="606">
        <v>0</v>
      </c>
      <c r="D46" s="606">
        <v>0</v>
      </c>
      <c r="E46" s="606">
        <v>0</v>
      </c>
      <c r="F46" s="606">
        <v>0</v>
      </c>
      <c r="G46" s="99">
        <f t="shared" si="0"/>
        <v>0</v>
      </c>
      <c r="H46" s="100">
        <f t="shared" si="0"/>
        <v>0</v>
      </c>
    </row>
    <row r="47" spans="1:9" x14ac:dyDescent="0.25">
      <c r="A47" s="21">
        <f t="shared" si="1"/>
        <v>42</v>
      </c>
      <c r="B47" s="291" t="s">
        <v>39</v>
      </c>
      <c r="C47" s="606">
        <v>0</v>
      </c>
      <c r="D47" s="606">
        <v>0</v>
      </c>
      <c r="E47" s="606">
        <v>0</v>
      </c>
      <c r="F47" s="606">
        <v>0</v>
      </c>
      <c r="G47" s="99">
        <f t="shared" si="0"/>
        <v>0</v>
      </c>
      <c r="H47" s="100">
        <f t="shared" si="0"/>
        <v>0</v>
      </c>
    </row>
    <row r="48" spans="1:9" x14ac:dyDescent="0.25">
      <c r="A48" s="21">
        <f t="shared" si="1"/>
        <v>43</v>
      </c>
      <c r="B48" s="291" t="s">
        <v>732</v>
      </c>
      <c r="C48" s="606">
        <v>0</v>
      </c>
      <c r="D48" s="606">
        <v>0</v>
      </c>
      <c r="E48" s="606">
        <v>795</v>
      </c>
      <c r="F48" s="606">
        <v>0</v>
      </c>
      <c r="G48" s="99">
        <f t="shared" si="0"/>
        <v>795</v>
      </c>
      <c r="H48" s="100">
        <f t="shared" si="0"/>
        <v>0</v>
      </c>
    </row>
    <row r="49" spans="1:9" ht="15.75" customHeight="1" x14ac:dyDescent="0.25">
      <c r="A49" s="21">
        <f t="shared" si="1"/>
        <v>44</v>
      </c>
      <c r="B49" s="291" t="s">
        <v>840</v>
      </c>
      <c r="C49" s="606">
        <v>62880.05</v>
      </c>
      <c r="D49" s="606">
        <v>16.38</v>
      </c>
      <c r="E49" s="606">
        <v>217697.54</v>
      </c>
      <c r="F49" s="606">
        <v>654.44000000000005</v>
      </c>
      <c r="G49" s="99">
        <f t="shared" si="0"/>
        <v>154817.49</v>
      </c>
      <c r="H49" s="100">
        <f t="shared" si="0"/>
        <v>638.06000000000006</v>
      </c>
      <c r="I49" s="208"/>
    </row>
    <row r="50" spans="1:9" ht="15.75" customHeight="1" x14ac:dyDescent="0.25">
      <c r="A50" s="21">
        <f t="shared" si="1"/>
        <v>45</v>
      </c>
      <c r="B50" s="303" t="s">
        <v>160</v>
      </c>
      <c r="C50" s="606">
        <v>12474.29</v>
      </c>
      <c r="D50" s="606">
        <v>0</v>
      </c>
      <c r="E50" s="606">
        <v>217162.3</v>
      </c>
      <c r="F50" s="606">
        <v>0</v>
      </c>
      <c r="G50" s="99">
        <f t="shared" si="0"/>
        <v>204688.00999999998</v>
      </c>
      <c r="H50" s="100">
        <f t="shared" si="0"/>
        <v>0</v>
      </c>
    </row>
    <row r="51" spans="1:9" ht="15.75" customHeight="1" x14ac:dyDescent="0.25">
      <c r="A51" s="21">
        <f t="shared" si="1"/>
        <v>46</v>
      </c>
      <c r="B51" s="303" t="s">
        <v>50</v>
      </c>
      <c r="C51" s="606">
        <v>0</v>
      </c>
      <c r="D51" s="606">
        <v>0</v>
      </c>
      <c r="E51" s="606">
        <v>0</v>
      </c>
      <c r="F51" s="606">
        <v>0</v>
      </c>
      <c r="G51" s="99">
        <f t="shared" si="0"/>
        <v>0</v>
      </c>
      <c r="H51" s="100">
        <f t="shared" si="0"/>
        <v>0</v>
      </c>
    </row>
    <row r="52" spans="1:9" ht="15.75" customHeight="1" x14ac:dyDescent="0.25">
      <c r="A52" s="21">
        <f t="shared" si="1"/>
        <v>47</v>
      </c>
      <c r="B52" s="303" t="s">
        <v>49</v>
      </c>
      <c r="C52" s="606">
        <v>0</v>
      </c>
      <c r="D52" s="606">
        <v>0</v>
      </c>
      <c r="E52" s="606">
        <v>0</v>
      </c>
      <c r="F52" s="606">
        <v>0</v>
      </c>
      <c r="G52" s="99">
        <f t="shared" si="0"/>
        <v>0</v>
      </c>
      <c r="H52" s="100">
        <f t="shared" si="0"/>
        <v>0</v>
      </c>
    </row>
    <row r="53" spans="1:9" ht="15.75" customHeight="1" x14ac:dyDescent="0.25">
      <c r="A53" s="21">
        <f t="shared" si="1"/>
        <v>48</v>
      </c>
      <c r="B53" s="303" t="s">
        <v>148</v>
      </c>
      <c r="C53" s="606">
        <v>17.5</v>
      </c>
      <c r="D53" s="606">
        <v>24.54</v>
      </c>
      <c r="E53" s="606">
        <v>0</v>
      </c>
      <c r="F53" s="606">
        <v>0</v>
      </c>
      <c r="G53" s="99">
        <f t="shared" si="0"/>
        <v>-17.5</v>
      </c>
      <c r="H53" s="100">
        <f t="shared" si="0"/>
        <v>-24.54</v>
      </c>
    </row>
    <row r="54" spans="1:9" ht="15.75" customHeight="1" x14ac:dyDescent="0.25">
      <c r="A54" s="21">
        <f t="shared" si="1"/>
        <v>49</v>
      </c>
      <c r="B54" s="303" t="s">
        <v>733</v>
      </c>
      <c r="C54" s="606">
        <v>0</v>
      </c>
      <c r="D54" s="606">
        <v>0</v>
      </c>
      <c r="E54" s="606">
        <v>0</v>
      </c>
      <c r="F54" s="606">
        <v>0</v>
      </c>
      <c r="G54" s="99">
        <f t="shared" si="0"/>
        <v>0</v>
      </c>
      <c r="H54" s="100">
        <f t="shared" si="0"/>
        <v>0</v>
      </c>
    </row>
    <row r="55" spans="1:9" ht="18.75" customHeight="1" x14ac:dyDescent="0.25">
      <c r="A55" s="21">
        <f t="shared" si="1"/>
        <v>50</v>
      </c>
      <c r="B55" s="301" t="s">
        <v>576</v>
      </c>
      <c r="C55" s="608">
        <f>SUM(C56:C60)</f>
        <v>132492.69</v>
      </c>
      <c r="D55" s="608">
        <f>SUM(D56:D60)</f>
        <v>40015.61</v>
      </c>
      <c r="E55" s="608">
        <f>SUM(E56:E60)</f>
        <v>2259082.88</v>
      </c>
      <c r="F55" s="608">
        <v>10420.65</v>
      </c>
      <c r="G55" s="99">
        <f t="shared" si="0"/>
        <v>2126590.19</v>
      </c>
      <c r="H55" s="100">
        <f t="shared" si="0"/>
        <v>-29594.959999999999</v>
      </c>
      <c r="I55" s="208"/>
    </row>
    <row r="56" spans="1:9" ht="15.75" customHeight="1" x14ac:dyDescent="0.25">
      <c r="A56" s="21">
        <f t="shared" si="1"/>
        <v>51</v>
      </c>
      <c r="B56" s="291" t="s">
        <v>95</v>
      </c>
      <c r="C56" s="606">
        <v>65346.69</v>
      </c>
      <c r="D56" s="609">
        <v>40015.61</v>
      </c>
      <c r="E56" s="606">
        <v>2170009.98</v>
      </c>
      <c r="F56" s="609">
        <v>10420.65</v>
      </c>
      <c r="G56" s="99">
        <f t="shared" si="0"/>
        <v>2104663.29</v>
      </c>
      <c r="H56" s="100" t="s">
        <v>139</v>
      </c>
    </row>
    <row r="57" spans="1:9" ht="15.75" customHeight="1" x14ac:dyDescent="0.25">
      <c r="A57" s="21">
        <f t="shared" si="1"/>
        <v>52</v>
      </c>
      <c r="B57" s="291" t="s">
        <v>40</v>
      </c>
      <c r="C57" s="606">
        <v>67146</v>
      </c>
      <c r="D57" s="609" t="s">
        <v>139</v>
      </c>
      <c r="E57" s="606">
        <v>89072.9</v>
      </c>
      <c r="F57" s="609" t="s">
        <v>139</v>
      </c>
      <c r="G57" s="99">
        <f t="shared" si="0"/>
        <v>21926.899999999994</v>
      </c>
      <c r="H57" s="100" t="s">
        <v>139</v>
      </c>
    </row>
    <row r="58" spans="1:9" ht="15.75" customHeight="1" x14ac:dyDescent="0.25">
      <c r="A58" s="21">
        <f t="shared" si="1"/>
        <v>53</v>
      </c>
      <c r="B58" s="291" t="s">
        <v>734</v>
      </c>
      <c r="C58" s="606">
        <v>0</v>
      </c>
      <c r="D58" s="609" t="s">
        <v>139</v>
      </c>
      <c r="E58" s="606">
        <v>0</v>
      </c>
      <c r="F58" s="609" t="s">
        <v>139</v>
      </c>
      <c r="G58" s="99">
        <f t="shared" si="0"/>
        <v>0</v>
      </c>
      <c r="H58" s="100" t="s">
        <v>139</v>
      </c>
    </row>
    <row r="59" spans="1:9" ht="15.75" customHeight="1" x14ac:dyDescent="0.25">
      <c r="A59" s="21">
        <f t="shared" si="1"/>
        <v>54</v>
      </c>
      <c r="B59" s="291" t="s">
        <v>543</v>
      </c>
      <c r="C59" s="606">
        <v>0</v>
      </c>
      <c r="D59" s="609" t="s">
        <v>139</v>
      </c>
      <c r="E59" s="606">
        <v>0</v>
      </c>
      <c r="F59" s="609" t="s">
        <v>139</v>
      </c>
      <c r="G59" s="99">
        <f t="shared" si="0"/>
        <v>0</v>
      </c>
      <c r="H59" s="100" t="s">
        <v>139</v>
      </c>
    </row>
    <row r="60" spans="1:9" ht="15.75" customHeight="1" x14ac:dyDescent="0.25">
      <c r="A60" s="21">
        <f t="shared" si="1"/>
        <v>55</v>
      </c>
      <c r="B60" s="291" t="s">
        <v>735</v>
      </c>
      <c r="C60" s="606">
        <v>0</v>
      </c>
      <c r="D60" s="609" t="s">
        <v>139</v>
      </c>
      <c r="E60" s="606">
        <v>0</v>
      </c>
      <c r="F60" s="609" t="s">
        <v>139</v>
      </c>
      <c r="G60" s="99">
        <f t="shared" si="0"/>
        <v>0</v>
      </c>
      <c r="H60" s="100" t="s">
        <v>139</v>
      </c>
    </row>
    <row r="61" spans="1:9" x14ac:dyDescent="0.25">
      <c r="A61" s="21">
        <f t="shared" si="1"/>
        <v>56</v>
      </c>
      <c r="B61" s="303" t="s">
        <v>161</v>
      </c>
      <c r="C61" s="606">
        <v>0</v>
      </c>
      <c r="D61" s="606">
        <v>0</v>
      </c>
      <c r="E61" s="606">
        <v>0</v>
      </c>
      <c r="F61" s="606">
        <v>0</v>
      </c>
      <c r="G61" s="99">
        <f t="shared" si="0"/>
        <v>0</v>
      </c>
      <c r="H61" s="100">
        <f t="shared" si="0"/>
        <v>0</v>
      </c>
    </row>
    <row r="62" spans="1:9" x14ac:dyDescent="0.25">
      <c r="A62" s="21">
        <f t="shared" si="1"/>
        <v>57</v>
      </c>
      <c r="B62" s="303" t="s">
        <v>736</v>
      </c>
      <c r="C62" s="606">
        <v>0</v>
      </c>
      <c r="D62" s="606">
        <v>87660.55</v>
      </c>
      <c r="E62" s="606">
        <v>0</v>
      </c>
      <c r="F62" s="606">
        <v>120391.09</v>
      </c>
      <c r="G62" s="99">
        <f t="shared" si="0"/>
        <v>0</v>
      </c>
      <c r="H62" s="100">
        <f t="shared" si="0"/>
        <v>32730.539999999994</v>
      </c>
    </row>
    <row r="63" spans="1:9" x14ac:dyDescent="0.25">
      <c r="A63" s="21">
        <f t="shared" si="1"/>
        <v>58</v>
      </c>
      <c r="B63" s="305" t="s">
        <v>51</v>
      </c>
      <c r="C63" s="606">
        <v>20877</v>
      </c>
      <c r="D63" s="606">
        <v>0</v>
      </c>
      <c r="E63" s="606">
        <v>60477.62</v>
      </c>
      <c r="F63" s="606">
        <v>0</v>
      </c>
      <c r="G63" s="99">
        <f t="shared" si="0"/>
        <v>39600.620000000003</v>
      </c>
      <c r="H63" s="100">
        <f t="shared" si="0"/>
        <v>0</v>
      </c>
      <c r="I63" s="128"/>
    </row>
    <row r="64" spans="1:9" x14ac:dyDescent="0.25">
      <c r="A64" s="21">
        <f t="shared" si="1"/>
        <v>59</v>
      </c>
      <c r="B64" s="305" t="s">
        <v>737</v>
      </c>
      <c r="C64" s="606">
        <v>0</v>
      </c>
      <c r="D64" s="606">
        <v>0</v>
      </c>
      <c r="E64" s="606">
        <v>0</v>
      </c>
      <c r="F64" s="606">
        <v>0</v>
      </c>
      <c r="G64" s="99">
        <f t="shared" si="0"/>
        <v>0</v>
      </c>
      <c r="H64" s="100">
        <f t="shared" si="0"/>
        <v>0</v>
      </c>
      <c r="I64" s="128"/>
    </row>
    <row r="65" spans="1:10" x14ac:dyDescent="0.25">
      <c r="A65" s="21">
        <f t="shared" si="1"/>
        <v>60</v>
      </c>
      <c r="B65" s="306" t="s">
        <v>513</v>
      </c>
      <c r="C65" s="606">
        <v>0</v>
      </c>
      <c r="D65" s="606">
        <v>0</v>
      </c>
      <c r="E65" s="606">
        <v>0</v>
      </c>
      <c r="F65" s="606">
        <v>0</v>
      </c>
      <c r="G65" s="99">
        <f>E65-C65</f>
        <v>0</v>
      </c>
      <c r="H65" s="100">
        <f t="shared" si="0"/>
        <v>0</v>
      </c>
      <c r="I65" s="128"/>
    </row>
    <row r="66" spans="1:10" x14ac:dyDescent="0.25">
      <c r="A66" s="21">
        <f t="shared" si="1"/>
        <v>61</v>
      </c>
      <c r="B66" s="306" t="s">
        <v>617</v>
      </c>
      <c r="C66" s="606">
        <v>0</v>
      </c>
      <c r="D66" s="606">
        <v>0</v>
      </c>
      <c r="E66" s="606">
        <v>0</v>
      </c>
      <c r="F66" s="606">
        <v>0</v>
      </c>
      <c r="G66" s="99">
        <f>E66-C66</f>
        <v>0</v>
      </c>
      <c r="H66" s="100">
        <f t="shared" si="0"/>
        <v>0</v>
      </c>
      <c r="I66" s="208"/>
    </row>
    <row r="67" spans="1:10" x14ac:dyDescent="0.25">
      <c r="A67" s="21">
        <f t="shared" si="1"/>
        <v>62</v>
      </c>
      <c r="B67" s="305" t="s">
        <v>618</v>
      </c>
      <c r="C67" s="606">
        <v>3590091.84</v>
      </c>
      <c r="D67" s="606">
        <v>70675.22</v>
      </c>
      <c r="E67" s="606">
        <v>4574120.38</v>
      </c>
      <c r="F67" s="606">
        <v>71140.61</v>
      </c>
      <c r="G67" s="99">
        <f>E67-C67</f>
        <v>984028.54</v>
      </c>
      <c r="H67" s="100">
        <f t="shared" si="0"/>
        <v>465.38999999999942</v>
      </c>
      <c r="I67" s="277"/>
    </row>
    <row r="68" spans="1:10" x14ac:dyDescent="0.25">
      <c r="A68" s="21">
        <f t="shared" si="1"/>
        <v>63</v>
      </c>
      <c r="B68" s="303" t="s">
        <v>52</v>
      </c>
      <c r="C68" s="606">
        <v>52229174.409999996</v>
      </c>
      <c r="D68" s="606">
        <v>0</v>
      </c>
      <c r="E68" s="606">
        <v>52938244.049999997</v>
      </c>
      <c r="F68" s="606">
        <v>0</v>
      </c>
      <c r="G68" s="99">
        <f t="shared" si="0"/>
        <v>709069.6400000006</v>
      </c>
      <c r="H68" s="100">
        <f t="shared" si="0"/>
        <v>0</v>
      </c>
    </row>
    <row r="69" spans="1:10" x14ac:dyDescent="0.25">
      <c r="A69" s="21">
        <f t="shared" si="1"/>
        <v>64</v>
      </c>
      <c r="B69" s="307" t="s">
        <v>132</v>
      </c>
      <c r="C69" s="610"/>
      <c r="D69" s="610"/>
      <c r="E69" s="610"/>
      <c r="F69" s="610"/>
      <c r="G69" s="99">
        <f t="shared" si="0"/>
        <v>0</v>
      </c>
      <c r="H69" s="100">
        <f t="shared" si="0"/>
        <v>0</v>
      </c>
    </row>
    <row r="70" spans="1:10" x14ac:dyDescent="0.25">
      <c r="A70" s="21">
        <f t="shared" si="1"/>
        <v>65</v>
      </c>
      <c r="B70" s="307" t="s">
        <v>58</v>
      </c>
      <c r="C70" s="611">
        <v>614065.14</v>
      </c>
      <c r="D70" s="611"/>
      <c r="E70" s="611">
        <v>940398.02</v>
      </c>
      <c r="F70" s="611"/>
      <c r="G70" s="99">
        <f t="shared" si="0"/>
        <v>326332.88</v>
      </c>
      <c r="H70" s="100">
        <f t="shared" si="0"/>
        <v>0</v>
      </c>
      <c r="I70" s="208"/>
    </row>
    <row r="71" spans="1:10" s="63" customFormat="1" ht="49.5" customHeight="1" thickBot="1" x14ac:dyDescent="0.3">
      <c r="A71" s="22">
        <f t="shared" si="1"/>
        <v>66</v>
      </c>
      <c r="B71" s="308" t="s">
        <v>619</v>
      </c>
      <c r="C71" s="612">
        <f>C6+C11+C16+C17+C18+C19+C20+C21+C24+C25+C31+C38+C39+C50+C51+C52+C53+C54+C55+C61+C62+C63+C64+C65+C66+C68+C67</f>
        <v>73054975.870000005</v>
      </c>
      <c r="D71" s="612">
        <f>D6+D11+D16+D17+D18+D19+D20+D21+D24+D25+D31+D38+D39+D50+D51+D52+D53+D54+D55+D61+D62+D63+D64+D65+D66+D68+D67</f>
        <v>886213.2699999999</v>
      </c>
      <c r="E71" s="612">
        <f>E6+E11+E16+E17+E18+E19+E20+E21+E24+E25+E31+E38+E39+E50+E51+E52+E53+E54+E55+E61+E62+E63+E64+E65+E66+E68+E67</f>
        <v>78617639.269999996</v>
      </c>
      <c r="F71" s="612">
        <f>F6+F11+F16+F17+F18+F19+F20+F21+F24+F25+F31+F38+F39+F50+F51+F52+F53+F54+F55+F61+F62+F63+F64+F65+F66+F68+F67</f>
        <v>1523535.1800000002</v>
      </c>
      <c r="G71" s="103">
        <f>E71-C71</f>
        <v>5562663.3999999911</v>
      </c>
      <c r="H71" s="104">
        <f t="shared" si="0"/>
        <v>637321.91000000027</v>
      </c>
    </row>
    <row r="72" spans="1:10" ht="21" customHeight="1" x14ac:dyDescent="0.25">
      <c r="B72" s="3"/>
      <c r="C72" s="3"/>
      <c r="D72" s="706"/>
      <c r="E72" s="205"/>
      <c r="F72" s="706"/>
      <c r="G72" s="707"/>
      <c r="H72" s="707"/>
      <c r="I72" s="24"/>
      <c r="J72" s="24"/>
    </row>
    <row r="73" spans="1:10" ht="15.75" customHeight="1" x14ac:dyDescent="0.25">
      <c r="A73" s="723" t="s">
        <v>544</v>
      </c>
      <c r="B73" s="724"/>
      <c r="C73" s="724"/>
      <c r="D73" s="724"/>
      <c r="E73" s="724"/>
      <c r="F73" s="724"/>
      <c r="G73" s="724"/>
      <c r="H73" s="725"/>
      <c r="I73" s="208"/>
    </row>
    <row r="74" spans="1:10" ht="15.75" customHeight="1" x14ac:dyDescent="0.25">
      <c r="A74" s="726" t="s">
        <v>822</v>
      </c>
      <c r="B74" s="727"/>
      <c r="C74" s="727"/>
      <c r="D74" s="727"/>
      <c r="E74" s="727"/>
      <c r="F74" s="727"/>
      <c r="G74" s="727"/>
      <c r="H74" s="728"/>
      <c r="I74" s="128"/>
    </row>
    <row r="76" spans="1:10" x14ac:dyDescent="0.25">
      <c r="C76" s="638"/>
      <c r="D76" s="638"/>
    </row>
    <row r="77" spans="1:10" ht="18.75" customHeight="1" x14ac:dyDescent="0.25">
      <c r="D77" s="638"/>
      <c r="E77" s="638"/>
      <c r="F77" s="638"/>
    </row>
    <row r="78" spans="1:10" x14ac:dyDescent="0.25">
      <c r="F78" s="638"/>
      <c r="H78" s="693"/>
      <c r="I78" s="128"/>
      <c r="J78" s="128"/>
    </row>
    <row r="79" spans="1:10" x14ac:dyDescent="0.25">
      <c r="E79" s="638"/>
    </row>
    <row r="80" spans="1:10" x14ac:dyDescent="0.25">
      <c r="E80" s="638"/>
    </row>
    <row r="81" spans="5:5" x14ac:dyDescent="0.25">
      <c r="E81" s="638"/>
    </row>
  </sheetData>
  <mergeCells count="9">
    <mergeCell ref="A73:H73"/>
    <mergeCell ref="A74:H74"/>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74" fitToHeight="0" orientation="landscape" r:id="rId1"/>
  <headerFooter alignWithMargins="0">
    <oddFooter>&amp;C&amp;P z &amp;N</oddFooter>
  </headerFooter>
  <rowBreaks count="1" manualBreakCount="1">
    <brk id="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zoomScaleNormal="100" workbookViewId="0">
      <selection activeCell="C30" sqref="C30"/>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5" width="22.7109375" style="1" customWidth="1"/>
    <col min="6" max="6" width="9.140625" style="1"/>
    <col min="7" max="7" width="9.140625" style="1" customWidth="1"/>
    <col min="8" max="16384" width="9.140625" style="1"/>
  </cols>
  <sheetData>
    <row r="1" spans="1:7" s="316" customFormat="1" ht="45.75" customHeight="1" thickBot="1" x14ac:dyDescent="0.3">
      <c r="A1" s="717" t="s">
        <v>643</v>
      </c>
      <c r="B1" s="718"/>
      <c r="C1" s="718"/>
      <c r="D1" s="719"/>
    </row>
    <row r="2" spans="1:7" s="316" customFormat="1" ht="37.5" customHeight="1" x14ac:dyDescent="0.25">
      <c r="A2" s="714" t="s">
        <v>953</v>
      </c>
      <c r="B2" s="715"/>
      <c r="C2" s="715"/>
      <c r="D2" s="716"/>
    </row>
    <row r="3" spans="1:7" s="317" customFormat="1" ht="31.5" x14ac:dyDescent="0.25">
      <c r="A3" s="310" t="s">
        <v>80</v>
      </c>
      <c r="B3" s="293" t="s">
        <v>152</v>
      </c>
      <c r="C3" s="293">
        <v>2021</v>
      </c>
      <c r="D3" s="320">
        <v>2022</v>
      </c>
    </row>
    <row r="4" spans="1:7" s="317" customFormat="1" x14ac:dyDescent="0.25">
      <c r="A4" s="310"/>
      <c r="B4" s="293"/>
      <c r="C4" s="293" t="s">
        <v>118</v>
      </c>
      <c r="D4" s="320" t="s">
        <v>119</v>
      </c>
      <c r="E4" s="321"/>
    </row>
    <row r="5" spans="1:7" x14ac:dyDescent="0.25">
      <c r="A5" s="21">
        <v>1</v>
      </c>
      <c r="B5" s="299" t="s">
        <v>744</v>
      </c>
      <c r="C5" s="231">
        <f>+SUM(C6:C9)</f>
        <v>13890048.310000001</v>
      </c>
      <c r="D5" s="289">
        <f>+SUM(D6:D9)</f>
        <v>13977488.35</v>
      </c>
      <c r="E5" s="183"/>
    </row>
    <row r="6" spans="1:7" x14ac:dyDescent="0.25">
      <c r="A6" s="21">
        <v>2</v>
      </c>
      <c r="B6" s="295" t="s">
        <v>738</v>
      </c>
      <c r="C6" s="179">
        <v>0</v>
      </c>
      <c r="D6" s="179"/>
      <c r="E6" s="8"/>
      <c r="G6" s="128"/>
    </row>
    <row r="7" spans="1:7" x14ac:dyDescent="0.25">
      <c r="A7" s="21">
        <v>3</v>
      </c>
      <c r="B7" s="295" t="s">
        <v>739</v>
      </c>
      <c r="C7" s="179">
        <v>268320.93</v>
      </c>
      <c r="D7" s="620">
        <v>274831.09999999998</v>
      </c>
      <c r="E7" s="8"/>
      <c r="G7" s="128"/>
    </row>
    <row r="8" spans="1:7" x14ac:dyDescent="0.25">
      <c r="A8" s="21">
        <v>4</v>
      </c>
      <c r="B8" s="295" t="s">
        <v>740</v>
      </c>
      <c r="C8" s="179">
        <v>13360297.5</v>
      </c>
      <c r="D8" s="620">
        <v>13373320</v>
      </c>
      <c r="E8" s="8"/>
      <c r="G8" s="128"/>
    </row>
    <row r="9" spans="1:7" x14ac:dyDescent="0.25">
      <c r="A9" s="21">
        <v>5</v>
      </c>
      <c r="B9" s="300" t="s">
        <v>741</v>
      </c>
      <c r="C9" s="179">
        <v>261429.88</v>
      </c>
      <c r="D9" s="620">
        <v>329337.25</v>
      </c>
      <c r="E9" s="8"/>
      <c r="G9" s="128"/>
    </row>
    <row r="10" spans="1:7" x14ac:dyDescent="0.25">
      <c r="A10" s="21">
        <v>6</v>
      </c>
      <c r="B10" s="297" t="s">
        <v>542</v>
      </c>
      <c r="C10" s="36">
        <f>SUM(C11:C16)</f>
        <v>263584.28999999998</v>
      </c>
      <c r="D10" s="153">
        <f>SUM(D11:D16)</f>
        <v>285564.02</v>
      </c>
    </row>
    <row r="11" spans="1:7" x14ac:dyDescent="0.25">
      <c r="A11" s="21">
        <v>7</v>
      </c>
      <c r="B11" s="295" t="s">
        <v>530</v>
      </c>
      <c r="C11" s="179">
        <v>172330.01</v>
      </c>
      <c r="D11" s="620">
        <v>172191.35999999999</v>
      </c>
    </row>
    <row r="12" spans="1:7" x14ac:dyDescent="0.25">
      <c r="A12" s="21">
        <v>8</v>
      </c>
      <c r="B12" s="295" t="s">
        <v>531</v>
      </c>
      <c r="C12" s="179">
        <v>71778.34</v>
      </c>
      <c r="D12" s="620">
        <v>92136.66</v>
      </c>
    </row>
    <row r="13" spans="1:7" x14ac:dyDescent="0.25">
      <c r="A13" s="21">
        <v>9</v>
      </c>
      <c r="B13" s="295" t="s">
        <v>742</v>
      </c>
      <c r="C13" s="179">
        <v>9116</v>
      </c>
      <c r="D13" s="620">
        <v>6635</v>
      </c>
    </row>
    <row r="14" spans="1:7" x14ac:dyDescent="0.25">
      <c r="A14" s="21">
        <v>10</v>
      </c>
      <c r="B14" s="295" t="s">
        <v>532</v>
      </c>
      <c r="C14" s="179">
        <v>9823.94</v>
      </c>
      <c r="D14" s="620">
        <v>12744</v>
      </c>
    </row>
    <row r="15" spans="1:7" ht="31.5" x14ac:dyDescent="0.25">
      <c r="A15" s="21">
        <v>11</v>
      </c>
      <c r="B15" s="295" t="s">
        <v>533</v>
      </c>
      <c r="C15" s="179">
        <v>536</v>
      </c>
      <c r="D15" s="620">
        <v>1857</v>
      </c>
    </row>
    <row r="16" spans="1:7" x14ac:dyDescent="0.25">
      <c r="A16" s="21">
        <v>12</v>
      </c>
      <c r="B16" s="295" t="s">
        <v>743</v>
      </c>
      <c r="C16" s="179">
        <v>0</v>
      </c>
      <c r="D16" s="620">
        <v>0</v>
      </c>
    </row>
    <row r="17" spans="1:5" x14ac:dyDescent="0.25">
      <c r="A17" s="21">
        <v>13</v>
      </c>
      <c r="B17" s="297" t="s">
        <v>98</v>
      </c>
      <c r="C17" s="36">
        <f>(C6+C7)*0.2</f>
        <v>53664.186000000002</v>
      </c>
      <c r="D17" s="619">
        <f>(D6+D7)*0.2</f>
        <v>54966.22</v>
      </c>
    </row>
    <row r="18" spans="1:5" ht="120.75" customHeight="1" thickBot="1" x14ac:dyDescent="0.3">
      <c r="A18" s="22">
        <v>14</v>
      </c>
      <c r="B18" s="322" t="s">
        <v>158</v>
      </c>
      <c r="C18" s="80">
        <v>119941</v>
      </c>
      <c r="D18" s="180">
        <v>85985.06</v>
      </c>
      <c r="E18" s="668"/>
    </row>
    <row r="19" spans="1:5" x14ac:dyDescent="0.25">
      <c r="B19" s="7"/>
    </row>
    <row r="20" spans="1:5" x14ac:dyDescent="0.25">
      <c r="A20" s="156"/>
      <c r="B20" s="190"/>
    </row>
    <row r="21" spans="1:5" x14ac:dyDescent="0.25">
      <c r="B21" s="181"/>
      <c r="C21" s="688"/>
      <c r="D21" s="688"/>
    </row>
    <row r="22" spans="1:5" x14ac:dyDescent="0.25">
      <c r="B22" s="181"/>
    </row>
    <row r="23" spans="1:5" x14ac:dyDescent="0.25">
      <c r="B23" s="7"/>
    </row>
    <row r="24" spans="1:5" x14ac:dyDescent="0.25">
      <c r="B24" s="7"/>
    </row>
    <row r="25" spans="1:5" x14ac:dyDescent="0.25">
      <c r="B25" s="7"/>
    </row>
    <row r="26" spans="1:5" x14ac:dyDescent="0.25">
      <c r="B26" s="7"/>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3"/>
  <sheetViews>
    <sheetView zoomScaleNormal="100" zoomScaleSheetLayoutView="80" workbookViewId="0">
      <pane xSplit="2" ySplit="5" topLeftCell="C99" activePane="bottomRight" state="frozen"/>
      <selection pane="topRight" activeCell="C1" sqref="C1"/>
      <selection pane="bottomLeft" activeCell="A6" sqref="A6"/>
      <selection pane="bottomRight" activeCell="D105" sqref="D105:I105"/>
    </sheetView>
  </sheetViews>
  <sheetFormatPr defaultColWidth="9.140625" defaultRowHeight="15.75" x14ac:dyDescent="0.25"/>
  <cols>
    <col min="1" max="1" width="8.42578125" style="275" customWidth="1"/>
    <col min="2" max="2" width="74.140625" style="276" customWidth="1"/>
    <col min="3" max="3" width="18" style="256" customWidth="1"/>
    <col min="4" max="7" width="17" style="256" customWidth="1"/>
    <col min="8" max="8" width="18" style="256" customWidth="1"/>
    <col min="9" max="9" width="51.140625" style="257" customWidth="1"/>
    <col min="10" max="10" width="9.140625" style="256"/>
    <col min="11" max="11" width="8.85546875" style="256" customWidth="1"/>
    <col min="12" max="16384" width="9.140625" style="256"/>
  </cols>
  <sheetData>
    <row r="1" spans="1:9" s="323" customFormat="1" ht="35.1" customHeight="1" thickBot="1" x14ac:dyDescent="0.3">
      <c r="A1" s="738" t="s">
        <v>632</v>
      </c>
      <c r="B1" s="739"/>
      <c r="C1" s="739"/>
      <c r="D1" s="739"/>
      <c r="E1" s="739"/>
      <c r="F1" s="739"/>
      <c r="G1" s="739"/>
      <c r="H1" s="740"/>
      <c r="I1" s="324"/>
    </row>
    <row r="2" spans="1:9" s="323" customFormat="1" ht="32.450000000000003" customHeight="1" x14ac:dyDescent="0.25">
      <c r="A2" s="741" t="s">
        <v>983</v>
      </c>
      <c r="B2" s="742"/>
      <c r="C2" s="742"/>
      <c r="D2" s="742"/>
      <c r="E2" s="742"/>
      <c r="F2" s="742"/>
      <c r="G2" s="742"/>
      <c r="H2" s="743"/>
      <c r="I2" s="324"/>
    </row>
    <row r="3" spans="1:9" s="326" customFormat="1" ht="31.5" customHeight="1" x14ac:dyDescent="0.25">
      <c r="A3" s="744" t="s">
        <v>80</v>
      </c>
      <c r="B3" s="745" t="s">
        <v>152</v>
      </c>
      <c r="C3" s="747">
        <v>2021</v>
      </c>
      <c r="D3" s="747"/>
      <c r="E3" s="747">
        <v>2022</v>
      </c>
      <c r="F3" s="747"/>
      <c r="G3" s="748" t="s">
        <v>631</v>
      </c>
      <c r="H3" s="749"/>
      <c r="I3" s="325"/>
    </row>
    <row r="4" spans="1:9" s="323" customFormat="1" ht="31.5" customHeight="1" x14ac:dyDescent="0.25">
      <c r="A4" s="744"/>
      <c r="B4" s="746"/>
      <c r="C4" s="327" t="s">
        <v>153</v>
      </c>
      <c r="D4" s="327" t="s">
        <v>154</v>
      </c>
      <c r="E4" s="327" t="s">
        <v>153</v>
      </c>
      <c r="F4" s="327" t="s">
        <v>154</v>
      </c>
      <c r="G4" s="327" t="s">
        <v>153</v>
      </c>
      <c r="H4" s="328" t="s">
        <v>154</v>
      </c>
      <c r="I4" s="324"/>
    </row>
    <row r="5" spans="1:9" s="323" customFormat="1" x14ac:dyDescent="0.25">
      <c r="A5" s="329"/>
      <c r="B5" s="330"/>
      <c r="C5" s="331" t="s">
        <v>118</v>
      </c>
      <c r="D5" s="331" t="s">
        <v>119</v>
      </c>
      <c r="E5" s="331" t="s">
        <v>120</v>
      </c>
      <c r="F5" s="331" t="s">
        <v>126</v>
      </c>
      <c r="G5" s="331" t="s">
        <v>10</v>
      </c>
      <c r="H5" s="332" t="s">
        <v>11</v>
      </c>
      <c r="I5" s="324"/>
    </row>
    <row r="6" spans="1:9" x14ac:dyDescent="0.25">
      <c r="A6" s="258">
        <v>1</v>
      </c>
      <c r="B6" s="333" t="s">
        <v>551</v>
      </c>
      <c r="C6" s="613">
        <f>SUM(C7:C18)</f>
        <v>3146764.09</v>
      </c>
      <c r="D6" s="613">
        <f>SUM(D7:D18)</f>
        <v>205464.63999999998</v>
      </c>
      <c r="E6" s="613">
        <f>SUM(E7:E18)</f>
        <v>4341268.76</v>
      </c>
      <c r="F6" s="613">
        <f>SUM(F7:F18)</f>
        <v>434727.86</v>
      </c>
      <c r="G6" s="259">
        <f>E6-C6</f>
        <v>1194504.67</v>
      </c>
      <c r="H6" s="260">
        <f>F6-D6</f>
        <v>229263.22</v>
      </c>
    </row>
    <row r="7" spans="1:9" ht="17.25" customHeight="1" x14ac:dyDescent="0.25">
      <c r="A7" s="258">
        <f>A6+1</f>
        <v>2</v>
      </c>
      <c r="B7" s="334" t="s">
        <v>745</v>
      </c>
      <c r="C7" s="614">
        <v>121634.37</v>
      </c>
      <c r="D7" s="614">
        <v>5162.1499999999996</v>
      </c>
      <c r="E7" s="614">
        <v>70104.22</v>
      </c>
      <c r="F7" s="614">
        <v>447.63</v>
      </c>
      <c r="G7" s="261">
        <f>E7-C7</f>
        <v>-51530.149999999994</v>
      </c>
      <c r="H7" s="262">
        <f>F7-D7</f>
        <v>-4714.5199999999995</v>
      </c>
    </row>
    <row r="8" spans="1:9" ht="30.6" customHeight="1" x14ac:dyDescent="0.25">
      <c r="A8" s="258">
        <f t="shared" ref="A8:A71" si="0">A7+1</f>
        <v>3</v>
      </c>
      <c r="B8" s="335" t="s">
        <v>746</v>
      </c>
      <c r="C8" s="614">
        <v>1125405.22</v>
      </c>
      <c r="D8" s="614">
        <v>337.46</v>
      </c>
      <c r="E8" s="614">
        <v>1767631.75</v>
      </c>
      <c r="F8" s="614">
        <v>7333.45</v>
      </c>
      <c r="G8" s="261">
        <f t="shared" ref="G8:H71" si="1">E8-C8</f>
        <v>642226.53</v>
      </c>
      <c r="H8" s="262">
        <f t="shared" si="1"/>
        <v>6995.99</v>
      </c>
    </row>
    <row r="9" spans="1:9" x14ac:dyDescent="0.25">
      <c r="A9" s="258">
        <f t="shared" si="0"/>
        <v>4</v>
      </c>
      <c r="B9" s="334" t="s">
        <v>747</v>
      </c>
      <c r="C9" s="614">
        <v>174821.12</v>
      </c>
      <c r="D9" s="614">
        <v>711.97</v>
      </c>
      <c r="E9" s="614">
        <v>181748.58</v>
      </c>
      <c r="F9" s="614">
        <v>1949.01</v>
      </c>
      <c r="G9" s="261">
        <f t="shared" si="1"/>
        <v>6927.4599999999919</v>
      </c>
      <c r="H9" s="262">
        <f t="shared" si="1"/>
        <v>1237.04</v>
      </c>
    </row>
    <row r="10" spans="1:9" x14ac:dyDescent="0.25">
      <c r="A10" s="258">
        <f t="shared" si="0"/>
        <v>5</v>
      </c>
      <c r="B10" s="334" t="s">
        <v>748</v>
      </c>
      <c r="C10" s="614">
        <v>22015.88</v>
      </c>
      <c r="D10" s="614">
        <v>361.12</v>
      </c>
      <c r="E10" s="614">
        <v>18797.63</v>
      </c>
      <c r="F10" s="614">
        <v>1070.08</v>
      </c>
      <c r="G10" s="261">
        <f t="shared" si="1"/>
        <v>-3218.25</v>
      </c>
      <c r="H10" s="262">
        <f t="shared" si="1"/>
        <v>708.95999999999992</v>
      </c>
    </row>
    <row r="11" spans="1:9" x14ac:dyDescent="0.25">
      <c r="A11" s="258">
        <f t="shared" si="0"/>
        <v>6</v>
      </c>
      <c r="B11" s="334" t="s">
        <v>749</v>
      </c>
      <c r="C11" s="614">
        <v>15996.92</v>
      </c>
      <c r="D11" s="614">
        <v>1376.36</v>
      </c>
      <c r="E11" s="614">
        <v>32930.89</v>
      </c>
      <c r="F11" s="614">
        <v>4779.7700000000004</v>
      </c>
      <c r="G11" s="261">
        <f t="shared" si="1"/>
        <v>16933.97</v>
      </c>
      <c r="H11" s="262">
        <f t="shared" si="1"/>
        <v>3403.4100000000008</v>
      </c>
    </row>
    <row r="12" spans="1:9" x14ac:dyDescent="0.25">
      <c r="A12" s="258">
        <f t="shared" si="0"/>
        <v>7</v>
      </c>
      <c r="B12" s="334" t="s">
        <v>750</v>
      </c>
      <c r="C12" s="614">
        <v>87697.9</v>
      </c>
      <c r="D12" s="614">
        <v>4967.22</v>
      </c>
      <c r="E12" s="614">
        <v>97150.18</v>
      </c>
      <c r="F12" s="614">
        <v>17527.34</v>
      </c>
      <c r="G12" s="261">
        <f t="shared" si="1"/>
        <v>9452.2799999999988</v>
      </c>
      <c r="H12" s="262">
        <f t="shared" si="1"/>
        <v>12560.119999999999</v>
      </c>
    </row>
    <row r="13" spans="1:9" x14ac:dyDescent="0.25">
      <c r="A13" s="258">
        <f t="shared" si="0"/>
        <v>8</v>
      </c>
      <c r="B13" s="334" t="s">
        <v>751</v>
      </c>
      <c r="C13" s="614">
        <v>90159.23</v>
      </c>
      <c r="D13" s="614">
        <v>7068.2</v>
      </c>
      <c r="E13" s="614">
        <v>114910.53</v>
      </c>
      <c r="F13" s="614">
        <v>5318.68</v>
      </c>
      <c r="G13" s="261">
        <f t="shared" si="1"/>
        <v>24751.300000000003</v>
      </c>
      <c r="H13" s="262">
        <f t="shared" si="1"/>
        <v>-1749.5199999999995</v>
      </c>
    </row>
    <row r="14" spans="1:9" x14ac:dyDescent="0.25">
      <c r="A14" s="258">
        <f t="shared" si="0"/>
        <v>9</v>
      </c>
      <c r="B14" s="334" t="s">
        <v>841</v>
      </c>
      <c r="C14" s="614">
        <v>118515.29</v>
      </c>
      <c r="D14" s="614">
        <v>151416.47</v>
      </c>
      <c r="E14" s="614">
        <v>309920.34000000003</v>
      </c>
      <c r="F14" s="614">
        <v>345347.05</v>
      </c>
      <c r="G14" s="261">
        <f t="shared" si="1"/>
        <v>191405.05000000005</v>
      </c>
      <c r="H14" s="262">
        <f t="shared" si="1"/>
        <v>193930.58</v>
      </c>
      <c r="I14" s="208"/>
    </row>
    <row r="15" spans="1:9" x14ac:dyDescent="0.25">
      <c r="A15" s="258">
        <f t="shared" si="0"/>
        <v>10</v>
      </c>
      <c r="B15" s="336" t="s">
        <v>752</v>
      </c>
      <c r="C15" s="614">
        <v>562320.66</v>
      </c>
      <c r="D15" s="614">
        <v>2835.53</v>
      </c>
      <c r="E15" s="614">
        <v>569969.29</v>
      </c>
      <c r="F15" s="614">
        <v>1671.85</v>
      </c>
      <c r="G15" s="261">
        <f t="shared" si="1"/>
        <v>7648.6300000000047</v>
      </c>
      <c r="H15" s="262">
        <f t="shared" si="1"/>
        <v>-1163.6800000000003</v>
      </c>
    </row>
    <row r="16" spans="1:9" ht="16.149999999999999" customHeight="1" x14ac:dyDescent="0.25">
      <c r="A16" s="258">
        <f t="shared" si="0"/>
        <v>11</v>
      </c>
      <c r="B16" s="334" t="s">
        <v>41</v>
      </c>
      <c r="C16" s="614">
        <v>114392.73</v>
      </c>
      <c r="D16" s="614">
        <v>1783.27</v>
      </c>
      <c r="E16" s="614">
        <v>467376.27</v>
      </c>
      <c r="F16" s="614">
        <v>1153.1400000000001</v>
      </c>
      <c r="G16" s="261">
        <f t="shared" si="1"/>
        <v>352983.54000000004</v>
      </c>
      <c r="H16" s="262">
        <f t="shared" si="1"/>
        <v>-630.12999999999988</v>
      </c>
    </row>
    <row r="17" spans="1:9" ht="31.5" x14ac:dyDescent="0.25">
      <c r="A17" s="258">
        <f t="shared" si="0"/>
        <v>12</v>
      </c>
      <c r="B17" s="336" t="s">
        <v>754</v>
      </c>
      <c r="C17" s="614">
        <v>671859.15</v>
      </c>
      <c r="D17" s="614">
        <v>19087.96</v>
      </c>
      <c r="E17" s="614">
        <v>656529.65</v>
      </c>
      <c r="F17" s="614">
        <v>45717.25</v>
      </c>
      <c r="G17" s="261">
        <f t="shared" si="1"/>
        <v>-15329.5</v>
      </c>
      <c r="H17" s="262">
        <f t="shared" si="1"/>
        <v>26629.29</v>
      </c>
      <c r="I17" s="263"/>
    </row>
    <row r="18" spans="1:9" ht="15.75" customHeight="1" x14ac:dyDescent="0.25">
      <c r="A18" s="258">
        <f t="shared" si="0"/>
        <v>13</v>
      </c>
      <c r="B18" s="334" t="s">
        <v>753</v>
      </c>
      <c r="C18" s="614">
        <v>41945.62</v>
      </c>
      <c r="D18" s="614">
        <v>10356.93</v>
      </c>
      <c r="E18" s="614">
        <v>54199.43</v>
      </c>
      <c r="F18" s="614">
        <v>2412.61</v>
      </c>
      <c r="G18" s="261">
        <f t="shared" si="1"/>
        <v>12253.809999999998</v>
      </c>
      <c r="H18" s="262">
        <f t="shared" si="1"/>
        <v>-7944.32</v>
      </c>
      <c r="I18" s="263"/>
    </row>
    <row r="19" spans="1:9" x14ac:dyDescent="0.25">
      <c r="A19" s="258">
        <f t="shared" si="0"/>
        <v>14</v>
      </c>
      <c r="B19" s="333" t="s">
        <v>552</v>
      </c>
      <c r="C19" s="613">
        <f>SUM(C20:C25)</f>
        <v>1815634.98</v>
      </c>
      <c r="D19" s="613">
        <f>SUM(D20:D25)</f>
        <v>49441.29</v>
      </c>
      <c r="E19" s="613">
        <f>SUM(E20:E25)</f>
        <v>2368405.1199999996</v>
      </c>
      <c r="F19" s="613">
        <f>SUM(F20:F25)</f>
        <v>77444.479999999981</v>
      </c>
      <c r="G19" s="259">
        <f t="shared" si="1"/>
        <v>552770.13999999966</v>
      </c>
      <c r="H19" s="260">
        <f t="shared" si="1"/>
        <v>28003.189999999981</v>
      </c>
    </row>
    <row r="20" spans="1:9" x14ac:dyDescent="0.25">
      <c r="A20" s="258">
        <f t="shared" si="0"/>
        <v>15</v>
      </c>
      <c r="B20" s="334" t="s">
        <v>755</v>
      </c>
      <c r="C20" s="614">
        <v>543993.01</v>
      </c>
      <c r="D20" s="614">
        <v>18709.189999999999</v>
      </c>
      <c r="E20" s="614">
        <v>862897.8</v>
      </c>
      <c r="F20" s="614">
        <v>20257.099999999999</v>
      </c>
      <c r="G20" s="261">
        <f t="shared" si="1"/>
        <v>318904.79000000004</v>
      </c>
      <c r="H20" s="262">
        <f t="shared" si="1"/>
        <v>1547.9099999999999</v>
      </c>
    </row>
    <row r="21" spans="1:9" x14ac:dyDescent="0.25">
      <c r="A21" s="258">
        <f t="shared" si="0"/>
        <v>16</v>
      </c>
      <c r="B21" s="334" t="s">
        <v>756</v>
      </c>
      <c r="C21" s="614">
        <v>1058736.26</v>
      </c>
      <c r="D21" s="614">
        <v>15689.21</v>
      </c>
      <c r="E21" s="614">
        <v>1118334.8799999999</v>
      </c>
      <c r="F21" s="614">
        <v>24341.52</v>
      </c>
      <c r="G21" s="261">
        <f t="shared" si="1"/>
        <v>59598.619999999879</v>
      </c>
      <c r="H21" s="262">
        <f t="shared" si="1"/>
        <v>8652.3100000000013</v>
      </c>
    </row>
    <row r="22" spans="1:9" x14ac:dyDescent="0.25">
      <c r="A22" s="258">
        <f t="shared" si="0"/>
        <v>17</v>
      </c>
      <c r="B22" s="334" t="s">
        <v>757</v>
      </c>
      <c r="C22" s="614">
        <v>128754.92</v>
      </c>
      <c r="D22" s="614">
        <v>10991.41</v>
      </c>
      <c r="E22" s="614">
        <v>155326.35</v>
      </c>
      <c r="F22" s="614">
        <v>21508.06</v>
      </c>
      <c r="G22" s="261">
        <f t="shared" si="1"/>
        <v>26571.430000000008</v>
      </c>
      <c r="H22" s="262">
        <f t="shared" si="1"/>
        <v>10516.650000000001</v>
      </c>
    </row>
    <row r="23" spans="1:9" x14ac:dyDescent="0.25">
      <c r="A23" s="258">
        <f t="shared" si="0"/>
        <v>18</v>
      </c>
      <c r="B23" s="334" t="s">
        <v>758</v>
      </c>
      <c r="C23" s="614">
        <v>82444.34</v>
      </c>
      <c r="D23" s="614">
        <v>4023.4</v>
      </c>
      <c r="E23" s="614">
        <v>231027.33</v>
      </c>
      <c r="F23" s="614">
        <v>11131.18</v>
      </c>
      <c r="G23" s="261">
        <f t="shared" si="1"/>
        <v>148582.99</v>
      </c>
      <c r="H23" s="262">
        <f t="shared" si="1"/>
        <v>7107.7800000000007</v>
      </c>
    </row>
    <row r="24" spans="1:9" x14ac:dyDescent="0.25">
      <c r="A24" s="258">
        <f t="shared" si="0"/>
        <v>19</v>
      </c>
      <c r="B24" s="334" t="s">
        <v>759</v>
      </c>
      <c r="C24" s="614">
        <v>1706.45</v>
      </c>
      <c r="D24" s="614">
        <v>28.08</v>
      </c>
      <c r="E24" s="614">
        <v>818.76</v>
      </c>
      <c r="F24" s="614">
        <v>206.62</v>
      </c>
      <c r="G24" s="261">
        <f t="shared" si="1"/>
        <v>-887.69</v>
      </c>
      <c r="H24" s="262">
        <f t="shared" si="1"/>
        <v>178.54000000000002</v>
      </c>
    </row>
    <row r="25" spans="1:9" x14ac:dyDescent="0.25">
      <c r="A25" s="258">
        <f t="shared" si="0"/>
        <v>20</v>
      </c>
      <c r="B25" s="334" t="s">
        <v>760</v>
      </c>
      <c r="C25" s="614">
        <v>0</v>
      </c>
      <c r="D25" s="614">
        <v>0</v>
      </c>
      <c r="E25" s="614">
        <v>0</v>
      </c>
      <c r="F25" s="614">
        <v>0</v>
      </c>
      <c r="G25" s="261">
        <f t="shared" si="1"/>
        <v>0</v>
      </c>
      <c r="H25" s="262">
        <f t="shared" si="1"/>
        <v>0</v>
      </c>
    </row>
    <row r="26" spans="1:9" x14ac:dyDescent="0.25">
      <c r="A26" s="258">
        <f t="shared" si="0"/>
        <v>21</v>
      </c>
      <c r="B26" s="333" t="s">
        <v>149</v>
      </c>
      <c r="C26" s="615" t="s">
        <v>139</v>
      </c>
      <c r="D26" s="615" t="s">
        <v>139</v>
      </c>
      <c r="E26" s="615" t="s">
        <v>139</v>
      </c>
      <c r="F26" s="615" t="s">
        <v>139</v>
      </c>
      <c r="G26" s="264" t="s">
        <v>57</v>
      </c>
      <c r="H26" s="265" t="s">
        <v>57</v>
      </c>
    </row>
    <row r="27" spans="1:9" x14ac:dyDescent="0.25">
      <c r="A27" s="258">
        <f t="shared" si="0"/>
        <v>22</v>
      </c>
      <c r="B27" s="333" t="s">
        <v>553</v>
      </c>
      <c r="C27" s="613">
        <f>SUM(C28:C31)</f>
        <v>0</v>
      </c>
      <c r="D27" s="613">
        <f>SUM(D28:D31)</f>
        <v>63461.61</v>
      </c>
      <c r="E27" s="613">
        <f>SUM(E28:E31)</f>
        <v>2711.31</v>
      </c>
      <c r="F27" s="613">
        <f>SUM(F28:F31)</f>
        <v>68948.039999999994</v>
      </c>
      <c r="G27" s="259">
        <f t="shared" si="1"/>
        <v>2711.31</v>
      </c>
      <c r="H27" s="260">
        <f t="shared" si="1"/>
        <v>5486.429999999993</v>
      </c>
    </row>
    <row r="28" spans="1:9" x14ac:dyDescent="0.25">
      <c r="A28" s="258">
        <f t="shared" si="0"/>
        <v>23</v>
      </c>
      <c r="B28" s="337" t="s">
        <v>112</v>
      </c>
      <c r="C28" s="614"/>
      <c r="D28" s="614"/>
      <c r="E28" s="614"/>
      <c r="F28" s="614"/>
      <c r="G28" s="261">
        <f t="shared" si="1"/>
        <v>0</v>
      </c>
      <c r="H28" s="262">
        <f t="shared" si="1"/>
        <v>0</v>
      </c>
    </row>
    <row r="29" spans="1:9" x14ac:dyDescent="0.25">
      <c r="A29" s="258">
        <f t="shared" si="0"/>
        <v>24</v>
      </c>
      <c r="B29" s="338" t="s">
        <v>131</v>
      </c>
      <c r="C29" s="614"/>
      <c r="D29" s="614"/>
      <c r="E29" s="614"/>
      <c r="F29" s="614"/>
      <c r="G29" s="261">
        <f t="shared" si="1"/>
        <v>0</v>
      </c>
      <c r="H29" s="262">
        <f t="shared" si="1"/>
        <v>0</v>
      </c>
    </row>
    <row r="30" spans="1:9" x14ac:dyDescent="0.25">
      <c r="A30" s="258">
        <f t="shared" si="0"/>
        <v>25</v>
      </c>
      <c r="B30" s="338" t="s">
        <v>19</v>
      </c>
      <c r="C30" s="614"/>
      <c r="D30" s="614"/>
      <c r="E30" s="614"/>
      <c r="F30" s="614"/>
      <c r="G30" s="261">
        <f t="shared" si="1"/>
        <v>0</v>
      </c>
      <c r="H30" s="262">
        <f t="shared" si="1"/>
        <v>0</v>
      </c>
    </row>
    <row r="31" spans="1:9" x14ac:dyDescent="0.25">
      <c r="A31" s="258">
        <f t="shared" si="0"/>
        <v>26</v>
      </c>
      <c r="B31" s="337" t="s">
        <v>20</v>
      </c>
      <c r="C31" s="614"/>
      <c r="D31" s="614">
        <v>63461.61</v>
      </c>
      <c r="E31" s="614">
        <v>2711.31</v>
      </c>
      <c r="F31" s="614">
        <v>68948.039999999994</v>
      </c>
      <c r="G31" s="261">
        <f t="shared" si="1"/>
        <v>2711.31</v>
      </c>
      <c r="H31" s="262">
        <f t="shared" si="1"/>
        <v>5486.429999999993</v>
      </c>
    </row>
    <row r="32" spans="1:9" x14ac:dyDescent="0.25">
      <c r="A32" s="258">
        <f t="shared" si="0"/>
        <v>27</v>
      </c>
      <c r="B32" s="333" t="s">
        <v>554</v>
      </c>
      <c r="C32" s="613">
        <f>SUM(C33:C39)</f>
        <v>712767.37000000011</v>
      </c>
      <c r="D32" s="613">
        <f>SUM(D33:D39)</f>
        <v>37508.1</v>
      </c>
      <c r="E32" s="613">
        <f>SUM(E33:E39)</f>
        <v>757310.98</v>
      </c>
      <c r="F32" s="613">
        <f>SUM(F33:F39)</f>
        <v>22131.23</v>
      </c>
      <c r="G32" s="259">
        <f t="shared" si="1"/>
        <v>44543.60999999987</v>
      </c>
      <c r="H32" s="260">
        <f t="shared" si="1"/>
        <v>-15376.869999999999</v>
      </c>
    </row>
    <row r="33" spans="1:9" x14ac:dyDescent="0.25">
      <c r="A33" s="258">
        <f t="shared" si="0"/>
        <v>28</v>
      </c>
      <c r="B33" s="334" t="s">
        <v>761</v>
      </c>
      <c r="C33" s="614">
        <v>352814.86</v>
      </c>
      <c r="D33" s="614">
        <v>1057.29</v>
      </c>
      <c r="E33" s="614">
        <v>347051.15</v>
      </c>
      <c r="F33" s="614">
        <v>0</v>
      </c>
      <c r="G33" s="261">
        <f t="shared" si="1"/>
        <v>-5763.7099999999627</v>
      </c>
      <c r="H33" s="262">
        <f t="shared" si="1"/>
        <v>-1057.29</v>
      </c>
    </row>
    <row r="34" spans="1:9" ht="31.5" x14ac:dyDescent="0.25">
      <c r="A34" s="258">
        <f t="shared" si="0"/>
        <v>29</v>
      </c>
      <c r="B34" s="334" t="s">
        <v>762</v>
      </c>
      <c r="C34" s="614">
        <v>212205.45</v>
      </c>
      <c r="D34" s="614">
        <v>11818.37</v>
      </c>
      <c r="E34" s="614">
        <v>236974.11</v>
      </c>
      <c r="F34" s="614">
        <v>9056.2099999999991</v>
      </c>
      <c r="G34" s="261">
        <f t="shared" si="1"/>
        <v>24768.659999999974</v>
      </c>
      <c r="H34" s="262">
        <f t="shared" si="1"/>
        <v>-2762.1600000000017</v>
      </c>
      <c r="I34" s="263"/>
    </row>
    <row r="35" spans="1:9" x14ac:dyDescent="0.25">
      <c r="A35" s="258">
        <f t="shared" si="0"/>
        <v>30</v>
      </c>
      <c r="B35" s="334" t="s">
        <v>763</v>
      </c>
      <c r="C35" s="614">
        <v>19209.900000000001</v>
      </c>
      <c r="D35" s="614">
        <v>3872.84</v>
      </c>
      <c r="E35" s="614">
        <v>23570.71</v>
      </c>
      <c r="F35" s="614">
        <v>3251.36</v>
      </c>
      <c r="G35" s="261">
        <f t="shared" si="1"/>
        <v>4360.8099999999977</v>
      </c>
      <c r="H35" s="262">
        <f t="shared" si="1"/>
        <v>-621.48</v>
      </c>
    </row>
    <row r="36" spans="1:9" x14ac:dyDescent="0.25">
      <c r="A36" s="258">
        <f t="shared" si="0"/>
        <v>31</v>
      </c>
      <c r="B36" s="334" t="s">
        <v>764</v>
      </c>
      <c r="C36" s="614">
        <v>46501.37</v>
      </c>
      <c r="D36" s="614">
        <v>20190.2</v>
      </c>
      <c r="E36" s="614">
        <v>57605.73</v>
      </c>
      <c r="F36" s="614">
        <v>9823.66</v>
      </c>
      <c r="G36" s="261">
        <f t="shared" si="1"/>
        <v>11104.36</v>
      </c>
      <c r="H36" s="262">
        <f t="shared" si="1"/>
        <v>-10366.540000000001</v>
      </c>
    </row>
    <row r="37" spans="1:9" x14ac:dyDescent="0.25">
      <c r="A37" s="258">
        <f t="shared" si="0"/>
        <v>32</v>
      </c>
      <c r="B37" s="336" t="s">
        <v>766</v>
      </c>
      <c r="C37" s="614">
        <v>2326.8000000000002</v>
      </c>
      <c r="D37" s="614">
        <v>0</v>
      </c>
      <c r="E37" s="614">
        <v>13184</v>
      </c>
      <c r="F37" s="614">
        <v>0</v>
      </c>
      <c r="G37" s="261">
        <f t="shared" si="1"/>
        <v>10857.2</v>
      </c>
      <c r="H37" s="262">
        <f t="shared" si="1"/>
        <v>0</v>
      </c>
    </row>
    <row r="38" spans="1:9" x14ac:dyDescent="0.25">
      <c r="A38" s="258">
        <f t="shared" si="0"/>
        <v>33</v>
      </c>
      <c r="B38" s="334" t="s">
        <v>765</v>
      </c>
      <c r="C38" s="614">
        <v>27043.99</v>
      </c>
      <c r="D38" s="614">
        <v>569.4</v>
      </c>
      <c r="E38" s="614">
        <v>44367.64</v>
      </c>
      <c r="F38" s="614">
        <v>0</v>
      </c>
      <c r="G38" s="261">
        <f t="shared" si="1"/>
        <v>17323.649999999998</v>
      </c>
      <c r="H38" s="262">
        <f t="shared" si="1"/>
        <v>-569.4</v>
      </c>
    </row>
    <row r="39" spans="1:9" x14ac:dyDescent="0.25">
      <c r="A39" s="258">
        <f t="shared" si="0"/>
        <v>34</v>
      </c>
      <c r="B39" s="334" t="s">
        <v>42</v>
      </c>
      <c r="C39" s="614">
        <v>52665</v>
      </c>
      <c r="D39" s="614">
        <v>0</v>
      </c>
      <c r="E39" s="614">
        <v>34557.64</v>
      </c>
      <c r="F39" s="614">
        <v>0</v>
      </c>
      <c r="G39" s="261">
        <f t="shared" si="1"/>
        <v>-18107.36</v>
      </c>
      <c r="H39" s="262">
        <f t="shared" si="1"/>
        <v>0</v>
      </c>
    </row>
    <row r="40" spans="1:9" x14ac:dyDescent="0.25">
      <c r="A40" s="258">
        <f t="shared" si="0"/>
        <v>35</v>
      </c>
      <c r="B40" s="333" t="s">
        <v>555</v>
      </c>
      <c r="C40" s="613">
        <f>C41+C42</f>
        <v>559975.09</v>
      </c>
      <c r="D40" s="613">
        <f>D41+D42</f>
        <v>148.55000000000001</v>
      </c>
      <c r="E40" s="613">
        <f>E41+E42</f>
        <v>1225406.26</v>
      </c>
      <c r="F40" s="613">
        <f>F41+F42</f>
        <v>2978.9100000000003</v>
      </c>
      <c r="G40" s="259">
        <f t="shared" si="1"/>
        <v>665431.17000000004</v>
      </c>
      <c r="H40" s="260">
        <f t="shared" si="1"/>
        <v>2830.36</v>
      </c>
    </row>
    <row r="41" spans="1:9" x14ac:dyDescent="0.25">
      <c r="A41" s="258">
        <f t="shared" si="0"/>
        <v>36</v>
      </c>
      <c r="B41" s="334" t="s">
        <v>767</v>
      </c>
      <c r="C41" s="614">
        <v>49612.77</v>
      </c>
      <c r="D41" s="614">
        <v>148.55000000000001</v>
      </c>
      <c r="E41" s="614">
        <v>110245.01</v>
      </c>
      <c r="F41" s="614">
        <v>3149.38</v>
      </c>
      <c r="G41" s="261">
        <f t="shared" si="1"/>
        <v>60632.24</v>
      </c>
      <c r="H41" s="262">
        <f t="shared" si="1"/>
        <v>3000.83</v>
      </c>
    </row>
    <row r="42" spans="1:9" x14ac:dyDescent="0.25">
      <c r="A42" s="258">
        <f t="shared" si="0"/>
        <v>37</v>
      </c>
      <c r="B42" s="334" t="s">
        <v>768</v>
      </c>
      <c r="C42" s="614">
        <v>510362.32</v>
      </c>
      <c r="D42" s="614">
        <v>0</v>
      </c>
      <c r="E42" s="614">
        <v>1115161.25</v>
      </c>
      <c r="F42" s="614">
        <v>-170.47</v>
      </c>
      <c r="G42" s="261">
        <f t="shared" si="1"/>
        <v>604798.92999999993</v>
      </c>
      <c r="H42" s="262">
        <f t="shared" si="1"/>
        <v>-170.47</v>
      </c>
      <c r="I42" s="263"/>
    </row>
    <row r="43" spans="1:9" x14ac:dyDescent="0.25">
      <c r="A43" s="258">
        <f t="shared" si="0"/>
        <v>38</v>
      </c>
      <c r="B43" s="333" t="s">
        <v>150</v>
      </c>
      <c r="C43" s="616">
        <v>30780.79</v>
      </c>
      <c r="D43" s="616">
        <v>0</v>
      </c>
      <c r="E43" s="616">
        <v>63297.54</v>
      </c>
      <c r="F43" s="616">
        <v>128.88</v>
      </c>
      <c r="G43" s="261">
        <f t="shared" si="1"/>
        <v>32516.75</v>
      </c>
      <c r="H43" s="262">
        <f t="shared" si="1"/>
        <v>128.88</v>
      </c>
    </row>
    <row r="44" spans="1:9" x14ac:dyDescent="0.25">
      <c r="A44" s="258">
        <f t="shared" si="0"/>
        <v>39</v>
      </c>
      <c r="B44" s="333" t="s">
        <v>556</v>
      </c>
      <c r="C44" s="613">
        <f>SUM(C45:C59)</f>
        <v>4058557.3800000004</v>
      </c>
      <c r="D44" s="613">
        <f>SUM(D45:D59)</f>
        <v>29359.460000000006</v>
      </c>
      <c r="E44" s="613">
        <f>SUM(E45:E59)</f>
        <v>5789602.3600000003</v>
      </c>
      <c r="F44" s="613">
        <f>SUM(F45:F59)</f>
        <v>116543.38</v>
      </c>
      <c r="G44" s="259">
        <f t="shared" si="1"/>
        <v>1731044.98</v>
      </c>
      <c r="H44" s="260">
        <f t="shared" si="1"/>
        <v>87183.92</v>
      </c>
    </row>
    <row r="45" spans="1:9" x14ac:dyDescent="0.25">
      <c r="A45" s="258">
        <f t="shared" si="0"/>
        <v>40</v>
      </c>
      <c r="B45" s="334" t="s">
        <v>769</v>
      </c>
      <c r="C45" s="614">
        <v>142357.01</v>
      </c>
      <c r="D45" s="614">
        <v>0</v>
      </c>
      <c r="E45" s="614">
        <v>142616.62</v>
      </c>
      <c r="F45" s="614">
        <v>17500</v>
      </c>
      <c r="G45" s="261">
        <f t="shared" si="1"/>
        <v>259.60999999998603</v>
      </c>
      <c r="H45" s="262">
        <f t="shared" si="1"/>
        <v>17500</v>
      </c>
    </row>
    <row r="46" spans="1:9" x14ac:dyDescent="0.25">
      <c r="A46" s="258">
        <f t="shared" si="0"/>
        <v>41</v>
      </c>
      <c r="B46" s="334" t="s">
        <v>43</v>
      </c>
      <c r="C46" s="614">
        <v>6611.54</v>
      </c>
      <c r="D46" s="614">
        <v>948.02</v>
      </c>
      <c r="E46" s="614">
        <v>15145.83</v>
      </c>
      <c r="F46" s="614">
        <v>411.86</v>
      </c>
      <c r="G46" s="261">
        <f t="shared" si="1"/>
        <v>8534.2900000000009</v>
      </c>
      <c r="H46" s="262">
        <f t="shared" si="1"/>
        <v>-536.16</v>
      </c>
    </row>
    <row r="47" spans="1:9" x14ac:dyDescent="0.25">
      <c r="A47" s="258">
        <f t="shared" si="0"/>
        <v>42</v>
      </c>
      <c r="B47" s="334" t="s">
        <v>770</v>
      </c>
      <c r="C47" s="614">
        <v>70326.52</v>
      </c>
      <c r="D47" s="614">
        <v>0</v>
      </c>
      <c r="E47" s="614">
        <v>160949.4</v>
      </c>
      <c r="F47" s="614">
        <v>1645</v>
      </c>
      <c r="G47" s="261">
        <f t="shared" si="1"/>
        <v>90622.87999999999</v>
      </c>
      <c r="H47" s="262">
        <f t="shared" si="1"/>
        <v>1645</v>
      </c>
    </row>
    <row r="48" spans="1:9" x14ac:dyDescent="0.25">
      <c r="A48" s="258">
        <f t="shared" si="0"/>
        <v>43</v>
      </c>
      <c r="B48" s="334" t="s">
        <v>771</v>
      </c>
      <c r="C48" s="614">
        <v>32598.54</v>
      </c>
      <c r="D48" s="614">
        <v>140</v>
      </c>
      <c r="E48" s="614">
        <v>23171.18</v>
      </c>
      <c r="F48" s="614">
        <v>8614.8700000000008</v>
      </c>
      <c r="G48" s="261">
        <f t="shared" si="1"/>
        <v>-9427.36</v>
      </c>
      <c r="H48" s="262">
        <f t="shared" si="1"/>
        <v>8474.8700000000008</v>
      </c>
    </row>
    <row r="49" spans="1:11" x14ac:dyDescent="0.25">
      <c r="A49" s="258">
        <f t="shared" si="0"/>
        <v>44</v>
      </c>
      <c r="B49" s="334" t="s">
        <v>772</v>
      </c>
      <c r="C49" s="614">
        <v>39124.379999999997</v>
      </c>
      <c r="D49" s="614">
        <v>2889.05</v>
      </c>
      <c r="E49" s="614">
        <v>37049.379999999997</v>
      </c>
      <c r="F49" s="614">
        <v>3297.78</v>
      </c>
      <c r="G49" s="261">
        <f t="shared" si="1"/>
        <v>-2075</v>
      </c>
      <c r="H49" s="262">
        <f t="shared" si="1"/>
        <v>408.73</v>
      </c>
    </row>
    <row r="50" spans="1:11" x14ac:dyDescent="0.25">
      <c r="A50" s="258">
        <f t="shared" si="0"/>
        <v>45</v>
      </c>
      <c r="B50" s="334" t="s">
        <v>773</v>
      </c>
      <c r="C50" s="614">
        <v>3444.05</v>
      </c>
      <c r="D50" s="614">
        <v>217.15</v>
      </c>
      <c r="E50" s="614">
        <v>2628.59</v>
      </c>
      <c r="F50" s="614">
        <v>166.08</v>
      </c>
      <c r="G50" s="261">
        <f t="shared" si="1"/>
        <v>-815.46</v>
      </c>
      <c r="H50" s="262">
        <f t="shared" si="1"/>
        <v>-51.069999999999993</v>
      </c>
    </row>
    <row r="51" spans="1:11" x14ac:dyDescent="0.25">
      <c r="A51" s="258">
        <f t="shared" si="0"/>
        <v>46</v>
      </c>
      <c r="B51" s="334" t="s">
        <v>774</v>
      </c>
      <c r="C51" s="614">
        <v>55572.86</v>
      </c>
      <c r="D51" s="614">
        <v>5160.46</v>
      </c>
      <c r="E51" s="614">
        <v>59214.58</v>
      </c>
      <c r="F51" s="614">
        <v>3507.79</v>
      </c>
      <c r="G51" s="261">
        <f t="shared" si="1"/>
        <v>3641.7200000000012</v>
      </c>
      <c r="H51" s="262">
        <f t="shared" si="1"/>
        <v>-1652.67</v>
      </c>
    </row>
    <row r="52" spans="1:11" x14ac:dyDescent="0.25">
      <c r="A52" s="258">
        <f t="shared" si="0"/>
        <v>47</v>
      </c>
      <c r="B52" s="334" t="s">
        <v>775</v>
      </c>
      <c r="C52" s="614">
        <v>58861.64</v>
      </c>
      <c r="D52" s="614">
        <v>7033.88</v>
      </c>
      <c r="E52" s="614">
        <v>90531.45</v>
      </c>
      <c r="F52" s="614">
        <v>6381.55</v>
      </c>
      <c r="G52" s="261">
        <f t="shared" si="1"/>
        <v>31669.809999999998</v>
      </c>
      <c r="H52" s="262">
        <f t="shared" si="1"/>
        <v>-652.32999999999993</v>
      </c>
    </row>
    <row r="53" spans="1:11" x14ac:dyDescent="0.25">
      <c r="A53" s="258">
        <f t="shared" si="0"/>
        <v>48</v>
      </c>
      <c r="B53" s="334" t="s">
        <v>44</v>
      </c>
      <c r="C53" s="614">
        <v>85948.68</v>
      </c>
      <c r="D53" s="614">
        <v>2774.13</v>
      </c>
      <c r="E53" s="614">
        <v>89229.74</v>
      </c>
      <c r="F53" s="614">
        <v>2051.62</v>
      </c>
      <c r="G53" s="261">
        <f t="shared" si="1"/>
        <v>3281.0600000000122</v>
      </c>
      <c r="H53" s="262">
        <f t="shared" si="1"/>
        <v>-722.51000000000022</v>
      </c>
    </row>
    <row r="54" spans="1:11" x14ac:dyDescent="0.25">
      <c r="A54" s="258">
        <f t="shared" si="0"/>
        <v>49</v>
      </c>
      <c r="B54" s="334" t="s">
        <v>45</v>
      </c>
      <c r="C54" s="614">
        <v>0</v>
      </c>
      <c r="D54" s="614">
        <v>0</v>
      </c>
      <c r="E54" s="614">
        <v>0</v>
      </c>
      <c r="F54" s="614">
        <v>0</v>
      </c>
      <c r="G54" s="261">
        <f t="shared" si="1"/>
        <v>0</v>
      </c>
      <c r="H54" s="262">
        <f t="shared" si="1"/>
        <v>0</v>
      </c>
    </row>
    <row r="55" spans="1:11" x14ac:dyDescent="0.25">
      <c r="A55" s="258">
        <f t="shared" si="0"/>
        <v>50</v>
      </c>
      <c r="B55" s="334" t="s">
        <v>776</v>
      </c>
      <c r="C55" s="614">
        <v>11765.78</v>
      </c>
      <c r="D55" s="614">
        <v>28.31</v>
      </c>
      <c r="E55" s="614">
        <v>15112.24</v>
      </c>
      <c r="F55" s="614">
        <v>40</v>
      </c>
      <c r="G55" s="261">
        <f t="shared" si="1"/>
        <v>3346.4599999999991</v>
      </c>
      <c r="H55" s="262">
        <f t="shared" si="1"/>
        <v>11.690000000000001</v>
      </c>
    </row>
    <row r="56" spans="1:11" x14ac:dyDescent="0.25">
      <c r="A56" s="258">
        <f t="shared" si="0"/>
        <v>51</v>
      </c>
      <c r="B56" s="334" t="s">
        <v>777</v>
      </c>
      <c r="C56" s="614">
        <v>125886.64</v>
      </c>
      <c r="D56" s="614">
        <v>1348.31</v>
      </c>
      <c r="E56" s="614">
        <v>392817.99</v>
      </c>
      <c r="F56" s="614">
        <v>2341.9699999999998</v>
      </c>
      <c r="G56" s="261">
        <f t="shared" si="1"/>
        <v>266931.34999999998</v>
      </c>
      <c r="H56" s="262">
        <f t="shared" si="1"/>
        <v>993.65999999999985</v>
      </c>
    </row>
    <row r="57" spans="1:11" x14ac:dyDescent="0.25">
      <c r="A57" s="258">
        <f t="shared" si="0"/>
        <v>52</v>
      </c>
      <c r="B57" s="334" t="s">
        <v>35</v>
      </c>
      <c r="C57" s="614">
        <v>0</v>
      </c>
      <c r="D57" s="614">
        <v>0</v>
      </c>
      <c r="E57" s="614">
        <v>0</v>
      </c>
      <c r="F57" s="614">
        <v>0</v>
      </c>
      <c r="G57" s="261">
        <f t="shared" si="1"/>
        <v>0</v>
      </c>
      <c r="H57" s="262">
        <f t="shared" si="1"/>
        <v>0</v>
      </c>
    </row>
    <row r="58" spans="1:11" ht="47.25" x14ac:dyDescent="0.25">
      <c r="A58" s="258">
        <f t="shared" si="0"/>
        <v>53</v>
      </c>
      <c r="B58" s="334" t="s">
        <v>833</v>
      </c>
      <c r="C58" s="614">
        <v>3425230.6</v>
      </c>
      <c r="D58" s="614">
        <v>8820.15</v>
      </c>
      <c r="E58" s="614">
        <v>4760835.3600000003</v>
      </c>
      <c r="F58" s="614">
        <v>70584.86</v>
      </c>
      <c r="G58" s="261">
        <f t="shared" si="1"/>
        <v>1335604.7600000002</v>
      </c>
      <c r="H58" s="262">
        <f t="shared" si="1"/>
        <v>61764.71</v>
      </c>
      <c r="J58" s="475"/>
      <c r="K58" s="475"/>
    </row>
    <row r="59" spans="1:11" x14ac:dyDescent="0.25">
      <c r="A59" s="258">
        <f t="shared" si="0"/>
        <v>54</v>
      </c>
      <c r="B59" s="334" t="s">
        <v>778</v>
      </c>
      <c r="C59" s="614">
        <v>829.14</v>
      </c>
      <c r="D59" s="614">
        <v>0</v>
      </c>
      <c r="E59" s="614">
        <v>300</v>
      </c>
      <c r="F59" s="614">
        <v>0</v>
      </c>
      <c r="G59" s="261">
        <f t="shared" si="1"/>
        <v>-529.14</v>
      </c>
      <c r="H59" s="262">
        <f t="shared" si="1"/>
        <v>0</v>
      </c>
    </row>
    <row r="60" spans="1:11" x14ac:dyDescent="0.25">
      <c r="A60" s="258">
        <f t="shared" si="0"/>
        <v>55</v>
      </c>
      <c r="B60" s="333" t="s">
        <v>779</v>
      </c>
      <c r="C60" s="613">
        <f>C61+C62</f>
        <v>33612827.579999998</v>
      </c>
      <c r="D60" s="613">
        <f>D61+D62</f>
        <v>216995.85</v>
      </c>
      <c r="E60" s="613">
        <f>E61+E62</f>
        <v>35572027.350000001</v>
      </c>
      <c r="F60" s="613">
        <f>F61+F62</f>
        <v>399476.14999999997</v>
      </c>
      <c r="G60" s="259">
        <f t="shared" si="1"/>
        <v>1959199.7700000033</v>
      </c>
      <c r="H60" s="260">
        <f t="shared" si="1"/>
        <v>182480.29999999996</v>
      </c>
    </row>
    <row r="61" spans="1:11" x14ac:dyDescent="0.25">
      <c r="A61" s="258">
        <f t="shared" si="0"/>
        <v>56</v>
      </c>
      <c r="B61" s="337" t="s">
        <v>620</v>
      </c>
      <c r="C61" s="614">
        <v>33010981.239999998</v>
      </c>
      <c r="D61" s="614">
        <v>198342.85</v>
      </c>
      <c r="E61" s="614">
        <v>34931354.25</v>
      </c>
      <c r="F61" s="614">
        <v>369814.55</v>
      </c>
      <c r="G61" s="261">
        <f t="shared" si="1"/>
        <v>1920373.0100000016</v>
      </c>
      <c r="H61" s="262">
        <f t="shared" si="1"/>
        <v>171471.69999999998</v>
      </c>
      <c r="I61" s="641"/>
    </row>
    <row r="62" spans="1:11" x14ac:dyDescent="0.25">
      <c r="A62" s="258">
        <f t="shared" si="0"/>
        <v>57</v>
      </c>
      <c r="B62" s="333" t="s">
        <v>557</v>
      </c>
      <c r="C62" s="613">
        <f>SUM(C63:C65)</f>
        <v>601846.34000000008</v>
      </c>
      <c r="D62" s="613">
        <f>SUM(D63:D65)</f>
        <v>18653</v>
      </c>
      <c r="E62" s="613">
        <f>SUM(E63:E65)</f>
        <v>640673.10000000009</v>
      </c>
      <c r="F62" s="613">
        <f>SUM(F63:F65)</f>
        <v>29661.599999999999</v>
      </c>
      <c r="G62" s="259">
        <f t="shared" si="1"/>
        <v>38826.760000000009</v>
      </c>
      <c r="H62" s="260">
        <f t="shared" si="1"/>
        <v>11008.599999999999</v>
      </c>
    </row>
    <row r="63" spans="1:11" s="267" customFormat="1" x14ac:dyDescent="0.2">
      <c r="A63" s="258">
        <f t="shared" si="0"/>
        <v>58</v>
      </c>
      <c r="B63" s="339" t="s">
        <v>1</v>
      </c>
      <c r="C63" s="617">
        <v>60.86</v>
      </c>
      <c r="D63" s="617">
        <v>0</v>
      </c>
      <c r="E63" s="617">
        <v>85.92</v>
      </c>
      <c r="F63" s="617">
        <v>0</v>
      </c>
      <c r="G63" s="261">
        <f t="shared" si="1"/>
        <v>25.060000000000002</v>
      </c>
      <c r="H63" s="262">
        <f t="shared" si="1"/>
        <v>0</v>
      </c>
      <c r="I63" s="266"/>
    </row>
    <row r="64" spans="1:11" x14ac:dyDescent="0.25">
      <c r="A64" s="258">
        <f t="shared" si="0"/>
        <v>59</v>
      </c>
      <c r="B64" s="339" t="s">
        <v>780</v>
      </c>
      <c r="C64" s="614">
        <v>548660.04</v>
      </c>
      <c r="D64" s="614">
        <v>8645</v>
      </c>
      <c r="E64" s="614">
        <v>535648.17000000004</v>
      </c>
      <c r="F64" s="614">
        <v>23301.599999999999</v>
      </c>
      <c r="G64" s="261">
        <f t="shared" si="1"/>
        <v>-13011.869999999995</v>
      </c>
      <c r="H64" s="262">
        <f t="shared" si="1"/>
        <v>14656.599999999999</v>
      </c>
    </row>
    <row r="65" spans="1:9" x14ac:dyDescent="0.25">
      <c r="A65" s="258">
        <f t="shared" si="0"/>
        <v>60</v>
      </c>
      <c r="B65" s="337" t="s">
        <v>96</v>
      </c>
      <c r="C65" s="614">
        <v>53125.440000000002</v>
      </c>
      <c r="D65" s="614">
        <v>10008</v>
      </c>
      <c r="E65" s="614">
        <v>104939.01</v>
      </c>
      <c r="F65" s="614">
        <v>6360</v>
      </c>
      <c r="G65" s="261">
        <f t="shared" si="1"/>
        <v>51813.569999999992</v>
      </c>
      <c r="H65" s="262">
        <f t="shared" si="1"/>
        <v>-3648</v>
      </c>
    </row>
    <row r="66" spans="1:9" x14ac:dyDescent="0.25">
      <c r="A66" s="258">
        <f t="shared" si="0"/>
        <v>61</v>
      </c>
      <c r="B66" s="333" t="s">
        <v>63</v>
      </c>
      <c r="C66" s="614">
        <v>11513293.24</v>
      </c>
      <c r="D66" s="614">
        <v>65899.05</v>
      </c>
      <c r="E66" s="614">
        <v>12143865.82</v>
      </c>
      <c r="F66" s="614">
        <v>134754.79999999999</v>
      </c>
      <c r="G66" s="261">
        <f t="shared" si="1"/>
        <v>630572.58000000007</v>
      </c>
      <c r="H66" s="262">
        <f t="shared" si="1"/>
        <v>68855.749999999985</v>
      </c>
    </row>
    <row r="67" spans="1:9" x14ac:dyDescent="0.25">
      <c r="A67" s="258">
        <f t="shared" si="0"/>
        <v>62</v>
      </c>
      <c r="B67" s="333" t="s">
        <v>8</v>
      </c>
      <c r="C67" s="614">
        <v>249876.86</v>
      </c>
      <c r="D67" s="614">
        <v>2471.5</v>
      </c>
      <c r="E67" s="614">
        <v>279310.87</v>
      </c>
      <c r="F67" s="614">
        <v>3684.13</v>
      </c>
      <c r="G67" s="261">
        <f t="shared" si="1"/>
        <v>29434.010000000009</v>
      </c>
      <c r="H67" s="262">
        <f t="shared" si="1"/>
        <v>1212.6300000000001</v>
      </c>
    </row>
    <row r="68" spans="1:9" ht="18.75" customHeight="1" x14ac:dyDescent="0.25">
      <c r="A68" s="258">
        <f t="shared" si="0"/>
        <v>63</v>
      </c>
      <c r="B68" s="333" t="s">
        <v>558</v>
      </c>
      <c r="C68" s="613">
        <f>SUM(C69:C74)</f>
        <v>1144285.82</v>
      </c>
      <c r="D68" s="613">
        <f>SUM(D69:D74)</f>
        <v>2814.45</v>
      </c>
      <c r="E68" s="613">
        <f>SUM(E69:E74)</f>
        <v>1313410.5900000001</v>
      </c>
      <c r="F68" s="613">
        <f>SUM(F69:F74)</f>
        <v>9207.3799999999992</v>
      </c>
      <c r="G68" s="259">
        <f t="shared" si="1"/>
        <v>169124.77000000002</v>
      </c>
      <c r="H68" s="260">
        <f t="shared" si="1"/>
        <v>6392.9299999999994</v>
      </c>
    </row>
    <row r="69" spans="1:9" x14ac:dyDescent="0.25">
      <c r="A69" s="258">
        <f t="shared" si="0"/>
        <v>64</v>
      </c>
      <c r="B69" s="334" t="s">
        <v>781</v>
      </c>
      <c r="C69" s="614">
        <v>355107.64</v>
      </c>
      <c r="D69" s="614">
        <v>2069.29</v>
      </c>
      <c r="E69" s="614">
        <v>377207.57</v>
      </c>
      <c r="F69" s="614">
        <v>4211.12</v>
      </c>
      <c r="G69" s="261">
        <f t="shared" si="1"/>
        <v>22099.929999999993</v>
      </c>
      <c r="H69" s="262">
        <f t="shared" si="1"/>
        <v>2141.83</v>
      </c>
    </row>
    <row r="70" spans="1:9" x14ac:dyDescent="0.25">
      <c r="A70" s="258">
        <f t="shared" si="0"/>
        <v>65</v>
      </c>
      <c r="B70" s="334" t="s">
        <v>782</v>
      </c>
      <c r="C70" s="614">
        <v>447584.87</v>
      </c>
      <c r="D70" s="614">
        <v>0</v>
      </c>
      <c r="E70" s="614">
        <v>520143.52</v>
      </c>
      <c r="F70" s="614">
        <v>0</v>
      </c>
      <c r="G70" s="261">
        <f t="shared" si="1"/>
        <v>72558.650000000023</v>
      </c>
      <c r="H70" s="262">
        <f t="shared" si="1"/>
        <v>0</v>
      </c>
    </row>
    <row r="71" spans="1:9" x14ac:dyDescent="0.25">
      <c r="A71" s="258">
        <f t="shared" si="0"/>
        <v>66</v>
      </c>
      <c r="B71" s="334" t="s">
        <v>783</v>
      </c>
      <c r="C71" s="614">
        <v>179129.94</v>
      </c>
      <c r="D71" s="614">
        <v>0</v>
      </c>
      <c r="E71" s="614">
        <v>124158</v>
      </c>
      <c r="F71" s="614">
        <v>2967</v>
      </c>
      <c r="G71" s="261">
        <f t="shared" si="1"/>
        <v>-54971.94</v>
      </c>
      <c r="H71" s="262">
        <f t="shared" si="1"/>
        <v>2967</v>
      </c>
    </row>
    <row r="72" spans="1:9" x14ac:dyDescent="0.25">
      <c r="A72" s="258">
        <f t="shared" ref="A72:A104" si="2">A71+1</f>
        <v>67</v>
      </c>
      <c r="B72" s="334" t="s">
        <v>784</v>
      </c>
      <c r="C72" s="614">
        <v>74241.52</v>
      </c>
      <c r="D72" s="614">
        <v>745.16</v>
      </c>
      <c r="E72" s="614">
        <v>185780.21</v>
      </c>
      <c r="F72" s="614">
        <v>2029.26</v>
      </c>
      <c r="G72" s="261">
        <f t="shared" ref="G72:H103" si="3">E72-C72</f>
        <v>111538.68999999999</v>
      </c>
      <c r="H72" s="262">
        <f t="shared" si="3"/>
        <v>1284.0999999999999</v>
      </c>
    </row>
    <row r="73" spans="1:9" x14ac:dyDescent="0.25">
      <c r="A73" s="258">
        <f t="shared" si="2"/>
        <v>68</v>
      </c>
      <c r="B73" s="334" t="s">
        <v>785</v>
      </c>
      <c r="C73" s="614">
        <v>0</v>
      </c>
      <c r="D73" s="614">
        <v>0</v>
      </c>
      <c r="E73" s="614">
        <v>0</v>
      </c>
      <c r="F73" s="614">
        <v>0</v>
      </c>
      <c r="G73" s="261">
        <f t="shared" si="3"/>
        <v>0</v>
      </c>
      <c r="H73" s="262">
        <f t="shared" si="3"/>
        <v>0</v>
      </c>
    </row>
    <row r="74" spans="1:9" x14ac:dyDescent="0.25">
      <c r="A74" s="258">
        <f t="shared" si="2"/>
        <v>69</v>
      </c>
      <c r="B74" s="334" t="s">
        <v>842</v>
      </c>
      <c r="C74" s="614">
        <v>88221.85</v>
      </c>
      <c r="D74" s="614">
        <v>0</v>
      </c>
      <c r="E74" s="614">
        <v>106121.29</v>
      </c>
      <c r="F74" s="614">
        <v>0</v>
      </c>
      <c r="G74" s="261">
        <f t="shared" si="3"/>
        <v>17899.439999999988</v>
      </c>
      <c r="H74" s="262">
        <f t="shared" si="3"/>
        <v>0</v>
      </c>
      <c r="I74" s="208"/>
    </row>
    <row r="75" spans="1:9" x14ac:dyDescent="0.25">
      <c r="A75" s="258">
        <f t="shared" si="2"/>
        <v>70</v>
      </c>
      <c r="B75" s="333" t="s">
        <v>15</v>
      </c>
      <c r="C75" s="614">
        <v>1331.37</v>
      </c>
      <c r="D75" s="614">
        <v>0</v>
      </c>
      <c r="E75" s="614">
        <v>0</v>
      </c>
      <c r="F75" s="614">
        <v>0</v>
      </c>
      <c r="G75" s="261">
        <f t="shared" si="3"/>
        <v>-1331.37</v>
      </c>
      <c r="H75" s="262">
        <f t="shared" si="3"/>
        <v>0</v>
      </c>
      <c r="I75" s="263"/>
    </row>
    <row r="76" spans="1:9" x14ac:dyDescent="0.25">
      <c r="A76" s="258">
        <f t="shared" si="2"/>
        <v>71</v>
      </c>
      <c r="B76" s="333" t="s">
        <v>175</v>
      </c>
      <c r="C76" s="614">
        <v>0</v>
      </c>
      <c r="D76" s="614">
        <v>871.7</v>
      </c>
      <c r="E76" s="614">
        <v>0</v>
      </c>
      <c r="F76" s="614">
        <v>889.6</v>
      </c>
      <c r="G76" s="261">
        <f t="shared" si="3"/>
        <v>0</v>
      </c>
      <c r="H76" s="262">
        <f t="shared" si="3"/>
        <v>17.899999999999977</v>
      </c>
    </row>
    <row r="77" spans="1:9" x14ac:dyDescent="0.25">
      <c r="A77" s="258">
        <f t="shared" si="2"/>
        <v>72</v>
      </c>
      <c r="B77" s="333" t="s">
        <v>64</v>
      </c>
      <c r="C77" s="614">
        <v>32781.019999999997</v>
      </c>
      <c r="D77" s="614">
        <v>3149.36</v>
      </c>
      <c r="E77" s="614">
        <v>33008.82</v>
      </c>
      <c r="F77" s="614">
        <v>2921.56</v>
      </c>
      <c r="G77" s="261">
        <f t="shared" si="3"/>
        <v>227.80000000000291</v>
      </c>
      <c r="H77" s="262">
        <f t="shared" si="3"/>
        <v>-227.80000000000018</v>
      </c>
    </row>
    <row r="78" spans="1:9" x14ac:dyDescent="0.25">
      <c r="A78" s="258">
        <f t="shared" si="2"/>
        <v>73</v>
      </c>
      <c r="B78" s="333" t="s">
        <v>128</v>
      </c>
      <c r="C78" s="614">
        <v>132121.42000000001</v>
      </c>
      <c r="D78" s="614">
        <v>2452.92</v>
      </c>
      <c r="E78" s="614">
        <v>194401.49</v>
      </c>
      <c r="F78" s="614">
        <v>16946.98</v>
      </c>
      <c r="G78" s="261">
        <f t="shared" si="3"/>
        <v>62280.069999999978</v>
      </c>
      <c r="H78" s="262">
        <f t="shared" si="3"/>
        <v>14494.06</v>
      </c>
    </row>
    <row r="79" spans="1:9" x14ac:dyDescent="0.25">
      <c r="A79" s="258">
        <f t="shared" si="2"/>
        <v>74</v>
      </c>
      <c r="B79" s="333" t="s">
        <v>549</v>
      </c>
      <c r="C79" s="613">
        <f>C80+C81</f>
        <v>3467036.9299999997</v>
      </c>
      <c r="D79" s="613">
        <f>D80+D81</f>
        <v>1577.29</v>
      </c>
      <c r="E79" s="613">
        <f>E80+E81</f>
        <v>3461462.7800000003</v>
      </c>
      <c r="F79" s="613">
        <f>F80+F81</f>
        <v>1634.48</v>
      </c>
      <c r="G79" s="259">
        <f t="shared" si="3"/>
        <v>-5574.1499999994412</v>
      </c>
      <c r="H79" s="260">
        <f t="shared" si="3"/>
        <v>57.190000000000055</v>
      </c>
    </row>
    <row r="80" spans="1:9" ht="16.5" customHeight="1" x14ac:dyDescent="0.25">
      <c r="A80" s="258">
        <f t="shared" si="2"/>
        <v>75</v>
      </c>
      <c r="B80" s="333" t="s">
        <v>621</v>
      </c>
      <c r="C80" s="616">
        <v>13332.75</v>
      </c>
      <c r="D80" s="616">
        <v>362.3</v>
      </c>
      <c r="E80" s="616">
        <v>16349.14</v>
      </c>
      <c r="F80" s="616">
        <v>0</v>
      </c>
      <c r="G80" s="261">
        <f t="shared" si="3"/>
        <v>3016.3899999999994</v>
      </c>
      <c r="H80" s="262">
        <f t="shared" si="3"/>
        <v>-362.3</v>
      </c>
      <c r="I80" s="263"/>
    </row>
    <row r="81" spans="1:25" x14ac:dyDescent="0.25">
      <c r="A81" s="258">
        <f t="shared" si="2"/>
        <v>76</v>
      </c>
      <c r="B81" s="333" t="s">
        <v>2</v>
      </c>
      <c r="C81" s="613">
        <f>SUM(C82:C89)</f>
        <v>3453704.1799999997</v>
      </c>
      <c r="D81" s="613">
        <f>SUM(D82:D89)</f>
        <v>1214.99</v>
      </c>
      <c r="E81" s="613">
        <f>SUM(E82:E89)</f>
        <v>3445113.64</v>
      </c>
      <c r="F81" s="613">
        <f>SUM(F82:F89)</f>
        <v>1634.48</v>
      </c>
      <c r="G81" s="259">
        <f t="shared" si="3"/>
        <v>-8590.5399999995716</v>
      </c>
      <c r="H81" s="260">
        <f t="shared" si="3"/>
        <v>419.49</v>
      </c>
      <c r="I81" s="263"/>
    </row>
    <row r="82" spans="1:25" ht="16.5" customHeight="1" x14ac:dyDescent="0.25">
      <c r="A82" s="258">
        <f t="shared" si="2"/>
        <v>77</v>
      </c>
      <c r="B82" s="334" t="s">
        <v>786</v>
      </c>
      <c r="C82" s="614">
        <v>3240639.25</v>
      </c>
      <c r="D82" s="614">
        <v>0</v>
      </c>
      <c r="E82" s="614">
        <v>3228887.17</v>
      </c>
      <c r="F82" s="614">
        <v>0</v>
      </c>
      <c r="G82" s="261">
        <f t="shared" si="3"/>
        <v>-11752.080000000075</v>
      </c>
      <c r="H82" s="262">
        <f t="shared" si="3"/>
        <v>0</v>
      </c>
    </row>
    <row r="83" spans="1:25" x14ac:dyDescent="0.25">
      <c r="A83" s="258">
        <f t="shared" si="2"/>
        <v>78</v>
      </c>
      <c r="B83" s="334" t="s">
        <v>46</v>
      </c>
      <c r="C83" s="614">
        <v>12385.57</v>
      </c>
      <c r="D83" s="614">
        <v>456.8</v>
      </c>
      <c r="E83" s="614">
        <v>12430.77</v>
      </c>
      <c r="F83" s="614">
        <v>493.05</v>
      </c>
      <c r="G83" s="261">
        <f t="shared" si="3"/>
        <v>45.200000000000728</v>
      </c>
      <c r="H83" s="262">
        <f t="shared" si="3"/>
        <v>36.25</v>
      </c>
    </row>
    <row r="84" spans="1:25" x14ac:dyDescent="0.25">
      <c r="A84" s="258">
        <f t="shared" si="2"/>
        <v>79</v>
      </c>
      <c r="B84" s="334" t="s">
        <v>47</v>
      </c>
      <c r="C84" s="614">
        <v>0</v>
      </c>
      <c r="D84" s="614">
        <v>0</v>
      </c>
      <c r="E84" s="614">
        <v>0</v>
      </c>
      <c r="F84" s="614">
        <v>0</v>
      </c>
      <c r="G84" s="261">
        <f t="shared" si="3"/>
        <v>0</v>
      </c>
      <c r="H84" s="262">
        <f t="shared" si="3"/>
        <v>0</v>
      </c>
    </row>
    <row r="85" spans="1:25" ht="31.5" x14ac:dyDescent="0.25">
      <c r="A85" s="258">
        <f t="shared" si="2"/>
        <v>80</v>
      </c>
      <c r="B85" s="334" t="s">
        <v>787</v>
      </c>
      <c r="C85" s="614">
        <v>96896.92</v>
      </c>
      <c r="D85" s="614">
        <v>757.84</v>
      </c>
      <c r="E85" s="614">
        <v>108909.2</v>
      </c>
      <c r="F85" s="614">
        <v>1054.51</v>
      </c>
      <c r="G85" s="261">
        <f t="shared" si="3"/>
        <v>12012.279999999999</v>
      </c>
      <c r="H85" s="262">
        <f t="shared" si="3"/>
        <v>296.66999999999996</v>
      </c>
      <c r="I85" s="268"/>
      <c r="J85" s="269"/>
      <c r="K85" s="269"/>
      <c r="L85" s="269"/>
    </row>
    <row r="86" spans="1:25" ht="50.25" customHeight="1" x14ac:dyDescent="0.25">
      <c r="A86" s="258">
        <f t="shared" si="2"/>
        <v>81</v>
      </c>
      <c r="B86" s="334" t="s">
        <v>834</v>
      </c>
      <c r="C86" s="614">
        <v>67146</v>
      </c>
      <c r="D86" s="614">
        <v>0</v>
      </c>
      <c r="E86" s="614">
        <v>85735</v>
      </c>
      <c r="F86" s="614">
        <v>0</v>
      </c>
      <c r="G86" s="261">
        <f t="shared" si="3"/>
        <v>18589</v>
      </c>
      <c r="H86" s="262">
        <f t="shared" si="3"/>
        <v>0</v>
      </c>
      <c r="I86" s="695"/>
      <c r="J86" s="263"/>
    </row>
    <row r="87" spans="1:25" ht="15.75" customHeight="1" x14ac:dyDescent="0.25">
      <c r="A87" s="258" t="s">
        <v>515</v>
      </c>
      <c r="B87" s="334" t="s">
        <v>788</v>
      </c>
      <c r="C87" s="614">
        <v>0</v>
      </c>
      <c r="D87" s="614">
        <v>0</v>
      </c>
      <c r="E87" s="614">
        <v>0</v>
      </c>
      <c r="F87" s="614">
        <v>0</v>
      </c>
      <c r="G87" s="261">
        <f t="shared" si="3"/>
        <v>0</v>
      </c>
      <c r="H87" s="262">
        <f t="shared" si="3"/>
        <v>0</v>
      </c>
      <c r="I87" s="255"/>
    </row>
    <row r="88" spans="1:25" ht="15.75" customHeight="1" x14ac:dyDescent="0.25">
      <c r="A88" s="258">
        <f>A86+1</f>
        <v>82</v>
      </c>
      <c r="B88" s="334" t="s">
        <v>789</v>
      </c>
      <c r="C88" s="614">
        <v>3335</v>
      </c>
      <c r="D88" s="614">
        <v>0</v>
      </c>
      <c r="E88" s="614">
        <v>7230</v>
      </c>
      <c r="F88" s="614">
        <v>0</v>
      </c>
      <c r="G88" s="261">
        <f t="shared" si="3"/>
        <v>3895</v>
      </c>
      <c r="H88" s="262">
        <f t="shared" si="3"/>
        <v>0</v>
      </c>
      <c r="I88" s="255"/>
    </row>
    <row r="89" spans="1:25" x14ac:dyDescent="0.25">
      <c r="A89" s="258">
        <f t="shared" si="2"/>
        <v>83</v>
      </c>
      <c r="B89" s="334" t="s">
        <v>835</v>
      </c>
      <c r="C89" s="614">
        <v>33301.440000000002</v>
      </c>
      <c r="D89" s="614">
        <v>0.35</v>
      </c>
      <c r="E89" s="614">
        <v>1921.5</v>
      </c>
      <c r="F89" s="614">
        <v>86.92</v>
      </c>
      <c r="G89" s="261">
        <f t="shared" si="3"/>
        <v>-31379.940000000002</v>
      </c>
      <c r="H89" s="262">
        <f t="shared" si="3"/>
        <v>86.570000000000007</v>
      </c>
      <c r="I89" s="255"/>
      <c r="J89" s="263"/>
    </row>
    <row r="90" spans="1:25" ht="31.5" x14ac:dyDescent="0.25">
      <c r="A90" s="258">
        <f t="shared" si="2"/>
        <v>84</v>
      </c>
      <c r="B90" s="333" t="s">
        <v>550</v>
      </c>
      <c r="C90" s="613">
        <f>SUM(C91:C100)</f>
        <v>4532442.2600000007</v>
      </c>
      <c r="D90" s="613">
        <f>SUM(D91:D100)</f>
        <v>73152.56</v>
      </c>
      <c r="E90" s="613">
        <f>SUM(E91:E100)</f>
        <v>4258895.88</v>
      </c>
      <c r="F90" s="613">
        <f>SUM(F91:F100)</f>
        <v>63551.850000000006</v>
      </c>
      <c r="G90" s="259">
        <f t="shared" si="3"/>
        <v>-273546.38000000082</v>
      </c>
      <c r="H90" s="260">
        <f t="shared" si="3"/>
        <v>-9600.7099999999919</v>
      </c>
      <c r="I90" s="255"/>
    </row>
    <row r="91" spans="1:25" ht="31.5" customHeight="1" x14ac:dyDescent="0.25">
      <c r="A91" s="480">
        <f t="shared" si="2"/>
        <v>85</v>
      </c>
      <c r="B91" s="481" t="s">
        <v>836</v>
      </c>
      <c r="C91" s="614">
        <v>530627.14</v>
      </c>
      <c r="D91" s="614">
        <v>0</v>
      </c>
      <c r="E91" s="614">
        <v>593140.86</v>
      </c>
      <c r="F91" s="614">
        <v>0</v>
      </c>
      <c r="G91" s="261">
        <f t="shared" si="3"/>
        <v>62513.719999999972</v>
      </c>
      <c r="H91" s="262">
        <f t="shared" si="3"/>
        <v>0</v>
      </c>
      <c r="I91" s="633"/>
      <c r="J91" s="270"/>
      <c r="K91" s="270"/>
      <c r="L91" s="270"/>
    </row>
    <row r="92" spans="1:25" ht="35.25" customHeight="1" x14ac:dyDescent="0.25">
      <c r="A92" s="478">
        <f t="shared" si="2"/>
        <v>86</v>
      </c>
      <c r="B92" s="479" t="s">
        <v>844</v>
      </c>
      <c r="C92" s="614">
        <v>1755182.83</v>
      </c>
      <c r="D92" s="614">
        <v>60381.2</v>
      </c>
      <c r="E92" s="614">
        <v>1627009.35</v>
      </c>
      <c r="F92" s="614">
        <v>59870.55</v>
      </c>
      <c r="G92" s="261">
        <f t="shared" si="3"/>
        <v>-128173.47999999998</v>
      </c>
      <c r="H92" s="262">
        <f t="shared" si="3"/>
        <v>-510.64999999999418</v>
      </c>
      <c r="I92" s="9"/>
      <c r="J92" s="278"/>
      <c r="K92" s="278"/>
      <c r="L92" s="278"/>
      <c r="M92" s="278"/>
      <c r="N92" s="278"/>
      <c r="O92" s="278"/>
      <c r="P92" s="278"/>
      <c r="Q92" s="278"/>
      <c r="R92" s="278"/>
      <c r="S92" s="278"/>
      <c r="T92" s="278"/>
      <c r="U92" s="278"/>
      <c r="V92" s="278"/>
      <c r="W92" s="278"/>
      <c r="X92" s="278"/>
      <c r="Y92" s="278"/>
    </row>
    <row r="93" spans="1:25" ht="31.5" x14ac:dyDescent="0.25">
      <c r="A93" s="480" t="s">
        <v>463</v>
      </c>
      <c r="B93" s="482" t="s">
        <v>837</v>
      </c>
      <c r="C93" s="614">
        <v>2109994.58</v>
      </c>
      <c r="D93" s="614">
        <v>0</v>
      </c>
      <c r="E93" s="614">
        <v>1545642.51</v>
      </c>
      <c r="F93" s="614">
        <v>0</v>
      </c>
      <c r="G93" s="261">
        <f>E93-C93</f>
        <v>-564352.07000000007</v>
      </c>
      <c r="H93" s="262">
        <f>F93-D93</f>
        <v>0</v>
      </c>
      <c r="I93" s="641"/>
    </row>
    <row r="94" spans="1:25" ht="31.5" x14ac:dyDescent="0.25">
      <c r="A94" s="480" t="s">
        <v>832</v>
      </c>
      <c r="B94" s="482" t="s">
        <v>838</v>
      </c>
      <c r="C94" s="614">
        <v>0</v>
      </c>
      <c r="D94" s="614">
        <v>0</v>
      </c>
      <c r="E94" s="614">
        <v>393425.16</v>
      </c>
      <c r="F94" s="614">
        <v>0</v>
      </c>
      <c r="G94" s="261">
        <f>E94-C94</f>
        <v>393425.16</v>
      </c>
      <c r="H94" s="262">
        <f>F94-D94</f>
        <v>0</v>
      </c>
      <c r="I94" s="263"/>
    </row>
    <row r="95" spans="1:25" ht="15.75" customHeight="1" x14ac:dyDescent="0.25">
      <c r="A95" s="258">
        <f>A92+1</f>
        <v>87</v>
      </c>
      <c r="B95" s="337" t="s">
        <v>514</v>
      </c>
      <c r="C95" s="614">
        <v>16696.71</v>
      </c>
      <c r="D95" s="614">
        <v>12771.36</v>
      </c>
      <c r="E95" s="614">
        <v>220.64</v>
      </c>
      <c r="F95" s="614">
        <v>3681.3</v>
      </c>
      <c r="G95" s="261">
        <f t="shared" si="3"/>
        <v>-16476.07</v>
      </c>
      <c r="H95" s="262">
        <f t="shared" si="3"/>
        <v>-9090.0600000000013</v>
      </c>
      <c r="I95" s="263"/>
    </row>
    <row r="96" spans="1:25" ht="15.75" customHeight="1" x14ac:dyDescent="0.25">
      <c r="A96" s="258">
        <f t="shared" si="2"/>
        <v>88</v>
      </c>
      <c r="B96" s="337" t="s">
        <v>59</v>
      </c>
      <c r="C96" s="614">
        <v>0</v>
      </c>
      <c r="D96" s="614">
        <v>0</v>
      </c>
      <c r="E96" s="614">
        <v>0</v>
      </c>
      <c r="F96" s="614">
        <v>0</v>
      </c>
      <c r="G96" s="261">
        <f t="shared" si="3"/>
        <v>0</v>
      </c>
      <c r="H96" s="262">
        <f t="shared" si="3"/>
        <v>0</v>
      </c>
    </row>
    <row r="97" spans="1:9" ht="15.75" customHeight="1" x14ac:dyDescent="0.25">
      <c r="A97" s="258">
        <f t="shared" si="2"/>
        <v>89</v>
      </c>
      <c r="B97" s="337" t="s">
        <v>60</v>
      </c>
      <c r="C97" s="614">
        <v>119941</v>
      </c>
      <c r="D97" s="614">
        <v>0</v>
      </c>
      <c r="E97" s="614">
        <v>85985.06</v>
      </c>
      <c r="F97" s="614">
        <v>0</v>
      </c>
      <c r="G97" s="261">
        <f t="shared" si="3"/>
        <v>-33955.94</v>
      </c>
      <c r="H97" s="262">
        <f t="shared" si="3"/>
        <v>0</v>
      </c>
    </row>
    <row r="98" spans="1:9" ht="31.5" x14ac:dyDescent="0.25">
      <c r="A98" s="258">
        <f t="shared" si="2"/>
        <v>90</v>
      </c>
      <c r="B98" s="340" t="s">
        <v>516</v>
      </c>
      <c r="C98" s="614">
        <v>0</v>
      </c>
      <c r="D98" s="614">
        <v>0</v>
      </c>
      <c r="E98" s="614">
        <v>13472.3</v>
      </c>
      <c r="F98" s="614">
        <v>0</v>
      </c>
      <c r="G98" s="261">
        <f t="shared" si="3"/>
        <v>13472.3</v>
      </c>
      <c r="H98" s="262">
        <f t="shared" si="3"/>
        <v>0</v>
      </c>
      <c r="I98" s="669"/>
    </row>
    <row r="99" spans="1:9" ht="40.5" customHeight="1" x14ac:dyDescent="0.25">
      <c r="A99" s="258">
        <f t="shared" si="2"/>
        <v>91</v>
      </c>
      <c r="B99" s="341" t="s">
        <v>790</v>
      </c>
      <c r="C99" s="614">
        <v>0</v>
      </c>
      <c r="D99" s="614">
        <v>0</v>
      </c>
      <c r="E99" s="614">
        <v>0</v>
      </c>
      <c r="F99" s="614">
        <v>0</v>
      </c>
      <c r="G99" s="261">
        <f t="shared" si="3"/>
        <v>0</v>
      </c>
      <c r="H99" s="262">
        <f t="shared" si="3"/>
        <v>0</v>
      </c>
    </row>
    <row r="100" spans="1:9" ht="16.5" customHeight="1" x14ac:dyDescent="0.25">
      <c r="A100" s="258">
        <f>A99+1</f>
        <v>92</v>
      </c>
      <c r="B100" s="337" t="s">
        <v>791</v>
      </c>
      <c r="C100" s="614">
        <v>0</v>
      </c>
      <c r="D100" s="614">
        <v>0</v>
      </c>
      <c r="E100" s="614">
        <v>0</v>
      </c>
      <c r="F100" s="614">
        <v>0</v>
      </c>
      <c r="G100" s="261">
        <f t="shared" si="3"/>
        <v>0</v>
      </c>
      <c r="H100" s="262">
        <f t="shared" si="3"/>
        <v>0</v>
      </c>
    </row>
    <row r="101" spans="1:9" ht="16.149999999999999" customHeight="1" x14ac:dyDescent="0.25">
      <c r="A101" s="258">
        <f t="shared" si="2"/>
        <v>93</v>
      </c>
      <c r="B101" s="333" t="s">
        <v>525</v>
      </c>
      <c r="C101" s="614">
        <v>859791.77</v>
      </c>
      <c r="D101" s="614">
        <v>0</v>
      </c>
      <c r="E101" s="614">
        <v>1559258.11</v>
      </c>
      <c r="F101" s="614">
        <v>0</v>
      </c>
      <c r="G101" s="261">
        <f t="shared" si="3"/>
        <v>699466.34000000008</v>
      </c>
      <c r="H101" s="262">
        <f t="shared" si="3"/>
        <v>0</v>
      </c>
    </row>
    <row r="102" spans="1:9" ht="16.149999999999999" customHeight="1" x14ac:dyDescent="0.25">
      <c r="A102" s="258">
        <f t="shared" si="2"/>
        <v>94</v>
      </c>
      <c r="B102" s="333" t="s">
        <v>622</v>
      </c>
      <c r="C102" s="614">
        <v>3575634.52</v>
      </c>
      <c r="D102" s="614">
        <v>85132.54</v>
      </c>
      <c r="E102" s="614">
        <v>4565541.3600000003</v>
      </c>
      <c r="F102" s="614">
        <v>79719.63</v>
      </c>
      <c r="G102" s="261">
        <f t="shared" si="3"/>
        <v>989906.84000000032</v>
      </c>
      <c r="H102" s="262">
        <f t="shared" si="3"/>
        <v>-5412.9099999999889</v>
      </c>
      <c r="I102" s="277"/>
    </row>
    <row r="103" spans="1:9" x14ac:dyDescent="0.25">
      <c r="A103" s="258">
        <f t="shared" si="2"/>
        <v>95</v>
      </c>
      <c r="B103" s="333" t="s">
        <v>526</v>
      </c>
      <c r="C103" s="614">
        <v>16.55</v>
      </c>
      <c r="D103" s="614">
        <v>4720.3500000000004</v>
      </c>
      <c r="E103" s="614">
        <v>0</v>
      </c>
      <c r="F103" s="614">
        <v>18529.3</v>
      </c>
      <c r="G103" s="261">
        <f t="shared" si="3"/>
        <v>-16.55</v>
      </c>
      <c r="H103" s="262">
        <f t="shared" si="3"/>
        <v>13808.949999999999</v>
      </c>
    </row>
    <row r="104" spans="1:9" ht="34.5" customHeight="1" thickBot="1" x14ac:dyDescent="0.3">
      <c r="A104" s="292">
        <f t="shared" si="2"/>
        <v>96</v>
      </c>
      <c r="B104" s="342" t="s">
        <v>623</v>
      </c>
      <c r="C104" s="618">
        <f>C6+C19+C27+C32+C40+C43+C44+C60+C66+C67+C68+C75+C76+C77+C78+C79+C90+C101+C102</f>
        <v>69445902.49000001</v>
      </c>
      <c r="D104" s="618">
        <f>D6+D19+D27+D32+D40+D43+D44+D60+D66+D67+D68+D75+D76+D77+D78+D79+D90+D101+D102</f>
        <v>839900.87000000011</v>
      </c>
      <c r="E104" s="618">
        <f>E6+E19+E27+E32+E40+E43+E44+E60+E66+E67+E68+E75+E76+E77+E78+E79+E90+E101+E102+E103</f>
        <v>77929185.399999991</v>
      </c>
      <c r="F104" s="618">
        <f>F6+F19+F27+F32+F40+F43+F44+F60+F66+F67+F68+F75+F76+F77+F78+F79+F90+F101+F102</f>
        <v>1435689.3399999999</v>
      </c>
      <c r="G104" s="271">
        <f>E104-C104</f>
        <v>8483282.9099999815</v>
      </c>
      <c r="H104" s="272">
        <f>F104-D104</f>
        <v>595788.46999999974</v>
      </c>
    </row>
    <row r="105" spans="1:9" x14ac:dyDescent="0.25">
      <c r="A105" s="273"/>
      <c r="B105" s="343"/>
      <c r="D105" s="708"/>
      <c r="E105" s="708"/>
      <c r="F105" s="708"/>
      <c r="G105" s="709"/>
      <c r="H105" s="709"/>
      <c r="I105" s="710"/>
    </row>
    <row r="106" spans="1:9" ht="31.5" x14ac:dyDescent="0.25">
      <c r="A106" s="274" t="s">
        <v>494</v>
      </c>
      <c r="B106" s="344" t="s">
        <v>527</v>
      </c>
    </row>
    <row r="107" spans="1:9" x14ac:dyDescent="0.25">
      <c r="B107" s="344" t="s">
        <v>843</v>
      </c>
    </row>
    <row r="108" spans="1:9" x14ac:dyDescent="0.25">
      <c r="H108" s="693"/>
    </row>
    <row r="974" spans="6:6" x14ac:dyDescent="0.25">
      <c r="F974" s="256" t="s">
        <v>178</v>
      </c>
    </row>
    <row r="993" spans="4:4" x14ac:dyDescent="0.25">
      <c r="D993" s="256" t="s">
        <v>177</v>
      </c>
    </row>
  </sheetData>
  <mergeCells count="7">
    <mergeCell ref="A1:H1"/>
    <mergeCell ref="A2:H2"/>
    <mergeCell ref="A3:A4"/>
    <mergeCell ref="B3:B4"/>
    <mergeCell ref="C3:D3"/>
    <mergeCell ref="E3:F3"/>
    <mergeCell ref="G3:H3"/>
  </mergeCells>
  <printOptions horizontalCentered="1" verticalCentered="1" gridLines="1"/>
  <pageMargins left="0.19685039370078741" right="0.19685039370078741" top="0.19685039370078741" bottom="0.19685039370078741" header="0.39370078740157483" footer="0.23622047244094491"/>
  <pageSetup paperSize="9" scale="53" fitToHeight="0" orientation="portrait" r:id="rId1"/>
  <headerFooter alignWithMargins="0">
    <oddFooter xml:space="preserve">&amp;C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38"/>
  <sheetViews>
    <sheetView zoomScale="90" zoomScaleNormal="90" workbookViewId="0">
      <pane xSplit="2" ySplit="6" topLeftCell="I28" activePane="bottomRight" state="frozen"/>
      <selection pane="topRight" activeCell="C1" sqref="C1"/>
      <selection pane="bottomLeft" activeCell="A7" sqref="A7"/>
      <selection pane="bottomRight" activeCell="O30" sqref="O30"/>
    </sheetView>
  </sheetViews>
  <sheetFormatPr defaultColWidth="9.140625" defaultRowHeight="15.75" x14ac:dyDescent="0.2"/>
  <cols>
    <col min="1" max="1" width="5.5703125" style="18" customWidth="1"/>
    <col min="2" max="2" width="65.42578125" style="25" customWidth="1"/>
    <col min="3" max="3" width="14.7109375" style="13" customWidth="1"/>
    <col min="4" max="4" width="14" style="13" customWidth="1"/>
    <col min="5" max="5" width="15.85546875" style="13" customWidth="1"/>
    <col min="6" max="6" width="15.7109375" style="13" customWidth="1"/>
    <col min="7" max="7" width="19.140625" style="13" customWidth="1"/>
    <col min="8" max="8" width="18.7109375" style="13" customWidth="1"/>
    <col min="9" max="9" width="16.28515625" style="13" customWidth="1"/>
    <col min="10" max="10" width="17.7109375" style="13" bestFit="1" customWidth="1"/>
    <col min="11" max="11" width="13.28515625" style="13" customWidth="1"/>
    <col min="12" max="13" width="9.85546875" style="13" customWidth="1"/>
    <col min="14" max="14" width="9.140625" style="13" customWidth="1"/>
    <col min="15" max="15" width="36" style="13" customWidth="1"/>
    <col min="16" max="16384" width="9.140625" style="13"/>
  </cols>
  <sheetData>
    <row r="1" spans="1:15" ht="35.1" customHeight="1" thickBot="1" x14ac:dyDescent="0.25">
      <c r="A1" s="754" t="s">
        <v>633</v>
      </c>
      <c r="B1" s="755"/>
      <c r="C1" s="755"/>
      <c r="D1" s="755"/>
      <c r="E1" s="755"/>
      <c r="F1" s="755"/>
      <c r="G1" s="755"/>
      <c r="H1" s="755"/>
      <c r="I1" s="755"/>
      <c r="J1" s="755"/>
      <c r="K1" s="755"/>
    </row>
    <row r="2" spans="1:15" ht="35.450000000000003" customHeight="1" thickBot="1" x14ac:dyDescent="0.25">
      <c r="A2" s="756" t="s">
        <v>955</v>
      </c>
      <c r="B2" s="757"/>
      <c r="C2" s="757"/>
      <c r="D2" s="757"/>
      <c r="E2" s="757"/>
      <c r="F2" s="757"/>
      <c r="G2" s="757"/>
      <c r="H2" s="757"/>
      <c r="I2" s="757"/>
      <c r="J2" s="757"/>
      <c r="K2" s="758"/>
      <c r="L2" s="507"/>
      <c r="M2" s="507"/>
      <c r="N2" s="507"/>
    </row>
    <row r="3" spans="1:15" ht="32.25" customHeight="1" x14ac:dyDescent="0.2">
      <c r="A3" s="759" t="s">
        <v>80</v>
      </c>
      <c r="B3" s="761" t="s">
        <v>89</v>
      </c>
      <c r="C3" s="761" t="s">
        <v>634</v>
      </c>
      <c r="D3" s="761"/>
      <c r="E3" s="761"/>
      <c r="F3" s="761"/>
      <c r="G3" s="761" t="s">
        <v>477</v>
      </c>
      <c r="H3" s="762" t="s">
        <v>132</v>
      </c>
      <c r="I3" s="761" t="s">
        <v>479</v>
      </c>
      <c r="J3" s="764" t="s">
        <v>480</v>
      </c>
      <c r="K3" s="766" t="s">
        <v>498</v>
      </c>
      <c r="L3" s="775" t="s">
        <v>534</v>
      </c>
      <c r="M3" s="778" t="s">
        <v>548</v>
      </c>
      <c r="N3" s="750" t="s">
        <v>535</v>
      </c>
      <c r="O3" s="229"/>
    </row>
    <row r="4" spans="1:15" ht="11.25" customHeight="1" thickBot="1" x14ac:dyDescent="0.25">
      <c r="A4" s="760"/>
      <c r="B4" s="753"/>
      <c r="C4" s="753" t="s">
        <v>87</v>
      </c>
      <c r="D4" s="508" t="s">
        <v>132</v>
      </c>
      <c r="E4" s="753" t="s">
        <v>88</v>
      </c>
      <c r="F4" s="753" t="s">
        <v>68</v>
      </c>
      <c r="G4" s="753"/>
      <c r="H4" s="763"/>
      <c r="I4" s="753"/>
      <c r="J4" s="765"/>
      <c r="K4" s="766"/>
      <c r="L4" s="776"/>
      <c r="M4" s="779"/>
      <c r="N4" s="751"/>
      <c r="O4" s="229"/>
    </row>
    <row r="5" spans="1:15" s="510" customFormat="1" ht="63.75" hidden="1" thickBot="1" x14ac:dyDescent="0.25">
      <c r="A5" s="760"/>
      <c r="B5" s="753"/>
      <c r="C5" s="753"/>
      <c r="D5" s="508" t="s">
        <v>462</v>
      </c>
      <c r="E5" s="753"/>
      <c r="F5" s="753"/>
      <c r="G5" s="753"/>
      <c r="H5" s="508" t="s">
        <v>478</v>
      </c>
      <c r="I5" s="753"/>
      <c r="J5" s="765"/>
      <c r="K5" s="767"/>
      <c r="L5" s="777"/>
      <c r="M5" s="780"/>
      <c r="N5" s="752"/>
      <c r="O5" s="509"/>
    </row>
    <row r="6" spans="1:15" s="510" customFormat="1" ht="11.25" hidden="1" customHeight="1" thickBot="1" x14ac:dyDescent="0.25">
      <c r="A6" s="191"/>
      <c r="B6" s="511"/>
      <c r="C6" s="508" t="s">
        <v>118</v>
      </c>
      <c r="D6" s="508" t="s">
        <v>119</v>
      </c>
      <c r="E6" s="508" t="s">
        <v>120</v>
      </c>
      <c r="F6" s="508" t="s">
        <v>69</v>
      </c>
      <c r="G6" s="508" t="s">
        <v>121</v>
      </c>
      <c r="H6" s="508" t="s">
        <v>122</v>
      </c>
      <c r="I6" s="508" t="s">
        <v>123</v>
      </c>
      <c r="J6" s="512" t="s">
        <v>70</v>
      </c>
      <c r="K6" s="513" t="s">
        <v>499</v>
      </c>
    </row>
    <row r="7" spans="1:15" ht="16.5" thickBot="1" x14ac:dyDescent="0.25">
      <c r="A7" s="19">
        <v>1</v>
      </c>
      <c r="B7" s="511" t="s">
        <v>115</v>
      </c>
      <c r="C7" s="514">
        <f>SUM(C8:C12)</f>
        <v>624.54000000000008</v>
      </c>
      <c r="D7" s="514">
        <f>SUM(D8:D12)</f>
        <v>623.6400000000001</v>
      </c>
      <c r="E7" s="514">
        <f>SUM(E8:E12)</f>
        <v>84.53</v>
      </c>
      <c r="F7" s="514">
        <f t="shared" ref="F7:F13" si="0">C7+E7</f>
        <v>709.07</v>
      </c>
      <c r="G7" s="514">
        <f>SUM(G8:G12)</f>
        <v>14846517.24</v>
      </c>
      <c r="H7" s="514">
        <f>SUM(H8:H12)</f>
        <v>14645524.41</v>
      </c>
      <c r="I7" s="514">
        <f>SUM(I8:I12)</f>
        <v>5637209.2700000005</v>
      </c>
      <c r="J7" s="515">
        <f t="shared" ref="J7:J13" si="1">G7+I7</f>
        <v>20483726.510000002</v>
      </c>
      <c r="K7" s="516">
        <f>IF(F7=0,0,J7/F7/12)</f>
        <v>2407.3465372483206</v>
      </c>
      <c r="L7" s="517">
        <v>1604.69</v>
      </c>
      <c r="M7" s="518">
        <v>1983.2460000000001</v>
      </c>
      <c r="N7" s="519">
        <v>2770.4789999999998</v>
      </c>
    </row>
    <row r="8" spans="1:15" x14ac:dyDescent="0.2">
      <c r="A8" s="19">
        <v>2</v>
      </c>
      <c r="B8" s="520" t="s">
        <v>792</v>
      </c>
      <c r="C8" s="521">
        <v>88.3</v>
      </c>
      <c r="D8" s="521">
        <v>87.7</v>
      </c>
      <c r="E8" s="521">
        <v>18.100000000000001</v>
      </c>
      <c r="F8" s="514">
        <f t="shared" si="0"/>
        <v>106.4</v>
      </c>
      <c r="G8" s="521">
        <v>3408557.61</v>
      </c>
      <c r="H8" s="521">
        <v>3344196.91</v>
      </c>
      <c r="I8" s="521">
        <v>1290229.51</v>
      </c>
      <c r="J8" s="515">
        <f t="shared" si="1"/>
        <v>4698787.12</v>
      </c>
      <c r="K8" s="516">
        <f t="shared" ref="K8:K30" si="2">IF(F8=0,0,J8/F8/12)</f>
        <v>3680.1277568922305</v>
      </c>
      <c r="L8" s="522">
        <v>2354.0070000000001</v>
      </c>
      <c r="M8" s="523">
        <v>3247.0259999999998</v>
      </c>
      <c r="N8" s="519">
        <v>4641.6809999999996</v>
      </c>
    </row>
    <row r="9" spans="1:15" x14ac:dyDescent="0.2">
      <c r="A9" s="19">
        <v>3</v>
      </c>
      <c r="B9" s="520" t="s">
        <v>90</v>
      </c>
      <c r="C9" s="521">
        <v>174.69</v>
      </c>
      <c r="D9" s="521">
        <v>174.6</v>
      </c>
      <c r="E9" s="521">
        <v>20.62</v>
      </c>
      <c r="F9" s="514">
        <f t="shared" si="0"/>
        <v>195.31</v>
      </c>
      <c r="G9" s="521">
        <v>5039796.7300000004</v>
      </c>
      <c r="H9" s="521">
        <v>4956624</v>
      </c>
      <c r="I9" s="521">
        <v>1386455.47</v>
      </c>
      <c r="J9" s="515">
        <f t="shared" si="1"/>
        <v>6426252.2000000002</v>
      </c>
      <c r="K9" s="516">
        <f t="shared" si="2"/>
        <v>2741.9027016879149</v>
      </c>
      <c r="L9" s="522">
        <v>1785.7909999999999</v>
      </c>
      <c r="M9" s="523">
        <v>2373.2199999999998</v>
      </c>
      <c r="N9" s="524">
        <v>3565.873</v>
      </c>
    </row>
    <row r="10" spans="1:15" x14ac:dyDescent="0.2">
      <c r="A10" s="19">
        <v>4</v>
      </c>
      <c r="B10" s="520" t="s">
        <v>91</v>
      </c>
      <c r="C10" s="521">
        <v>282.61</v>
      </c>
      <c r="D10" s="521">
        <v>282.39999999999998</v>
      </c>
      <c r="E10" s="521">
        <v>34.75</v>
      </c>
      <c r="F10" s="514">
        <f t="shared" si="0"/>
        <v>317.36</v>
      </c>
      <c r="G10" s="521">
        <v>5256723.4800000004</v>
      </c>
      <c r="H10" s="521">
        <v>5206074.08</v>
      </c>
      <c r="I10" s="521">
        <v>2292972.5299999998</v>
      </c>
      <c r="J10" s="515">
        <f t="shared" si="1"/>
        <v>7549696.0099999998</v>
      </c>
      <c r="K10" s="516">
        <f t="shared" si="2"/>
        <v>1982.4216478657254</v>
      </c>
      <c r="L10" s="522">
        <v>1533.5640000000001</v>
      </c>
      <c r="M10" s="523">
        <v>1866.43</v>
      </c>
      <c r="N10" s="524">
        <v>2330.8649999999998</v>
      </c>
    </row>
    <row r="11" spans="1:15" x14ac:dyDescent="0.2">
      <c r="A11" s="19">
        <v>5</v>
      </c>
      <c r="B11" s="520" t="s">
        <v>92</v>
      </c>
      <c r="C11" s="521">
        <v>34.840000000000003</v>
      </c>
      <c r="D11" s="521">
        <v>34.83</v>
      </c>
      <c r="E11" s="521">
        <v>5.74</v>
      </c>
      <c r="F11" s="514">
        <f t="shared" si="0"/>
        <v>40.580000000000005</v>
      </c>
      <c r="G11" s="521">
        <v>498760.4</v>
      </c>
      <c r="H11" s="521">
        <v>495950.4</v>
      </c>
      <c r="I11" s="521">
        <v>319985.15000000002</v>
      </c>
      <c r="J11" s="515">
        <f t="shared" si="1"/>
        <v>818745.55</v>
      </c>
      <c r="K11" s="516">
        <f t="shared" si="2"/>
        <v>1681.3404591752915</v>
      </c>
      <c r="L11" s="522">
        <v>1339.672</v>
      </c>
      <c r="M11" s="523">
        <v>1622.86</v>
      </c>
      <c r="N11" s="524">
        <v>1946.5239999999999</v>
      </c>
    </row>
    <row r="12" spans="1:15" x14ac:dyDescent="0.2">
      <c r="A12" s="19">
        <v>6</v>
      </c>
      <c r="B12" s="520" t="s">
        <v>93</v>
      </c>
      <c r="C12" s="521">
        <v>44.1</v>
      </c>
      <c r="D12" s="521">
        <v>44.11</v>
      </c>
      <c r="E12" s="521">
        <v>5.32</v>
      </c>
      <c r="F12" s="514">
        <f t="shared" si="0"/>
        <v>49.42</v>
      </c>
      <c r="G12" s="521">
        <v>642679.02</v>
      </c>
      <c r="H12" s="521">
        <v>642679.02</v>
      </c>
      <c r="I12" s="521">
        <v>347566.61</v>
      </c>
      <c r="J12" s="515">
        <f t="shared" si="1"/>
        <v>990245.63</v>
      </c>
      <c r="K12" s="516">
        <f t="shared" si="2"/>
        <v>1669.7788176176985</v>
      </c>
      <c r="L12" s="522">
        <v>1370.211</v>
      </c>
      <c r="M12" s="523">
        <v>1605.8820000000001</v>
      </c>
      <c r="N12" s="524">
        <v>1978.549</v>
      </c>
    </row>
    <row r="13" spans="1:15" x14ac:dyDescent="0.2">
      <c r="A13" s="19">
        <v>7</v>
      </c>
      <c r="B13" s="511" t="s">
        <v>21</v>
      </c>
      <c r="C13" s="521">
        <v>198.84</v>
      </c>
      <c r="D13" s="521">
        <v>192.1</v>
      </c>
      <c r="E13" s="521">
        <v>34.94</v>
      </c>
      <c r="F13" s="514">
        <f t="shared" si="0"/>
        <v>233.78</v>
      </c>
      <c r="G13" s="521">
        <v>3022939.48</v>
      </c>
      <c r="H13" s="521">
        <v>2866784.12</v>
      </c>
      <c r="I13" s="521">
        <v>698134.82</v>
      </c>
      <c r="J13" s="515">
        <f t="shared" si="1"/>
        <v>3721074.3</v>
      </c>
      <c r="K13" s="516">
        <f t="shared" si="2"/>
        <v>1326.4159680041064</v>
      </c>
      <c r="L13" s="522">
        <v>932.95399999999995</v>
      </c>
      <c r="M13" s="523">
        <v>1167.95</v>
      </c>
      <c r="N13" s="524">
        <v>1606.789</v>
      </c>
    </row>
    <row r="14" spans="1:15" x14ac:dyDescent="0.2">
      <c r="A14" s="19"/>
      <c r="B14" s="520" t="s">
        <v>132</v>
      </c>
      <c r="C14" s="525"/>
      <c r="D14" s="525"/>
      <c r="E14" s="525"/>
      <c r="F14" s="526"/>
      <c r="G14" s="525"/>
      <c r="H14" s="525"/>
      <c r="I14" s="525"/>
      <c r="J14" s="527"/>
      <c r="K14" s="516"/>
      <c r="L14" s="522"/>
      <c r="M14" s="523"/>
      <c r="N14" s="524"/>
    </row>
    <row r="15" spans="1:15" x14ac:dyDescent="0.2">
      <c r="A15" s="19">
        <v>8</v>
      </c>
      <c r="B15" s="520" t="s">
        <v>25</v>
      </c>
      <c r="C15" s="521">
        <v>50.16</v>
      </c>
      <c r="D15" s="521">
        <v>50.16</v>
      </c>
      <c r="E15" s="521">
        <v>4.3899999999999997</v>
      </c>
      <c r="F15" s="514">
        <f t="shared" ref="F15:F21" si="3">C15+E15</f>
        <v>54.55</v>
      </c>
      <c r="G15" s="521">
        <v>921615.8</v>
      </c>
      <c r="H15" s="521">
        <v>921615.8</v>
      </c>
      <c r="I15" s="521">
        <v>137306.06</v>
      </c>
      <c r="J15" s="515">
        <f t="shared" ref="J15:J21" si="4">G15+I15</f>
        <v>1058921.8600000001</v>
      </c>
      <c r="K15" s="516">
        <f t="shared" si="2"/>
        <v>1617.6624809043694</v>
      </c>
      <c r="L15" s="522">
        <v>1282.1030000000001</v>
      </c>
      <c r="M15" s="523">
        <v>1564.893</v>
      </c>
      <c r="N15" s="524">
        <v>1935.665</v>
      </c>
    </row>
    <row r="16" spans="1:15" x14ac:dyDescent="0.2">
      <c r="A16" s="19">
        <v>9</v>
      </c>
      <c r="B16" s="511" t="s">
        <v>116</v>
      </c>
      <c r="C16" s="514">
        <f>SUM(C17:C19)</f>
        <v>217.07000000000002</v>
      </c>
      <c r="D16" s="514">
        <f>SUM(D17:D19)</f>
        <v>215.54000000000002</v>
      </c>
      <c r="E16" s="514">
        <f>SUM(E17:E19)</f>
        <v>31.75</v>
      </c>
      <c r="F16" s="514">
        <f t="shared" si="3"/>
        <v>248.82000000000002</v>
      </c>
      <c r="G16" s="514">
        <f>SUM(G17:G19)</f>
        <v>3445409.23</v>
      </c>
      <c r="H16" s="514">
        <f>SUM(H17:H19)</f>
        <v>3395219.9</v>
      </c>
      <c r="I16" s="514">
        <f>SUM(I17:I19)</f>
        <v>774313.3</v>
      </c>
      <c r="J16" s="515">
        <f t="shared" si="4"/>
        <v>4219722.53</v>
      </c>
      <c r="K16" s="516">
        <f t="shared" si="2"/>
        <v>1413.2446916110709</v>
      </c>
      <c r="L16" s="522">
        <v>1058.788</v>
      </c>
      <c r="M16" s="523">
        <v>1231.7439999999999</v>
      </c>
      <c r="N16" s="524">
        <v>1563.944</v>
      </c>
    </row>
    <row r="17" spans="1:15" x14ac:dyDescent="0.2">
      <c r="A17" s="19">
        <v>10</v>
      </c>
      <c r="B17" s="520" t="s">
        <v>94</v>
      </c>
      <c r="C17" s="521">
        <v>71.72</v>
      </c>
      <c r="D17" s="521">
        <v>70.430000000000007</v>
      </c>
      <c r="E17" s="521">
        <v>9.5500000000000007</v>
      </c>
      <c r="F17" s="514">
        <f t="shared" si="3"/>
        <v>81.27</v>
      </c>
      <c r="G17" s="521">
        <v>1253587.8899999999</v>
      </c>
      <c r="H17" s="521">
        <v>1222650.19</v>
      </c>
      <c r="I17" s="521">
        <v>164642.79999999999</v>
      </c>
      <c r="J17" s="515">
        <f t="shared" si="4"/>
        <v>1418230.69</v>
      </c>
      <c r="K17" s="516">
        <f t="shared" si="2"/>
        <v>1454.2376133054429</v>
      </c>
      <c r="L17" s="522">
        <v>1085.796</v>
      </c>
      <c r="M17" s="523">
        <v>1264.443</v>
      </c>
      <c r="N17" s="524">
        <v>1530.116</v>
      </c>
    </row>
    <row r="18" spans="1:15" x14ac:dyDescent="0.2">
      <c r="A18" s="19">
        <v>11</v>
      </c>
      <c r="B18" s="520" t="s">
        <v>71</v>
      </c>
      <c r="C18" s="521">
        <v>81.39</v>
      </c>
      <c r="D18" s="521">
        <v>81.22</v>
      </c>
      <c r="E18" s="521">
        <v>12.49</v>
      </c>
      <c r="F18" s="514">
        <f t="shared" si="3"/>
        <v>93.88</v>
      </c>
      <c r="G18" s="521">
        <v>1218319.8999999999</v>
      </c>
      <c r="H18" s="521">
        <v>1208809.19</v>
      </c>
      <c r="I18" s="521">
        <v>399964.98</v>
      </c>
      <c r="J18" s="515">
        <f t="shared" si="4"/>
        <v>1618284.88</v>
      </c>
      <c r="K18" s="516">
        <f t="shared" si="2"/>
        <v>1436.4835250674621</v>
      </c>
      <c r="L18" s="522">
        <v>1041.9380000000001</v>
      </c>
      <c r="M18" s="523">
        <v>1281.0239999999999</v>
      </c>
      <c r="N18" s="524">
        <v>1608.04</v>
      </c>
    </row>
    <row r="19" spans="1:15" x14ac:dyDescent="0.2">
      <c r="A19" s="19">
        <v>12</v>
      </c>
      <c r="B19" s="520" t="s">
        <v>62</v>
      </c>
      <c r="C19" s="521">
        <v>63.96</v>
      </c>
      <c r="D19" s="521">
        <v>63.89</v>
      </c>
      <c r="E19" s="521">
        <v>9.7100000000000009</v>
      </c>
      <c r="F19" s="514">
        <f t="shared" si="3"/>
        <v>73.67</v>
      </c>
      <c r="G19" s="521">
        <v>973501.43999999994</v>
      </c>
      <c r="H19" s="521">
        <v>963760.52</v>
      </c>
      <c r="I19" s="521">
        <v>209705.52</v>
      </c>
      <c r="J19" s="515">
        <f t="shared" si="4"/>
        <v>1183206.96</v>
      </c>
      <c r="K19" s="516">
        <f t="shared" si="2"/>
        <v>1338.4088502782679</v>
      </c>
      <c r="L19" s="522">
        <v>1021.176</v>
      </c>
      <c r="M19" s="523">
        <v>1142.2860000000001</v>
      </c>
      <c r="N19" s="524">
        <v>1398.9290000000001</v>
      </c>
    </row>
    <row r="20" spans="1:15" x14ac:dyDescent="0.2">
      <c r="A20" s="19">
        <v>13</v>
      </c>
      <c r="B20" s="511" t="s">
        <v>113</v>
      </c>
      <c r="C20" s="521">
        <v>119.25</v>
      </c>
      <c r="D20" s="521">
        <v>100.7</v>
      </c>
      <c r="E20" s="521">
        <v>35.86</v>
      </c>
      <c r="F20" s="514">
        <f t="shared" si="3"/>
        <v>155.11000000000001</v>
      </c>
      <c r="G20" s="521">
        <v>2881268.95</v>
      </c>
      <c r="H20" s="521">
        <v>2526546.48</v>
      </c>
      <c r="I20" s="521">
        <v>1057342.48</v>
      </c>
      <c r="J20" s="515">
        <f t="shared" si="4"/>
        <v>3938611.43</v>
      </c>
      <c r="K20" s="516">
        <f t="shared" si="2"/>
        <v>2116.0313272301378</v>
      </c>
      <c r="L20" s="522">
        <v>1364.9459999999999</v>
      </c>
      <c r="M20" s="523">
        <v>1808.4970000000001</v>
      </c>
      <c r="N20" s="524">
        <v>2348.665</v>
      </c>
    </row>
    <row r="21" spans="1:15" ht="31.5" x14ac:dyDescent="0.2">
      <c r="A21" s="19">
        <v>14</v>
      </c>
      <c r="B21" s="511" t="s">
        <v>22</v>
      </c>
      <c r="C21" s="521">
        <v>131.85</v>
      </c>
      <c r="D21" s="521">
        <v>131.85</v>
      </c>
      <c r="E21" s="521">
        <v>20.27</v>
      </c>
      <c r="F21" s="514">
        <f t="shared" si="3"/>
        <v>152.12</v>
      </c>
      <c r="G21" s="521">
        <v>1351117.52</v>
      </c>
      <c r="H21" s="521">
        <v>1351018.02</v>
      </c>
      <c r="I21" s="521">
        <v>328006.23</v>
      </c>
      <c r="J21" s="515">
        <f t="shared" si="4"/>
        <v>1679123.75</v>
      </c>
      <c r="K21" s="516">
        <f t="shared" si="2"/>
        <v>919.84603711981765</v>
      </c>
      <c r="L21" s="522">
        <v>742.11300000000006</v>
      </c>
      <c r="M21" s="523">
        <v>845.97299999999996</v>
      </c>
      <c r="N21" s="524">
        <v>1102.798</v>
      </c>
    </row>
    <row r="22" spans="1:15" ht="47.25" x14ac:dyDescent="0.2">
      <c r="A22" s="19">
        <v>15</v>
      </c>
      <c r="B22" s="511" t="s">
        <v>146</v>
      </c>
      <c r="C22" s="514">
        <f>SUM(C23:C26)</f>
        <v>37.9</v>
      </c>
      <c r="D22" s="514">
        <f>SUM(D23:D26)</f>
        <v>37.9</v>
      </c>
      <c r="E22" s="514">
        <f>SUM(E23:E26)</f>
        <v>3.83</v>
      </c>
      <c r="F22" s="514">
        <f>SUM(F27:F27)</f>
        <v>0</v>
      </c>
      <c r="G22" s="514">
        <f>SUM(G23:G26)</f>
        <v>518275.34</v>
      </c>
      <c r="H22" s="514">
        <f>SUM(H23:H26)</f>
        <v>518275.34</v>
      </c>
      <c r="I22" s="514">
        <f>SUM(I23:I26)</f>
        <v>46099.37</v>
      </c>
      <c r="J22" s="515">
        <f>SUM(J23:J26)</f>
        <v>564374.71</v>
      </c>
      <c r="K22" s="516">
        <f t="shared" si="2"/>
        <v>0</v>
      </c>
      <c r="L22" s="528" t="s">
        <v>139</v>
      </c>
      <c r="M22" s="529" t="s">
        <v>139</v>
      </c>
      <c r="N22" s="530" t="s">
        <v>139</v>
      </c>
    </row>
    <row r="23" spans="1:15" x14ac:dyDescent="0.2">
      <c r="A23" s="19" t="s">
        <v>114</v>
      </c>
      <c r="B23" s="520" t="s">
        <v>891</v>
      </c>
      <c r="C23" s="521">
        <v>37.42</v>
      </c>
      <c r="D23" s="521">
        <v>37.42</v>
      </c>
      <c r="E23" s="521">
        <v>3.83</v>
      </c>
      <c r="F23" s="514">
        <f t="shared" ref="F23:F29" si="5">C23+E23</f>
        <v>41.25</v>
      </c>
      <c r="G23" s="521">
        <v>510492.38</v>
      </c>
      <c r="H23" s="521">
        <v>510492.38</v>
      </c>
      <c r="I23" s="521">
        <v>46099.37</v>
      </c>
      <c r="J23" s="515">
        <f>G23+I23</f>
        <v>556591.75</v>
      </c>
      <c r="K23" s="516">
        <f t="shared" si="2"/>
        <v>1124.4277777777777</v>
      </c>
      <c r="L23" s="528" t="s">
        <v>139</v>
      </c>
      <c r="M23" s="529" t="s">
        <v>139</v>
      </c>
      <c r="N23" s="530" t="s">
        <v>139</v>
      </c>
    </row>
    <row r="24" spans="1:15" x14ac:dyDescent="0.2">
      <c r="A24" s="19" t="s">
        <v>187</v>
      </c>
      <c r="B24" s="520" t="s">
        <v>892</v>
      </c>
      <c r="C24" s="521">
        <v>0.48</v>
      </c>
      <c r="D24" s="521">
        <v>0.48</v>
      </c>
      <c r="E24" s="521">
        <v>0</v>
      </c>
      <c r="F24" s="514">
        <f t="shared" si="5"/>
        <v>0.48</v>
      </c>
      <c r="G24" s="521">
        <v>7782.96</v>
      </c>
      <c r="H24" s="521">
        <v>7782.96</v>
      </c>
      <c r="I24" s="521">
        <v>0</v>
      </c>
      <c r="J24" s="515">
        <f>G24+I24</f>
        <v>7782.96</v>
      </c>
      <c r="K24" s="516">
        <f t="shared" si="2"/>
        <v>1351.2083333333333</v>
      </c>
      <c r="L24" s="528" t="s">
        <v>139</v>
      </c>
      <c r="M24" s="529" t="s">
        <v>139</v>
      </c>
      <c r="N24" s="530" t="s">
        <v>139</v>
      </c>
    </row>
    <row r="25" spans="1:15" x14ac:dyDescent="0.2">
      <c r="A25" s="19" t="s">
        <v>188</v>
      </c>
      <c r="B25" s="520"/>
      <c r="C25" s="521"/>
      <c r="D25" s="521"/>
      <c r="E25" s="521"/>
      <c r="F25" s="514">
        <f t="shared" si="5"/>
        <v>0</v>
      </c>
      <c r="G25" s="521"/>
      <c r="H25" s="521"/>
      <c r="I25" s="521"/>
      <c r="J25" s="515">
        <f>G25+I25</f>
        <v>0</v>
      </c>
      <c r="K25" s="516">
        <f t="shared" si="2"/>
        <v>0</v>
      </c>
      <c r="L25" s="528" t="s">
        <v>139</v>
      </c>
      <c r="M25" s="529" t="s">
        <v>139</v>
      </c>
      <c r="N25" s="530" t="s">
        <v>139</v>
      </c>
    </row>
    <row r="26" spans="1:15" ht="16.5" customHeight="1" x14ac:dyDescent="0.2">
      <c r="A26" s="19" t="s">
        <v>189</v>
      </c>
      <c r="B26" s="520"/>
      <c r="C26" s="521"/>
      <c r="D26" s="521"/>
      <c r="E26" s="521"/>
      <c r="F26" s="514">
        <f t="shared" si="5"/>
        <v>0</v>
      </c>
      <c r="G26" s="521"/>
      <c r="H26" s="521"/>
      <c r="I26" s="521"/>
      <c r="J26" s="515">
        <f>G26+I26</f>
        <v>0</v>
      </c>
      <c r="K26" s="516">
        <f t="shared" si="2"/>
        <v>0</v>
      </c>
      <c r="L26" s="528" t="s">
        <v>139</v>
      </c>
      <c r="M26" s="529" t="s">
        <v>139</v>
      </c>
      <c r="N26" s="530" t="s">
        <v>139</v>
      </c>
    </row>
    <row r="27" spans="1:15" x14ac:dyDescent="0.2">
      <c r="A27" s="19"/>
      <c r="B27" s="520"/>
      <c r="C27" s="525"/>
      <c r="D27" s="525"/>
      <c r="E27" s="525"/>
      <c r="F27" s="526">
        <f t="shared" si="5"/>
        <v>0</v>
      </c>
      <c r="G27" s="525"/>
      <c r="H27" s="525"/>
      <c r="I27" s="525"/>
      <c r="J27" s="527"/>
      <c r="K27" s="516"/>
      <c r="L27" s="531"/>
      <c r="M27" s="523"/>
      <c r="N27" s="532"/>
    </row>
    <row r="28" spans="1:15" x14ac:dyDescent="0.2">
      <c r="A28" s="19">
        <v>16</v>
      </c>
      <c r="B28" s="511" t="s">
        <v>23</v>
      </c>
      <c r="C28" s="521">
        <v>44.95</v>
      </c>
      <c r="D28" s="521">
        <v>44.95</v>
      </c>
      <c r="E28" s="521">
        <v>14.85</v>
      </c>
      <c r="F28" s="514">
        <f t="shared" si="5"/>
        <v>59.800000000000004</v>
      </c>
      <c r="G28" s="521">
        <v>527578.57999999996</v>
      </c>
      <c r="H28" s="521">
        <v>527578.57999999996</v>
      </c>
      <c r="I28" s="521">
        <v>204715.3</v>
      </c>
      <c r="J28" s="515">
        <f>G28+I28</f>
        <v>732293.87999999989</v>
      </c>
      <c r="K28" s="516">
        <f t="shared" si="2"/>
        <v>1020.4764214046821</v>
      </c>
      <c r="L28" s="522">
        <v>796.01499999999999</v>
      </c>
      <c r="M28" s="523">
        <v>934.26599999999996</v>
      </c>
      <c r="N28" s="524">
        <v>1250.681</v>
      </c>
    </row>
    <row r="29" spans="1:15" x14ac:dyDescent="0.2">
      <c r="A29" s="19">
        <v>17</v>
      </c>
      <c r="B29" s="511" t="s">
        <v>24</v>
      </c>
      <c r="C29" s="521"/>
      <c r="D29" s="521"/>
      <c r="E29" s="521">
        <v>43.55</v>
      </c>
      <c r="F29" s="514">
        <f t="shared" si="5"/>
        <v>43.55</v>
      </c>
      <c r="G29" s="521">
        <v>19200</v>
      </c>
      <c r="H29" s="521">
        <v>19199.95</v>
      </c>
      <c r="I29" s="521">
        <v>460943.43</v>
      </c>
      <c r="J29" s="515">
        <f>G29+I29</f>
        <v>480143.43</v>
      </c>
      <c r="K29" s="516">
        <f t="shared" si="2"/>
        <v>918.75895522388066</v>
      </c>
      <c r="L29" s="522">
        <v>693.37300000000005</v>
      </c>
      <c r="M29" s="523">
        <v>819.92100000000005</v>
      </c>
      <c r="N29" s="524">
        <v>988.65899999999999</v>
      </c>
    </row>
    <row r="30" spans="1:15" ht="112.5" customHeight="1" thickBot="1" x14ac:dyDescent="0.3">
      <c r="A30" s="20">
        <v>18</v>
      </c>
      <c r="B30" s="533" t="s">
        <v>147</v>
      </c>
      <c r="C30" s="210">
        <f t="shared" ref="C30:J30" si="6">C7+C13+C16+C20+C21+C28+C29</f>
        <v>1336.5</v>
      </c>
      <c r="D30" s="210">
        <f t="shared" si="6"/>
        <v>1308.7800000000002</v>
      </c>
      <c r="E30" s="210">
        <f t="shared" si="6"/>
        <v>265.75</v>
      </c>
      <c r="F30" s="210">
        <f t="shared" si="6"/>
        <v>1602.25</v>
      </c>
      <c r="G30" s="210">
        <f t="shared" si="6"/>
        <v>26094030.999999996</v>
      </c>
      <c r="H30" s="210">
        <f t="shared" si="6"/>
        <v>25331871.459999997</v>
      </c>
      <c r="I30" s="210">
        <f t="shared" si="6"/>
        <v>9160664.8300000019</v>
      </c>
      <c r="J30" s="534">
        <f t="shared" si="6"/>
        <v>35254695.830000006</v>
      </c>
      <c r="K30" s="535">
        <f t="shared" si="2"/>
        <v>1833.6035694596142</v>
      </c>
      <c r="L30" s="536">
        <v>1169.297</v>
      </c>
      <c r="M30" s="537">
        <v>1652.886</v>
      </c>
      <c r="N30" s="538">
        <v>2263.5720000000001</v>
      </c>
      <c r="O30" s="640"/>
    </row>
    <row r="31" spans="1:15" ht="16.5" thickBot="1" x14ac:dyDescent="0.25">
      <c r="A31" s="12"/>
      <c r="B31" s="12"/>
      <c r="C31" s="41"/>
      <c r="D31" s="12"/>
      <c r="E31" s="12"/>
      <c r="F31" s="41"/>
      <c r="G31" s="41"/>
      <c r="H31" s="41"/>
      <c r="I31" s="41"/>
      <c r="J31" s="41"/>
    </row>
    <row r="32" spans="1:15" ht="16.5" thickBot="1" x14ac:dyDescent="0.3">
      <c r="A32" s="768" t="s">
        <v>0</v>
      </c>
      <c r="B32" s="769"/>
      <c r="C32" s="769"/>
      <c r="D32" s="769"/>
      <c r="E32" s="769"/>
      <c r="F32" s="769"/>
      <c r="G32" s="769"/>
      <c r="H32" s="769"/>
      <c r="I32" s="769"/>
      <c r="J32" s="770"/>
      <c r="L32" s="240" t="s">
        <v>536</v>
      </c>
      <c r="M32" s="241"/>
      <c r="N32" s="242"/>
      <c r="O32" s="642"/>
    </row>
    <row r="33" spans="1:13" x14ac:dyDescent="0.25">
      <c r="A33" s="771" t="s">
        <v>500</v>
      </c>
      <c r="B33" s="772"/>
      <c r="C33" s="772"/>
      <c r="D33" s="772"/>
      <c r="E33" s="772"/>
      <c r="F33" s="772"/>
      <c r="G33" s="772"/>
      <c r="H33" s="772"/>
      <c r="I33" s="772"/>
      <c r="J33" s="773"/>
    </row>
    <row r="34" spans="1:13" ht="50.25" customHeight="1" x14ac:dyDescent="0.2">
      <c r="B34" s="774" t="s">
        <v>823</v>
      </c>
      <c r="C34" s="774"/>
      <c r="D34" s="774"/>
      <c r="E34" s="774"/>
      <c r="F34" s="774"/>
      <c r="G34" s="774"/>
      <c r="H34" s="774"/>
      <c r="I34" s="774"/>
      <c r="J34" s="774"/>
      <c r="K34" s="692"/>
      <c r="M34" s="692"/>
    </row>
    <row r="35" spans="1:13" x14ac:dyDescent="0.2">
      <c r="B35" s="243" t="s">
        <v>474</v>
      </c>
      <c r="C35" s="244"/>
      <c r="D35" s="244"/>
      <c r="E35" s="244"/>
      <c r="F35" s="244"/>
      <c r="G35" s="244"/>
      <c r="H35" s="244"/>
      <c r="I35" s="244"/>
      <c r="J35" s="244"/>
    </row>
    <row r="36" spans="1:13" x14ac:dyDescent="0.2">
      <c r="B36" s="243" t="s">
        <v>475</v>
      </c>
      <c r="C36" s="244"/>
      <c r="D36" s="244"/>
      <c r="E36" s="244"/>
      <c r="F36" s="244"/>
      <c r="G36" s="244"/>
      <c r="H36" s="244"/>
      <c r="I36" s="244"/>
      <c r="J36" s="244"/>
    </row>
    <row r="37" spans="1:13" x14ac:dyDescent="0.2">
      <c r="B37" s="243" t="s">
        <v>476</v>
      </c>
      <c r="C37" s="244"/>
      <c r="D37" s="244"/>
      <c r="E37" s="244"/>
      <c r="F37" s="244"/>
      <c r="G37" s="244"/>
      <c r="H37" s="244"/>
      <c r="I37" s="244"/>
      <c r="J37" s="244"/>
    </row>
    <row r="38" spans="1:13" x14ac:dyDescent="0.2">
      <c r="B38" s="245"/>
      <c r="C38" s="244"/>
      <c r="D38" s="244"/>
      <c r="E38" s="244"/>
      <c r="F38" s="244"/>
      <c r="G38" s="244"/>
      <c r="H38" s="244"/>
      <c r="I38" s="244"/>
      <c r="J38" s="244"/>
    </row>
  </sheetData>
  <mergeCells count="19">
    <mergeCell ref="A32:J32"/>
    <mergeCell ref="A33:J33"/>
    <mergeCell ref="B34:J34"/>
    <mergeCell ref="L3:L5"/>
    <mergeCell ref="M3:M5"/>
    <mergeCell ref="N3:N5"/>
    <mergeCell ref="C4:C5"/>
    <mergeCell ref="E4:E5"/>
    <mergeCell ref="F4:F5"/>
    <mergeCell ref="A1:K1"/>
    <mergeCell ref="A2:K2"/>
    <mergeCell ref="A3:A5"/>
    <mergeCell ref="B3:B5"/>
    <mergeCell ref="C3:F3"/>
    <mergeCell ref="G3:G5"/>
    <mergeCell ref="H3:H4"/>
    <mergeCell ref="I3:I5"/>
    <mergeCell ref="J3:J5"/>
    <mergeCell ref="K3:K5"/>
  </mergeCells>
  <printOptions gridLines="1"/>
  <pageMargins left="0.47244094488188981" right="0.31496062992125984" top="0.74803149606299213" bottom="0.39370078740157483" header="0.51181102362204722" footer="0.27559055118110237"/>
  <pageSetup paperSize="9" scale="5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pane xSplit="2" ySplit="6" topLeftCell="C28" activePane="bottomRight" state="frozen"/>
      <selection pane="topRight" activeCell="C1" sqref="C1"/>
      <selection pane="bottomLeft" activeCell="A7" sqref="A7"/>
      <selection pane="bottomRight" activeCell="N34" sqref="N34"/>
    </sheetView>
  </sheetViews>
  <sheetFormatPr defaultColWidth="9.140625" defaultRowHeight="15.75" x14ac:dyDescent="0.2"/>
  <cols>
    <col min="1" max="1" width="5.5703125" style="18" customWidth="1"/>
    <col min="2" max="2" width="60.28515625" style="25" customWidth="1"/>
    <col min="3" max="3" width="14.7109375" style="13" customWidth="1"/>
    <col min="4" max="4" width="14" style="13" customWidth="1"/>
    <col min="5" max="5" width="15.85546875" style="13" customWidth="1"/>
    <col min="6" max="6" width="15.7109375" style="13" customWidth="1"/>
    <col min="7" max="7" width="19.140625" style="13" customWidth="1"/>
    <col min="8" max="8" width="18.7109375" style="13" customWidth="1"/>
    <col min="9" max="9" width="16.28515625" style="13" customWidth="1"/>
    <col min="10" max="10" width="17.7109375" style="13" bestFit="1" customWidth="1"/>
    <col min="11" max="12" width="13.28515625" style="13" customWidth="1"/>
    <col min="13" max="13" width="9.7109375" style="13" customWidth="1"/>
    <col min="14" max="14" width="9" style="13" customWidth="1"/>
    <col min="15" max="15" width="8.7109375" style="13" customWidth="1"/>
    <col min="16" max="16384" width="9.140625" style="13"/>
  </cols>
  <sheetData>
    <row r="1" spans="1:15" ht="35.1" customHeight="1" thickBot="1" x14ac:dyDescent="0.25">
      <c r="A1" s="781" t="s">
        <v>644</v>
      </c>
      <c r="B1" s="782"/>
      <c r="C1" s="782"/>
      <c r="D1" s="782"/>
      <c r="E1" s="782"/>
      <c r="F1" s="782"/>
      <c r="G1" s="782"/>
      <c r="H1" s="782"/>
      <c r="I1" s="782"/>
      <c r="J1" s="782"/>
      <c r="K1" s="782"/>
    </row>
    <row r="2" spans="1:15" ht="35.450000000000003" customHeight="1" thickBot="1" x14ac:dyDescent="0.25">
      <c r="A2" s="756" t="s">
        <v>954</v>
      </c>
      <c r="B2" s="757"/>
      <c r="C2" s="757"/>
      <c r="D2" s="757"/>
      <c r="E2" s="757"/>
      <c r="F2" s="757"/>
      <c r="G2" s="757"/>
      <c r="H2" s="757"/>
      <c r="I2" s="757"/>
      <c r="J2" s="757"/>
      <c r="K2" s="757"/>
      <c r="L2" s="539" t="s">
        <v>503</v>
      </c>
      <c r="M2" s="540"/>
      <c r="N2" s="540"/>
      <c r="O2" s="540"/>
    </row>
    <row r="3" spans="1:15" ht="21" customHeight="1" x14ac:dyDescent="0.2">
      <c r="A3" s="759" t="s">
        <v>80</v>
      </c>
      <c r="B3" s="783" t="s">
        <v>547</v>
      </c>
      <c r="C3" s="761" t="s">
        <v>645</v>
      </c>
      <c r="D3" s="761"/>
      <c r="E3" s="761"/>
      <c r="F3" s="761"/>
      <c r="G3" s="761" t="s">
        <v>477</v>
      </c>
      <c r="H3" s="762" t="s">
        <v>132</v>
      </c>
      <c r="I3" s="761" t="s">
        <v>479</v>
      </c>
      <c r="J3" s="764" t="s">
        <v>480</v>
      </c>
      <c r="K3" s="785" t="s">
        <v>504</v>
      </c>
      <c r="L3" s="793" t="s">
        <v>573</v>
      </c>
      <c r="M3" s="775" t="s">
        <v>534</v>
      </c>
      <c r="N3" s="778" t="s">
        <v>548</v>
      </c>
      <c r="O3" s="750" t="s">
        <v>535</v>
      </c>
    </row>
    <row r="4" spans="1:15" ht="34.5" customHeight="1" x14ac:dyDescent="0.2">
      <c r="A4" s="760"/>
      <c r="B4" s="784"/>
      <c r="C4" s="753" t="s">
        <v>505</v>
      </c>
      <c r="D4" s="508" t="s">
        <v>132</v>
      </c>
      <c r="E4" s="753" t="s">
        <v>507</v>
      </c>
      <c r="F4" s="753" t="s">
        <v>508</v>
      </c>
      <c r="G4" s="753"/>
      <c r="H4" s="763"/>
      <c r="I4" s="753"/>
      <c r="J4" s="765"/>
      <c r="K4" s="785"/>
      <c r="L4" s="793"/>
      <c r="M4" s="776"/>
      <c r="N4" s="779"/>
      <c r="O4" s="751"/>
    </row>
    <row r="5" spans="1:15" s="510" customFormat="1" ht="63.75" thickBot="1" x14ac:dyDescent="0.25">
      <c r="A5" s="760"/>
      <c r="B5" s="784"/>
      <c r="C5" s="753"/>
      <c r="D5" s="499" t="s">
        <v>506</v>
      </c>
      <c r="E5" s="753"/>
      <c r="F5" s="753"/>
      <c r="G5" s="753"/>
      <c r="H5" s="508" t="s">
        <v>478</v>
      </c>
      <c r="I5" s="753"/>
      <c r="J5" s="765"/>
      <c r="K5" s="786"/>
      <c r="L5" s="794"/>
      <c r="M5" s="777"/>
      <c r="N5" s="780"/>
      <c r="O5" s="752"/>
    </row>
    <row r="6" spans="1:15" s="510" customFormat="1" ht="18" customHeight="1" thickBot="1" x14ac:dyDescent="0.25">
      <c r="A6" s="191"/>
      <c r="B6" s="511"/>
      <c r="C6" s="508" t="s">
        <v>118</v>
      </c>
      <c r="D6" s="508" t="s">
        <v>119</v>
      </c>
      <c r="E6" s="508" t="s">
        <v>120</v>
      </c>
      <c r="F6" s="508" t="s">
        <v>69</v>
      </c>
      <c r="G6" s="508" t="s">
        <v>121</v>
      </c>
      <c r="H6" s="508" t="s">
        <v>122</v>
      </c>
      <c r="I6" s="508" t="s">
        <v>123</v>
      </c>
      <c r="J6" s="512" t="s">
        <v>70</v>
      </c>
      <c r="K6" s="541" t="s">
        <v>499</v>
      </c>
      <c r="L6" s="542" t="s">
        <v>466</v>
      </c>
      <c r="M6" s="509"/>
      <c r="N6" s="509"/>
      <c r="O6" s="509"/>
    </row>
    <row r="7" spans="1:15" x14ac:dyDescent="0.2">
      <c r="A7" s="19">
        <v>1</v>
      </c>
      <c r="B7" s="511" t="s">
        <v>115</v>
      </c>
      <c r="C7" s="514">
        <f>SUM(C8:C12)</f>
        <v>330.57</v>
      </c>
      <c r="D7" s="514">
        <f>SUM(D8:D12)</f>
        <v>330.57</v>
      </c>
      <c r="E7" s="514">
        <f>SUM(E8:E12)</f>
        <v>45.539999999999992</v>
      </c>
      <c r="F7" s="514">
        <f t="shared" ref="F7:F13" si="0">C7+E7</f>
        <v>376.11</v>
      </c>
      <c r="G7" s="514">
        <f>SUM(G8:G12)</f>
        <v>7028694.6599999992</v>
      </c>
      <c r="H7" s="514">
        <f>SUM(H8:H12)</f>
        <v>7028694.6599999992</v>
      </c>
      <c r="I7" s="514">
        <f>SUM(I8:I12)</f>
        <v>2941102.12</v>
      </c>
      <c r="J7" s="515">
        <f t="shared" ref="J7:J13" si="1">G7+I7</f>
        <v>9969796.7799999993</v>
      </c>
      <c r="K7" s="516">
        <f>IF(F7=0,0,J7/F7/12)</f>
        <v>2208.9718389123746</v>
      </c>
      <c r="L7" s="543">
        <v>2631.4296336897328</v>
      </c>
      <c r="M7" s="544">
        <v>1532.19</v>
      </c>
      <c r="N7" s="545">
        <v>1911.65</v>
      </c>
      <c r="O7" s="546">
        <v>2478.62</v>
      </c>
    </row>
    <row r="8" spans="1:15" x14ac:dyDescent="0.2">
      <c r="A8" s="19">
        <v>2</v>
      </c>
      <c r="B8" s="520" t="s">
        <v>792</v>
      </c>
      <c r="C8" s="521">
        <v>23.3</v>
      </c>
      <c r="D8" s="521">
        <v>23.3</v>
      </c>
      <c r="E8" s="521">
        <v>6.31</v>
      </c>
      <c r="F8" s="514">
        <f t="shared" si="0"/>
        <v>29.61</v>
      </c>
      <c r="G8" s="521">
        <v>884234.36</v>
      </c>
      <c r="H8" s="521">
        <v>884234.36</v>
      </c>
      <c r="I8" s="521">
        <v>459230.51</v>
      </c>
      <c r="J8" s="515">
        <f t="shared" si="1"/>
        <v>1343464.87</v>
      </c>
      <c r="K8" s="516">
        <f t="shared" ref="K8:K30" si="2">IF(F8=0,0,J8/F8/12)</f>
        <v>3780.9998592817742</v>
      </c>
      <c r="L8" s="543">
        <v>3641.2317684594345</v>
      </c>
      <c r="M8" s="547">
        <v>2410.4899999999998</v>
      </c>
      <c r="N8" s="548">
        <v>3422.99</v>
      </c>
      <c r="O8" s="549">
        <v>4670.91</v>
      </c>
    </row>
    <row r="9" spans="1:15" x14ac:dyDescent="0.2">
      <c r="A9" s="19">
        <v>3</v>
      </c>
      <c r="B9" s="520" t="s">
        <v>90</v>
      </c>
      <c r="C9" s="521">
        <v>91.31</v>
      </c>
      <c r="D9" s="521">
        <v>91.31</v>
      </c>
      <c r="E9" s="521">
        <v>9.52</v>
      </c>
      <c r="F9" s="514">
        <f t="shared" si="0"/>
        <v>100.83</v>
      </c>
      <c r="G9" s="521">
        <v>2376028.9500000002</v>
      </c>
      <c r="H9" s="521">
        <v>2376028.9500000002</v>
      </c>
      <c r="I9" s="521">
        <v>623552.06000000006</v>
      </c>
      <c r="J9" s="515">
        <f t="shared" si="1"/>
        <v>2999581.0100000002</v>
      </c>
      <c r="K9" s="516">
        <f t="shared" si="2"/>
        <v>2479.0745231247315</v>
      </c>
      <c r="L9" s="543">
        <v>3022.3955599068581</v>
      </c>
      <c r="M9" s="547">
        <v>1671.26</v>
      </c>
      <c r="N9" s="548">
        <v>2179.59</v>
      </c>
      <c r="O9" s="549">
        <v>3082.59</v>
      </c>
    </row>
    <row r="10" spans="1:15" x14ac:dyDescent="0.2">
      <c r="A10" s="19">
        <v>4</v>
      </c>
      <c r="B10" s="520" t="s">
        <v>91</v>
      </c>
      <c r="C10" s="521">
        <v>165.62</v>
      </c>
      <c r="D10" s="521">
        <v>165.62</v>
      </c>
      <c r="E10" s="521">
        <v>20.239999999999998</v>
      </c>
      <c r="F10" s="514">
        <f t="shared" si="0"/>
        <v>185.86</v>
      </c>
      <c r="G10" s="521">
        <v>3049997.79</v>
      </c>
      <c r="H10" s="521">
        <v>3049997.79</v>
      </c>
      <c r="I10" s="521">
        <v>1382531.1</v>
      </c>
      <c r="J10" s="515">
        <f t="shared" si="1"/>
        <v>4432528.8900000006</v>
      </c>
      <c r="K10" s="516">
        <f t="shared" si="2"/>
        <v>1987.3959297320564</v>
      </c>
      <c r="L10" s="543">
        <v>1975.391077313054</v>
      </c>
      <c r="M10" s="547">
        <v>1486.75</v>
      </c>
      <c r="N10" s="548">
        <v>1856.32</v>
      </c>
      <c r="O10" s="549">
        <v>2319.63</v>
      </c>
    </row>
    <row r="11" spans="1:15" x14ac:dyDescent="0.2">
      <c r="A11" s="19">
        <v>5</v>
      </c>
      <c r="B11" s="520" t="s">
        <v>92</v>
      </c>
      <c r="C11" s="521">
        <v>21.52</v>
      </c>
      <c r="D11" s="521">
        <v>21.52</v>
      </c>
      <c r="E11" s="521">
        <v>5.39</v>
      </c>
      <c r="F11" s="514">
        <f t="shared" si="0"/>
        <v>26.91</v>
      </c>
      <c r="G11" s="521">
        <v>307062.46000000002</v>
      </c>
      <c r="H11" s="521">
        <v>307062.46000000002</v>
      </c>
      <c r="I11" s="521">
        <v>223753.81</v>
      </c>
      <c r="J11" s="515">
        <f t="shared" si="1"/>
        <v>530816.27</v>
      </c>
      <c r="K11" s="516">
        <f t="shared" si="2"/>
        <v>1643.8011581815929</v>
      </c>
      <c r="L11" s="543">
        <v>1755.238234576932</v>
      </c>
      <c r="M11" s="547">
        <v>1314.54</v>
      </c>
      <c r="N11" s="548">
        <v>1604.69</v>
      </c>
      <c r="O11" s="549">
        <v>1909.1</v>
      </c>
    </row>
    <row r="12" spans="1:15" x14ac:dyDescent="0.2">
      <c r="A12" s="19">
        <v>6</v>
      </c>
      <c r="B12" s="520" t="s">
        <v>93</v>
      </c>
      <c r="C12" s="521">
        <v>28.82</v>
      </c>
      <c r="D12" s="521">
        <v>28.82</v>
      </c>
      <c r="E12" s="521">
        <v>4.08</v>
      </c>
      <c r="F12" s="514">
        <f t="shared" si="0"/>
        <v>32.9</v>
      </c>
      <c r="G12" s="521">
        <v>411371.1</v>
      </c>
      <c r="H12" s="521">
        <v>411371.1</v>
      </c>
      <c r="I12" s="521">
        <v>252034.64</v>
      </c>
      <c r="J12" s="515">
        <f t="shared" si="1"/>
        <v>663405.74</v>
      </c>
      <c r="K12" s="516">
        <f t="shared" si="2"/>
        <v>1680.359017223911</v>
      </c>
      <c r="L12" s="543">
        <v>1648.7080811138012</v>
      </c>
      <c r="M12" s="547">
        <v>1335.27</v>
      </c>
      <c r="N12" s="548">
        <v>1612.77</v>
      </c>
      <c r="O12" s="549">
        <v>1994.05</v>
      </c>
    </row>
    <row r="13" spans="1:15" x14ac:dyDescent="0.2">
      <c r="A13" s="19">
        <v>7</v>
      </c>
      <c r="B13" s="511" t="s">
        <v>21</v>
      </c>
      <c r="C13" s="521">
        <v>133.57</v>
      </c>
      <c r="D13" s="521">
        <v>129.68</v>
      </c>
      <c r="E13" s="521">
        <v>20.010000000000002</v>
      </c>
      <c r="F13" s="514">
        <f t="shared" si="0"/>
        <v>153.57999999999998</v>
      </c>
      <c r="G13" s="521">
        <v>1851974.35</v>
      </c>
      <c r="H13" s="521">
        <v>1768243.38</v>
      </c>
      <c r="I13" s="521">
        <v>378815.03</v>
      </c>
      <c r="J13" s="515">
        <f t="shared" si="1"/>
        <v>2230789.38</v>
      </c>
      <c r="K13" s="516">
        <f t="shared" si="2"/>
        <v>1210.4383057689804</v>
      </c>
      <c r="L13" s="543">
        <v>1548.50885286783</v>
      </c>
      <c r="M13" s="547">
        <v>925.94</v>
      </c>
      <c r="N13" s="548">
        <v>1107.24</v>
      </c>
      <c r="O13" s="549">
        <v>1491.68</v>
      </c>
    </row>
    <row r="14" spans="1:15" x14ac:dyDescent="0.2">
      <c r="A14" s="19"/>
      <c r="B14" s="520" t="s">
        <v>132</v>
      </c>
      <c r="C14" s="525"/>
      <c r="D14" s="525"/>
      <c r="E14" s="525"/>
      <c r="F14" s="526"/>
      <c r="G14" s="525"/>
      <c r="H14" s="525"/>
      <c r="I14" s="525"/>
      <c r="J14" s="527"/>
      <c r="K14" s="527"/>
      <c r="L14" s="543"/>
      <c r="M14" s="547"/>
      <c r="N14" s="548"/>
      <c r="O14" s="549"/>
    </row>
    <row r="15" spans="1:15" x14ac:dyDescent="0.2">
      <c r="A15" s="19">
        <v>8</v>
      </c>
      <c r="B15" s="520" t="s">
        <v>25</v>
      </c>
      <c r="C15" s="521">
        <v>14.49</v>
      </c>
      <c r="D15" s="521">
        <v>14.49</v>
      </c>
      <c r="E15" s="521">
        <v>1.85</v>
      </c>
      <c r="F15" s="514">
        <f t="shared" ref="F15:F21" si="3">C15+E15</f>
        <v>16.34</v>
      </c>
      <c r="G15" s="521">
        <v>209418.38</v>
      </c>
      <c r="H15" s="521">
        <v>209418.38</v>
      </c>
      <c r="I15" s="521">
        <v>41222.75</v>
      </c>
      <c r="J15" s="515">
        <f t="shared" ref="J15:J21" si="4">G15+I15</f>
        <v>250641.13</v>
      </c>
      <c r="K15" s="516">
        <f t="shared" si="2"/>
        <v>1278.2595369237047</v>
      </c>
      <c r="L15" s="543">
        <v>1762.8036508767343</v>
      </c>
      <c r="M15" s="547">
        <v>907.29</v>
      </c>
      <c r="N15" s="548">
        <v>1134.29</v>
      </c>
      <c r="O15" s="549">
        <v>1481.16</v>
      </c>
    </row>
    <row r="16" spans="1:15" x14ac:dyDescent="0.2">
      <c r="A16" s="19">
        <v>9</v>
      </c>
      <c r="B16" s="511" t="s">
        <v>116</v>
      </c>
      <c r="C16" s="514">
        <f>SUM(C17:C19)</f>
        <v>202.05</v>
      </c>
      <c r="D16" s="514">
        <f>SUM(D17:D19)</f>
        <v>200.89</v>
      </c>
      <c r="E16" s="514">
        <f>SUM(E17:E19)</f>
        <v>29.27</v>
      </c>
      <c r="F16" s="514">
        <f t="shared" si="3"/>
        <v>231.32000000000002</v>
      </c>
      <c r="G16" s="514">
        <f>SUM(G17:G19)</f>
        <v>3083751.02</v>
      </c>
      <c r="H16" s="514">
        <f>SUM(H17:H19)</f>
        <v>3062069.82</v>
      </c>
      <c r="I16" s="514">
        <f>SUM(I17:I19)</f>
        <v>730140.45</v>
      </c>
      <c r="J16" s="515">
        <f t="shared" si="4"/>
        <v>3813891.4699999997</v>
      </c>
      <c r="K16" s="516">
        <f t="shared" si="2"/>
        <v>1373.9594032797277</v>
      </c>
      <c r="L16" s="543">
        <v>1932.5288571428598</v>
      </c>
      <c r="M16" s="547">
        <v>1055.96</v>
      </c>
      <c r="N16" s="548">
        <v>1225.03</v>
      </c>
      <c r="O16" s="549">
        <v>1495.93</v>
      </c>
    </row>
    <row r="17" spans="1:15" x14ac:dyDescent="0.2">
      <c r="A17" s="19">
        <v>10</v>
      </c>
      <c r="B17" s="520" t="s">
        <v>94</v>
      </c>
      <c r="C17" s="521">
        <v>62.35</v>
      </c>
      <c r="D17" s="521">
        <v>61.19</v>
      </c>
      <c r="E17" s="521">
        <v>8.2200000000000006</v>
      </c>
      <c r="F17" s="514">
        <f t="shared" si="3"/>
        <v>70.570000000000007</v>
      </c>
      <c r="G17" s="521">
        <v>1069155.2</v>
      </c>
      <c r="H17" s="521">
        <v>1047474</v>
      </c>
      <c r="I17" s="521">
        <v>131225.73000000001</v>
      </c>
      <c r="J17" s="515">
        <f t="shared" si="4"/>
        <v>1200380.93</v>
      </c>
      <c r="K17" s="516">
        <f t="shared" si="2"/>
        <v>1417.4825586887721</v>
      </c>
      <c r="L17" s="543">
        <v>1696.6492211838024</v>
      </c>
      <c r="M17" s="547">
        <v>1087.19</v>
      </c>
      <c r="N17" s="548">
        <v>1313.86</v>
      </c>
      <c r="O17" s="549">
        <v>1465.51</v>
      </c>
    </row>
    <row r="18" spans="1:15" x14ac:dyDescent="0.2">
      <c r="A18" s="19">
        <v>11</v>
      </c>
      <c r="B18" s="520" t="s">
        <v>71</v>
      </c>
      <c r="C18" s="521">
        <v>79.14</v>
      </c>
      <c r="D18" s="521">
        <v>79.14</v>
      </c>
      <c r="E18" s="521">
        <v>11.46</v>
      </c>
      <c r="F18" s="514">
        <f t="shared" si="3"/>
        <v>90.6</v>
      </c>
      <c r="G18" s="521">
        <v>1174807.01</v>
      </c>
      <c r="H18" s="521">
        <v>1174807.01</v>
      </c>
      <c r="I18" s="521">
        <v>395335.54</v>
      </c>
      <c r="J18" s="515">
        <f t="shared" si="4"/>
        <v>1570142.55</v>
      </c>
      <c r="K18" s="516">
        <f t="shared" si="2"/>
        <v>1444.2076434878588</v>
      </c>
      <c r="L18" s="543">
        <v>1223.1283028455239</v>
      </c>
      <c r="M18" s="547">
        <v>1042.68</v>
      </c>
      <c r="N18" s="548">
        <v>1285.05</v>
      </c>
      <c r="O18" s="549">
        <v>1613.82</v>
      </c>
    </row>
    <row r="19" spans="1:15" x14ac:dyDescent="0.2">
      <c r="A19" s="19">
        <v>12</v>
      </c>
      <c r="B19" s="520" t="s">
        <v>62</v>
      </c>
      <c r="C19" s="521">
        <v>60.56</v>
      </c>
      <c r="D19" s="521">
        <v>60.56</v>
      </c>
      <c r="E19" s="521">
        <v>9.59</v>
      </c>
      <c r="F19" s="514">
        <f t="shared" si="3"/>
        <v>70.150000000000006</v>
      </c>
      <c r="G19" s="521">
        <v>839788.81</v>
      </c>
      <c r="H19" s="521">
        <v>839788.81</v>
      </c>
      <c r="I19" s="521">
        <v>203579.18</v>
      </c>
      <c r="J19" s="515">
        <f t="shared" si="4"/>
        <v>1043367.99</v>
      </c>
      <c r="K19" s="516">
        <f t="shared" si="2"/>
        <v>1239.4487883107624</v>
      </c>
      <c r="L19" s="543">
        <v>3310.5816761363672</v>
      </c>
      <c r="M19" s="547">
        <v>999.56</v>
      </c>
      <c r="N19" s="548">
        <v>1131.26</v>
      </c>
      <c r="O19" s="549">
        <v>1297.75</v>
      </c>
    </row>
    <row r="20" spans="1:15" x14ac:dyDescent="0.2">
      <c r="A20" s="19">
        <v>13</v>
      </c>
      <c r="B20" s="511" t="s">
        <v>113</v>
      </c>
      <c r="C20" s="521">
        <v>59.39</v>
      </c>
      <c r="D20" s="521">
        <v>55.94</v>
      </c>
      <c r="E20" s="521">
        <v>23.32</v>
      </c>
      <c r="F20" s="514">
        <f t="shared" si="3"/>
        <v>82.710000000000008</v>
      </c>
      <c r="G20" s="521">
        <v>1231606.29</v>
      </c>
      <c r="H20" s="521">
        <v>1176781.8799999999</v>
      </c>
      <c r="I20" s="521">
        <v>635671.11</v>
      </c>
      <c r="J20" s="515">
        <f t="shared" si="4"/>
        <v>1867277.4</v>
      </c>
      <c r="K20" s="516">
        <f t="shared" si="2"/>
        <v>1881.3498972312898</v>
      </c>
      <c r="L20" s="543">
        <v>2384.1321708103133</v>
      </c>
      <c r="M20" s="547">
        <v>1272.26</v>
      </c>
      <c r="N20" s="548">
        <v>1611.78</v>
      </c>
      <c r="O20" s="549">
        <v>2161.8200000000002</v>
      </c>
    </row>
    <row r="21" spans="1:15" ht="31.5" x14ac:dyDescent="0.2">
      <c r="A21" s="19">
        <v>14</v>
      </c>
      <c r="B21" s="511" t="s">
        <v>22</v>
      </c>
      <c r="C21" s="521">
        <v>77.08</v>
      </c>
      <c r="D21" s="521">
        <v>77.08</v>
      </c>
      <c r="E21" s="521">
        <v>12.98</v>
      </c>
      <c r="F21" s="514">
        <f t="shared" si="3"/>
        <v>90.06</v>
      </c>
      <c r="G21" s="521">
        <v>681186.29</v>
      </c>
      <c r="H21" s="521">
        <v>681186.29</v>
      </c>
      <c r="I21" s="521">
        <v>205430.9</v>
      </c>
      <c r="J21" s="515">
        <f t="shared" si="4"/>
        <v>886617.19000000006</v>
      </c>
      <c r="K21" s="516">
        <f t="shared" si="2"/>
        <v>820.3949126508254</v>
      </c>
      <c r="L21" s="543">
        <v>1064.1671500698246</v>
      </c>
      <c r="M21" s="547">
        <v>716.15</v>
      </c>
      <c r="N21" s="548">
        <v>763.89</v>
      </c>
      <c r="O21" s="549">
        <v>871.65</v>
      </c>
    </row>
    <row r="22" spans="1:15" ht="47.25" x14ac:dyDescent="0.2">
      <c r="A22" s="19">
        <v>15</v>
      </c>
      <c r="B22" s="511" t="s">
        <v>146</v>
      </c>
      <c r="C22" s="514">
        <f>SUM(C23:C26)</f>
        <v>19</v>
      </c>
      <c r="D22" s="514">
        <f>SUM(D23:D26)</f>
        <v>19</v>
      </c>
      <c r="E22" s="514">
        <f>SUM(E23:E26)</f>
        <v>1.86</v>
      </c>
      <c r="F22" s="514">
        <f>SUM(F27:F27)</f>
        <v>0</v>
      </c>
      <c r="G22" s="514">
        <f>SUM(G23:G26)</f>
        <v>236705.81999999998</v>
      </c>
      <c r="H22" s="514">
        <f>SUM(H23:H26)</f>
        <v>236705.81999999998</v>
      </c>
      <c r="I22" s="514">
        <f>SUM(I23:I26)</f>
        <v>18063.5</v>
      </c>
      <c r="J22" s="515">
        <f>SUM(J23:J26)</f>
        <v>254769.31999999998</v>
      </c>
      <c r="K22" s="516">
        <f t="shared" si="2"/>
        <v>0</v>
      </c>
      <c r="L22" s="543">
        <v>0</v>
      </c>
      <c r="M22" s="550" t="s">
        <v>139</v>
      </c>
      <c r="N22" s="551" t="s">
        <v>139</v>
      </c>
      <c r="O22" s="552" t="s">
        <v>139</v>
      </c>
    </row>
    <row r="23" spans="1:15" x14ac:dyDescent="0.2">
      <c r="A23" s="19" t="s">
        <v>114</v>
      </c>
      <c r="B23" s="520" t="s">
        <v>891</v>
      </c>
      <c r="C23" s="521">
        <v>18.52</v>
      </c>
      <c r="D23" s="521">
        <v>18.52</v>
      </c>
      <c r="E23" s="521">
        <v>1.86</v>
      </c>
      <c r="F23" s="514">
        <f t="shared" ref="F23:F29" si="5">C23+E23</f>
        <v>20.38</v>
      </c>
      <c r="G23" s="521">
        <v>228922.86</v>
      </c>
      <c r="H23" s="521">
        <v>228922.86</v>
      </c>
      <c r="I23" s="521">
        <v>18063.5</v>
      </c>
      <c r="J23" s="515">
        <f>G23+I23</f>
        <v>246986.36</v>
      </c>
      <c r="K23" s="516">
        <f t="shared" si="2"/>
        <v>1009.9213280994439</v>
      </c>
      <c r="L23" s="543">
        <v>1236.2457674492891</v>
      </c>
      <c r="M23" s="550" t="s">
        <v>139</v>
      </c>
      <c r="N23" s="551" t="s">
        <v>139</v>
      </c>
      <c r="O23" s="552" t="s">
        <v>139</v>
      </c>
    </row>
    <row r="24" spans="1:15" x14ac:dyDescent="0.2">
      <c r="A24" s="19" t="s">
        <v>187</v>
      </c>
      <c r="B24" s="520" t="s">
        <v>892</v>
      </c>
      <c r="C24" s="521">
        <v>0.48</v>
      </c>
      <c r="D24" s="521">
        <v>0.48</v>
      </c>
      <c r="E24" s="521"/>
      <c r="F24" s="514">
        <f t="shared" si="5"/>
        <v>0.48</v>
      </c>
      <c r="G24" s="521">
        <v>7782.96</v>
      </c>
      <c r="H24" s="521">
        <v>7782.96</v>
      </c>
      <c r="I24" s="521"/>
      <c r="J24" s="515">
        <f>G24+I24</f>
        <v>7782.96</v>
      </c>
      <c r="K24" s="516">
        <f t="shared" si="2"/>
        <v>1351.2083333333333</v>
      </c>
      <c r="L24" s="543">
        <v>0</v>
      </c>
      <c r="M24" s="550" t="s">
        <v>139</v>
      </c>
      <c r="N24" s="551" t="s">
        <v>139</v>
      </c>
      <c r="O24" s="552" t="s">
        <v>139</v>
      </c>
    </row>
    <row r="25" spans="1:15" x14ac:dyDescent="0.2">
      <c r="A25" s="19" t="s">
        <v>188</v>
      </c>
      <c r="B25" s="520"/>
      <c r="C25" s="521"/>
      <c r="D25" s="521"/>
      <c r="E25" s="521"/>
      <c r="F25" s="514">
        <f t="shared" si="5"/>
        <v>0</v>
      </c>
      <c r="G25" s="521"/>
      <c r="H25" s="521"/>
      <c r="I25" s="521"/>
      <c r="J25" s="515">
        <f>G25+I25</f>
        <v>0</v>
      </c>
      <c r="K25" s="516">
        <f t="shared" si="2"/>
        <v>0</v>
      </c>
      <c r="L25" s="543">
        <v>0</v>
      </c>
      <c r="M25" s="550" t="s">
        <v>139</v>
      </c>
      <c r="N25" s="551" t="s">
        <v>139</v>
      </c>
      <c r="O25" s="552" t="s">
        <v>139</v>
      </c>
    </row>
    <row r="26" spans="1:15" ht="16.5" customHeight="1" x14ac:dyDescent="0.2">
      <c r="A26" s="19" t="s">
        <v>189</v>
      </c>
      <c r="B26" s="520"/>
      <c r="C26" s="521"/>
      <c r="D26" s="521"/>
      <c r="E26" s="521"/>
      <c r="F26" s="514">
        <f t="shared" si="5"/>
        <v>0</v>
      </c>
      <c r="G26" s="521"/>
      <c r="H26" s="521"/>
      <c r="I26" s="521"/>
      <c r="J26" s="515">
        <f>G26+I26</f>
        <v>0</v>
      </c>
      <c r="K26" s="516">
        <f t="shared" si="2"/>
        <v>0</v>
      </c>
      <c r="L26" s="543">
        <v>0</v>
      </c>
      <c r="M26" s="550" t="s">
        <v>139</v>
      </c>
      <c r="N26" s="551" t="s">
        <v>139</v>
      </c>
      <c r="O26" s="552" t="s">
        <v>139</v>
      </c>
    </row>
    <row r="27" spans="1:15" x14ac:dyDescent="0.2">
      <c r="A27" s="19"/>
      <c r="B27" s="520"/>
      <c r="C27" s="525"/>
      <c r="D27" s="525"/>
      <c r="E27" s="525"/>
      <c r="F27" s="526">
        <f t="shared" si="5"/>
        <v>0</v>
      </c>
      <c r="G27" s="525"/>
      <c r="H27" s="525"/>
      <c r="I27" s="525"/>
      <c r="J27" s="527"/>
      <c r="K27" s="527"/>
      <c r="L27" s="543"/>
      <c r="M27" s="553"/>
      <c r="N27" s="548"/>
      <c r="O27" s="554"/>
    </row>
    <row r="28" spans="1:15" x14ac:dyDescent="0.2">
      <c r="A28" s="19">
        <v>16</v>
      </c>
      <c r="B28" s="511" t="s">
        <v>23</v>
      </c>
      <c r="C28" s="521">
        <v>29.48</v>
      </c>
      <c r="D28" s="521">
        <v>29.48</v>
      </c>
      <c r="E28" s="521">
        <v>9.6300000000000008</v>
      </c>
      <c r="F28" s="514">
        <f t="shared" si="5"/>
        <v>39.11</v>
      </c>
      <c r="G28" s="521">
        <v>329803.19</v>
      </c>
      <c r="H28" s="521">
        <v>329803.19</v>
      </c>
      <c r="I28" s="521">
        <v>127414.96</v>
      </c>
      <c r="J28" s="515">
        <f>G28+I28</f>
        <v>457218.15</v>
      </c>
      <c r="K28" s="516">
        <f t="shared" si="2"/>
        <v>974.21407568396842</v>
      </c>
      <c r="L28" s="543">
        <v>1107.9254470758813</v>
      </c>
      <c r="M28" s="547">
        <v>801.65</v>
      </c>
      <c r="N28" s="548">
        <v>919.49</v>
      </c>
      <c r="O28" s="549">
        <v>1106.99</v>
      </c>
    </row>
    <row r="29" spans="1:15" x14ac:dyDescent="0.2">
      <c r="A29" s="19">
        <v>17</v>
      </c>
      <c r="B29" s="511" t="s">
        <v>24</v>
      </c>
      <c r="C29" s="521"/>
      <c r="D29" s="521"/>
      <c r="E29" s="521">
        <v>39.42</v>
      </c>
      <c r="F29" s="514">
        <f t="shared" si="5"/>
        <v>39.42</v>
      </c>
      <c r="G29" s="521">
        <v>17699.95</v>
      </c>
      <c r="H29" s="521">
        <v>17699.95</v>
      </c>
      <c r="I29" s="521">
        <v>419516.26</v>
      </c>
      <c r="J29" s="515">
        <f>G29+I29</f>
        <v>437216.21</v>
      </c>
      <c r="K29" s="516">
        <f t="shared" si="2"/>
        <v>924.26900473532896</v>
      </c>
      <c r="L29" s="543">
        <v>866.16666666666708</v>
      </c>
      <c r="M29" s="547">
        <v>693.37</v>
      </c>
      <c r="N29" s="548">
        <v>824.06</v>
      </c>
      <c r="O29" s="549">
        <v>988.66</v>
      </c>
    </row>
    <row r="30" spans="1:15" ht="16.5" thickBot="1" x14ac:dyDescent="0.25">
      <c r="A30" s="20">
        <v>18</v>
      </c>
      <c r="B30" s="533" t="s">
        <v>147</v>
      </c>
      <c r="C30" s="210">
        <f t="shared" ref="C30:J30" si="6">C7+C13+C16+C20+C21+C28+C29</f>
        <v>832.1400000000001</v>
      </c>
      <c r="D30" s="210">
        <f t="shared" si="6"/>
        <v>823.64</v>
      </c>
      <c r="E30" s="210">
        <f t="shared" si="6"/>
        <v>180.16999999999996</v>
      </c>
      <c r="F30" s="210">
        <f t="shared" si="6"/>
        <v>1012.3100000000002</v>
      </c>
      <c r="G30" s="210">
        <f t="shared" si="6"/>
        <v>14224715.749999998</v>
      </c>
      <c r="H30" s="210">
        <f t="shared" si="6"/>
        <v>14064479.169999996</v>
      </c>
      <c r="I30" s="210">
        <f t="shared" si="6"/>
        <v>5438090.830000001</v>
      </c>
      <c r="J30" s="534">
        <f t="shared" si="6"/>
        <v>19662806.579999998</v>
      </c>
      <c r="K30" s="535">
        <f t="shared" si="2"/>
        <v>1618.6417352392048</v>
      </c>
      <c r="L30" s="555">
        <v>2202.4682241696914</v>
      </c>
      <c r="M30" s="556">
        <v>1030.82</v>
      </c>
      <c r="N30" s="557">
        <v>1506.78</v>
      </c>
      <c r="O30" s="558">
        <v>2071.23</v>
      </c>
    </row>
    <row r="31" spans="1:15" x14ac:dyDescent="0.2">
      <c r="A31" s="12"/>
      <c r="B31" s="12"/>
      <c r="C31" s="41"/>
      <c r="D31" s="12"/>
      <c r="E31" s="12"/>
      <c r="F31" s="41"/>
      <c r="G31" s="41"/>
      <c r="H31" s="41"/>
      <c r="I31" s="41"/>
      <c r="J31" s="41"/>
      <c r="L31" s="229"/>
      <c r="M31" s="229"/>
      <c r="N31" s="229"/>
      <c r="O31" s="229"/>
    </row>
    <row r="32" spans="1:15" x14ac:dyDescent="0.25">
      <c r="A32" s="787" t="s">
        <v>0</v>
      </c>
      <c r="B32" s="788"/>
      <c r="C32" s="788"/>
      <c r="D32" s="788"/>
      <c r="E32" s="788"/>
      <c r="F32" s="788"/>
      <c r="G32" s="788"/>
      <c r="H32" s="788"/>
      <c r="I32" s="788"/>
      <c r="J32" s="789"/>
      <c r="L32" s="229"/>
      <c r="M32" s="229"/>
      <c r="N32" s="229"/>
      <c r="O32" s="229"/>
    </row>
    <row r="33" spans="1:15" x14ac:dyDescent="0.25">
      <c r="A33" s="790" t="s">
        <v>500</v>
      </c>
      <c r="B33" s="791"/>
      <c r="C33" s="791"/>
      <c r="D33" s="791"/>
      <c r="E33" s="791"/>
      <c r="F33" s="791"/>
      <c r="G33" s="791"/>
      <c r="H33" s="791"/>
      <c r="I33" s="791"/>
      <c r="J33" s="792"/>
      <c r="L33" s="229"/>
      <c r="M33" s="230" t="s">
        <v>536</v>
      </c>
      <c r="N33" s="229"/>
      <c r="O33" s="229"/>
    </row>
    <row r="34" spans="1:15" ht="50.25" customHeight="1" x14ac:dyDescent="0.2">
      <c r="B34" s="774" t="s">
        <v>823</v>
      </c>
      <c r="C34" s="774"/>
      <c r="D34" s="774"/>
      <c r="E34" s="774"/>
      <c r="F34" s="774"/>
      <c r="G34" s="774"/>
      <c r="H34" s="774"/>
      <c r="I34" s="774"/>
      <c r="J34" s="774"/>
      <c r="K34" s="692"/>
      <c r="L34" s="692"/>
      <c r="M34" s="229"/>
      <c r="N34" s="692"/>
      <c r="O34" s="229"/>
    </row>
    <row r="35" spans="1:15" x14ac:dyDescent="0.2">
      <c r="B35" s="243" t="s">
        <v>474</v>
      </c>
      <c r="C35" s="244"/>
      <c r="D35" s="244"/>
      <c r="E35" s="244"/>
      <c r="F35" s="244"/>
      <c r="G35" s="244"/>
      <c r="H35" s="244"/>
      <c r="I35" s="244"/>
      <c r="J35" s="244"/>
      <c r="L35" s="229"/>
      <c r="M35" s="229"/>
      <c r="N35" s="229"/>
      <c r="O35" s="229"/>
    </row>
    <row r="36" spans="1:15" x14ac:dyDescent="0.2">
      <c r="B36" s="243" t="s">
        <v>475</v>
      </c>
      <c r="C36" s="244"/>
      <c r="D36" s="244"/>
      <c r="E36" s="244"/>
      <c r="F36" s="244"/>
      <c r="G36" s="244"/>
      <c r="H36" s="244"/>
      <c r="I36" s="244"/>
      <c r="J36" s="244"/>
    </row>
    <row r="37" spans="1:15" x14ac:dyDescent="0.2">
      <c r="B37" s="243" t="s">
        <v>476</v>
      </c>
      <c r="C37" s="244"/>
      <c r="D37" s="244"/>
      <c r="E37" s="244"/>
      <c r="F37" s="244"/>
      <c r="G37" s="244"/>
      <c r="H37" s="244"/>
      <c r="I37" s="244"/>
      <c r="J37" s="244"/>
    </row>
  </sheetData>
  <mergeCells count="20">
    <mergeCell ref="A32:J32"/>
    <mergeCell ref="A33:J33"/>
    <mergeCell ref="B34:J34"/>
    <mergeCell ref="L3:L5"/>
    <mergeCell ref="M3:M5"/>
    <mergeCell ref="N3:N5"/>
    <mergeCell ref="O3:O5"/>
    <mergeCell ref="C4:C5"/>
    <mergeCell ref="E4:E5"/>
    <mergeCell ref="F4:F5"/>
    <mergeCell ref="A1:K1"/>
    <mergeCell ref="A2:K2"/>
    <mergeCell ref="A3:A5"/>
    <mergeCell ref="B3:B5"/>
    <mergeCell ref="C3:F3"/>
    <mergeCell ref="G3:G5"/>
    <mergeCell ref="H3:H4"/>
    <mergeCell ref="I3:I5"/>
    <mergeCell ref="J3:J5"/>
    <mergeCell ref="K3:K5"/>
  </mergeCells>
  <printOptions gridLines="1"/>
  <pageMargins left="0.2" right="0.19" top="0.8" bottom="0.39370078740157483" header="0.51181102362204722" footer="0.27559055118110237"/>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1"/>
  <sheetViews>
    <sheetView zoomScaleNormal="100" workbookViewId="0">
      <pane xSplit="2" ySplit="4" topLeftCell="C5" activePane="bottomRight" state="frozen"/>
      <selection pane="topRight" activeCell="C1" sqref="C1"/>
      <selection pane="bottomLeft" activeCell="A7" sqref="A7"/>
      <selection pane="bottomRight" activeCell="F10" sqref="F10"/>
    </sheetView>
  </sheetViews>
  <sheetFormatPr defaultColWidth="9.140625" defaultRowHeight="15.75" x14ac:dyDescent="0.25"/>
  <cols>
    <col min="1" max="1" width="9.140625" style="101"/>
    <col min="2" max="2" width="69.7109375" style="101" customWidth="1"/>
    <col min="3" max="3" width="18" style="101" bestFit="1" customWidth="1"/>
    <col min="4" max="4" width="20.28515625" style="101" bestFit="1" customWidth="1"/>
    <col min="5" max="5" width="26.42578125" style="101" customWidth="1"/>
    <col min="6" max="16384" width="9.140625" style="101"/>
  </cols>
  <sheetData>
    <row r="1" spans="1:5" s="348" customFormat="1" ht="39.75" customHeight="1" thickBot="1" x14ac:dyDescent="0.3">
      <c r="A1" s="795" t="s">
        <v>676</v>
      </c>
      <c r="B1" s="796"/>
      <c r="C1" s="796"/>
      <c r="D1" s="796"/>
      <c r="E1" s="797"/>
    </row>
    <row r="2" spans="1:5" s="348" customFormat="1" ht="44.25" customHeight="1" thickBot="1" x14ac:dyDescent="0.3">
      <c r="A2" s="798" t="s">
        <v>956</v>
      </c>
      <c r="B2" s="799"/>
      <c r="C2" s="799"/>
      <c r="D2" s="799"/>
      <c r="E2" s="800"/>
    </row>
    <row r="3" spans="1:5" s="348" customFormat="1" ht="65.25" customHeight="1" x14ac:dyDescent="0.25">
      <c r="A3" s="349" t="s">
        <v>80</v>
      </c>
      <c r="B3" s="350" t="s">
        <v>152</v>
      </c>
      <c r="C3" s="351" t="s">
        <v>529</v>
      </c>
      <c r="D3" s="351" t="s">
        <v>546</v>
      </c>
      <c r="E3" s="352" t="s">
        <v>491</v>
      </c>
    </row>
    <row r="4" spans="1:5" s="348" customFormat="1" ht="26.25" customHeight="1" x14ac:dyDescent="0.25">
      <c r="A4" s="353"/>
      <c r="B4" s="354"/>
      <c r="C4" s="355" t="s">
        <v>118</v>
      </c>
      <c r="D4" s="355" t="s">
        <v>119</v>
      </c>
      <c r="E4" s="356" t="s">
        <v>528</v>
      </c>
    </row>
    <row r="5" spans="1:5" ht="35.25" customHeight="1" thickBot="1" x14ac:dyDescent="0.3">
      <c r="A5" s="217">
        <v>1</v>
      </c>
      <c r="B5" s="357" t="s">
        <v>615</v>
      </c>
      <c r="C5" s="218">
        <v>3182509.6</v>
      </c>
      <c r="D5" s="218">
        <v>46377.57</v>
      </c>
      <c r="E5" s="219">
        <f>C5+D5</f>
        <v>3228887.17</v>
      </c>
    </row>
    <row r="6" spans="1:5" ht="30.75" customHeight="1" thickTop="1" x14ac:dyDescent="0.25">
      <c r="A6" s="216">
        <v>2</v>
      </c>
      <c r="B6" s="358" t="s">
        <v>646</v>
      </c>
      <c r="C6" s="221">
        <v>4154</v>
      </c>
      <c r="D6" s="221">
        <v>33</v>
      </c>
      <c r="E6" s="222">
        <f>C6+D6</f>
        <v>4187</v>
      </c>
    </row>
    <row r="7" spans="1:5" ht="31.5" customHeight="1" thickBot="1" x14ac:dyDescent="0.3">
      <c r="A7" s="154">
        <v>3</v>
      </c>
      <c r="B7" s="359" t="s">
        <v>191</v>
      </c>
      <c r="C7" s="220">
        <f>IF(C6=0,0,+C5/C6)</f>
        <v>766.13134328358217</v>
      </c>
      <c r="D7" s="220">
        <f>IF(D6=0,0,+D5/D6)</f>
        <v>1405.380909090909</v>
      </c>
      <c r="E7" s="223">
        <f>IF(E6=0,0,+E5/E6)</f>
        <v>771.16961308812995</v>
      </c>
    </row>
    <row r="9" spans="1:5" s="348" customFormat="1" ht="31.5" customHeight="1" x14ac:dyDescent="0.25">
      <c r="A9" s="801" t="s">
        <v>793</v>
      </c>
      <c r="B9" s="802"/>
      <c r="C9" s="802"/>
      <c r="D9" s="802"/>
      <c r="E9" s="803"/>
    </row>
    <row r="10" spans="1:5" s="348" customFormat="1" x14ac:dyDescent="0.25">
      <c r="A10" s="360"/>
    </row>
    <row r="11" spans="1:5" s="348" customFormat="1" x14ac:dyDescent="0.25"/>
  </sheetData>
  <mergeCells count="3">
    <mergeCell ref="A1:E1"/>
    <mergeCell ref="A2:E2"/>
    <mergeCell ref="A9:E9"/>
  </mergeCells>
  <pageMargins left="0.45" right="0.33"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G15"/>
  <sheetViews>
    <sheetView zoomScaleNormal="100" workbookViewId="0">
      <pane xSplit="2" ySplit="5" topLeftCell="C6" activePane="bottomRight" state="frozen"/>
      <selection pane="topRight" activeCell="C1" sqref="C1"/>
      <selection pane="bottomLeft" activeCell="A6" sqref="A6"/>
      <selection pane="bottomRight" activeCell="F17" sqref="F17"/>
    </sheetView>
  </sheetViews>
  <sheetFormatPr defaultColWidth="9.140625" defaultRowHeight="15.75" x14ac:dyDescent="0.2"/>
  <cols>
    <col min="1" max="1" width="8.140625" style="13" customWidth="1"/>
    <col min="2" max="2" width="100.85546875" style="41" customWidth="1"/>
    <col min="3" max="3" width="17.28515625" style="13" customWidth="1"/>
    <col min="4" max="4" width="17.140625" style="13" customWidth="1"/>
    <col min="5" max="5" width="15.7109375" style="13" customWidth="1"/>
    <col min="6" max="6" width="18" style="13" customWidth="1"/>
    <col min="7" max="7" width="20.5703125" style="13" customWidth="1"/>
    <col min="8" max="16384" width="9.140625" style="13"/>
  </cols>
  <sheetData>
    <row r="1" spans="1:7" s="312" customFormat="1" ht="50.1" customHeight="1" thickBot="1" x14ac:dyDescent="0.25">
      <c r="A1" s="810" t="s">
        <v>697</v>
      </c>
      <c r="B1" s="811"/>
      <c r="C1" s="811"/>
      <c r="D1" s="811"/>
      <c r="E1" s="811"/>
      <c r="F1" s="812"/>
      <c r="G1" s="347"/>
    </row>
    <row r="2" spans="1:7" s="312" customFormat="1" ht="36.75" customHeight="1" x14ac:dyDescent="0.2">
      <c r="A2" s="821" t="s">
        <v>955</v>
      </c>
      <c r="B2" s="822"/>
      <c r="C2" s="823" t="s">
        <v>867</v>
      </c>
      <c r="D2" s="823"/>
      <c r="E2" s="823"/>
      <c r="F2" s="824"/>
    </row>
    <row r="3" spans="1:7" s="312" customFormat="1" ht="15.75" customHeight="1" x14ac:dyDescent="0.2">
      <c r="A3" s="819" t="s">
        <v>80</v>
      </c>
      <c r="B3" s="817" t="s">
        <v>152</v>
      </c>
      <c r="C3" s="813">
        <v>2021</v>
      </c>
      <c r="D3" s="814"/>
      <c r="E3" s="815">
        <v>2022</v>
      </c>
      <c r="F3" s="816"/>
    </row>
    <row r="4" spans="1:7" s="312" customFormat="1" ht="69" customHeight="1" x14ac:dyDescent="0.2">
      <c r="A4" s="820"/>
      <c r="B4" s="818"/>
      <c r="C4" s="489" t="s">
        <v>481</v>
      </c>
      <c r="D4" s="489" t="s">
        <v>72</v>
      </c>
      <c r="E4" s="489" t="s">
        <v>481</v>
      </c>
      <c r="F4" s="490" t="s">
        <v>111</v>
      </c>
    </row>
    <row r="5" spans="1:7" s="312" customFormat="1" x14ac:dyDescent="0.2">
      <c r="A5" s="362"/>
      <c r="B5" s="363"/>
      <c r="C5" s="366" t="s">
        <v>118</v>
      </c>
      <c r="D5" s="366" t="s">
        <v>119</v>
      </c>
      <c r="E5" s="366" t="s">
        <v>120</v>
      </c>
      <c r="F5" s="311" t="s">
        <v>126</v>
      </c>
    </row>
    <row r="6" spans="1:7" ht="64.5" customHeight="1" x14ac:dyDescent="0.2">
      <c r="A6" s="19">
        <v>1</v>
      </c>
      <c r="B6" s="303" t="s">
        <v>868</v>
      </c>
      <c r="C6" s="81">
        <v>399550</v>
      </c>
      <c r="D6" s="82" t="s">
        <v>139</v>
      </c>
      <c r="E6" s="81">
        <v>378800</v>
      </c>
      <c r="F6" s="83" t="s">
        <v>139</v>
      </c>
    </row>
    <row r="7" spans="1:7" ht="38.25" customHeight="1" x14ac:dyDescent="0.2">
      <c r="A7" s="19">
        <f>A6+1</f>
        <v>2</v>
      </c>
      <c r="B7" s="303" t="s">
        <v>869</v>
      </c>
      <c r="C7" s="82" t="s">
        <v>139</v>
      </c>
      <c r="D7" s="495">
        <v>2111</v>
      </c>
      <c r="E7" s="82" t="s">
        <v>139</v>
      </c>
      <c r="F7" s="45">
        <v>1861</v>
      </c>
    </row>
    <row r="8" spans="1:7" ht="38.25" customHeight="1" x14ac:dyDescent="0.2">
      <c r="A8" s="19">
        <f>A7+1</f>
        <v>3</v>
      </c>
      <c r="B8" s="303" t="s">
        <v>870</v>
      </c>
      <c r="C8" s="82" t="s">
        <v>139</v>
      </c>
      <c r="D8" s="495">
        <v>287</v>
      </c>
      <c r="E8" s="82" t="s">
        <v>139</v>
      </c>
      <c r="F8" s="45">
        <v>271</v>
      </c>
    </row>
    <row r="9" spans="1:7" ht="35.25" customHeight="1" x14ac:dyDescent="0.2">
      <c r="A9" s="19">
        <f>A8+1</f>
        <v>4</v>
      </c>
      <c r="B9" s="364" t="s">
        <v>860</v>
      </c>
      <c r="C9" s="81">
        <v>395900.81</v>
      </c>
      <c r="D9" s="82" t="s">
        <v>139</v>
      </c>
      <c r="E9" s="84">
        <f>+C11</f>
        <v>201736.81000000006</v>
      </c>
      <c r="F9" s="83" t="s">
        <v>139</v>
      </c>
    </row>
    <row r="10" spans="1:7" ht="36" customHeight="1" x14ac:dyDescent="0.2">
      <c r="A10" s="19">
        <f>A9+1</f>
        <v>5</v>
      </c>
      <c r="B10" s="364" t="s">
        <v>871</v>
      </c>
      <c r="C10" s="81">
        <v>205386</v>
      </c>
      <c r="D10" s="82" t="s">
        <v>139</v>
      </c>
      <c r="E10" s="85">
        <v>532877</v>
      </c>
      <c r="F10" s="83" t="s">
        <v>139</v>
      </c>
    </row>
    <row r="11" spans="1:7" ht="33" customHeight="1" x14ac:dyDescent="0.2">
      <c r="A11" s="19">
        <v>6</v>
      </c>
      <c r="B11" s="364" t="s">
        <v>99</v>
      </c>
      <c r="C11" s="86">
        <f>+C9+C10-C6</f>
        <v>201736.81000000006</v>
      </c>
      <c r="D11" s="82" t="s">
        <v>139</v>
      </c>
      <c r="E11" s="84">
        <f>+E9+E10-E6</f>
        <v>355813.81000000006</v>
      </c>
      <c r="F11" s="83" t="s">
        <v>139</v>
      </c>
    </row>
    <row r="12" spans="1:7" ht="36" customHeight="1" thickBot="1" x14ac:dyDescent="0.25">
      <c r="A12" s="20">
        <v>7</v>
      </c>
      <c r="B12" s="365" t="s">
        <v>824</v>
      </c>
      <c r="C12" s="87">
        <f>IF(C6=0,0,C6/D7)</f>
        <v>189.27048792041685</v>
      </c>
      <c r="D12" s="88" t="s">
        <v>139</v>
      </c>
      <c r="E12" s="87">
        <f>IF(E6=0,0,E6/F7)</f>
        <v>203.54648038688876</v>
      </c>
      <c r="F12" s="89" t="s">
        <v>139</v>
      </c>
    </row>
    <row r="13" spans="1:7" x14ac:dyDescent="0.2">
      <c r="B13" s="15"/>
    </row>
    <row r="14" spans="1:7" s="312" customFormat="1" x14ac:dyDescent="0.2">
      <c r="A14" s="807" t="s">
        <v>872</v>
      </c>
      <c r="B14" s="808"/>
      <c r="C14" s="808"/>
      <c r="D14" s="808"/>
      <c r="E14" s="808"/>
      <c r="F14" s="809"/>
    </row>
    <row r="15" spans="1:7" s="312" customFormat="1" x14ac:dyDescent="0.2">
      <c r="A15" s="804" t="s">
        <v>873</v>
      </c>
      <c r="B15" s="805"/>
      <c r="C15" s="805"/>
      <c r="D15" s="805"/>
      <c r="E15" s="805"/>
      <c r="F15" s="806"/>
    </row>
  </sheetData>
  <mergeCells count="9">
    <mergeCell ref="A15:F15"/>
    <mergeCell ref="A14:F14"/>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7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2.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78802F3-CAF1-414B-986B-3ACC0176C017}">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29</vt:i4>
      </vt:variant>
      <vt:variant>
        <vt:lpstr>Pomenované rozsahy</vt:lpstr>
      </vt:variant>
      <vt:variant>
        <vt:i4>27</vt:i4>
      </vt:variant>
    </vt:vector>
  </HeadingPairs>
  <TitlesOfParts>
    <vt:vector size="56" baseType="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T8a-Teh_štipendiá</vt:lpstr>
      <vt:lpstr>T9_ŠD </vt:lpstr>
      <vt:lpstr>T10-ŠJ </vt:lpstr>
      <vt:lpstr>T11-Zdroje KV</vt:lpstr>
      <vt:lpstr>T12-KV</vt:lpstr>
      <vt:lpstr>T13-Fondy</vt:lpstr>
      <vt:lpstr>T14-Príjmy VVŠ z POO</vt:lpstr>
      <vt:lpstr>T15-Príjmy VVŠ z RP_11UA</vt:lpstr>
      <vt:lpstr>T16 - Štruktúra hotovosti </vt:lpstr>
      <vt:lpstr>T17-Dotácie zo ŠF EU-nová</vt:lpstr>
      <vt:lpstr>T18-Ostatné dotácie z kap MŠ SR</vt:lpstr>
      <vt:lpstr>T19-Štip_ z vlastných </vt:lpstr>
      <vt:lpstr>T20a-štipendiá z POO</vt:lpstr>
      <vt:lpstr>T20_motivačné štipendiá</vt:lpstr>
      <vt:lpstr>T20b-štipendiá z RP_11UA</vt:lpstr>
      <vt:lpstr>T21-štruktúra_384</vt:lpstr>
      <vt:lpstr>T22_Výnosy_soc_oblasť</vt:lpstr>
      <vt:lpstr>T23_Náklady_soc_oblasť</vt:lpstr>
      <vt:lpstr>T24_čerpanie rozvoj</vt:lpstr>
      <vt:lpstr>T24__Aktíva</vt:lpstr>
      <vt:lpstr>'T10-ŠJ '!Oblasť_tlače</vt:lpstr>
      <vt:lpstr>'T11-Zdroje KV'!Oblasť_tlače</vt:lpstr>
      <vt:lpstr>'T12-KV'!Oblasť_tlače</vt:lpstr>
      <vt:lpstr>'T13-Fondy'!Oblasť_tlače</vt:lpstr>
      <vt:lpstr>'T14-Príjmy VVŠ z POO'!Oblasť_tlače</vt:lpstr>
      <vt:lpstr>'T15-Príjmy VVŠ z RP_11UA'!Oblasť_tlače</vt:lpstr>
      <vt:lpstr>'T16 - Štruktúra hotovosti '!Oblasť_tlače</vt:lpstr>
      <vt:lpstr>'T17-Dotácie zo ŠF EU-nová'!Oblasť_tlače</vt:lpstr>
      <vt:lpstr>'T18-Ostatné dotácie z kap MŠ SR'!Oblasť_tlače</vt:lpstr>
      <vt:lpstr>'T19-Štip_ z vlastných '!Oblasť_tlače</vt:lpstr>
      <vt:lpstr>'T1-Dotácie podľa DZ'!Oblasť_tlače</vt:lpstr>
      <vt:lpstr>'T20_motivačné štipendiá'!Oblasť_tlače</vt:lpstr>
      <vt:lpstr>'T20a-štipendiá z POO'!Oblasť_tlače</vt:lpstr>
      <vt:lpstr>'T20b-štipendiá z RP_11UA'!Oblasť_tlače</vt:lpstr>
      <vt:lpstr>'T21-štruktúra_384'!Oblasť_tlače</vt:lpstr>
      <vt:lpstr>T22_Výnosy_soc_oblasť!Oblasť_tlače</vt:lpstr>
      <vt:lpstr>T23_Náklady_soc_oblasť!Oblasť_tlače</vt:lpstr>
      <vt:lpstr>'T2-Ostatné dot mimo MŠ SR'!Oblasť_tlače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'T8a-Teh_štipendiá'!Oblasť_tlače</vt:lpstr>
      <vt:lpstr>'T8-Soc_štipendiá'!Oblasť_tlače</vt:lpstr>
      <vt:lpstr>'T9_ŠD '!Oblasť_tlače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Silvia Šimonová</dc:creator>
  <cp:lastModifiedBy>PC</cp:lastModifiedBy>
  <cp:lastPrinted>2023-05-26T13:58:59Z</cp:lastPrinted>
  <dcterms:created xsi:type="dcterms:W3CDTF">2002-06-05T18:53:25Z</dcterms:created>
  <dcterms:modified xsi:type="dcterms:W3CDTF">2023-05-26T14:09:59Z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