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Zaloha Lucanska\Moje Dokumenty\Dokumenty\Správy o hosp.a cerp\2023\VSoH\"/>
    </mc:Choice>
  </mc:AlternateContent>
  <bookViews>
    <workbookView xWindow="0" yWindow="0" windowWidth="28800" windowHeight="11700" tabRatio="895" firstSheet="19" activeTab="27"/>
  </bookViews>
  <sheets>
    <sheet name="T1-Dotácie podľa DZ" sheetId="23" r:id="rId1"/>
    <sheet name="T2-Ostatné dot mimo MŠ SR" sheetId="3" r:id="rId2"/>
    <sheet name="T3-Výnosy" sheetId="161" r:id="rId3"/>
    <sheet name="T4-Výnosy zo školného" sheetId="154" r:id="rId4"/>
    <sheet name="T5 - Analýza nákladov" sheetId="162" r:id="rId5"/>
    <sheet name="T6-Zamestnanci_a_mzdy" sheetId="76" r:id="rId6"/>
    <sheet name="T6a-Zamestnanci_a_mzdy (ženy)" sheetId="155" r:id="rId7"/>
    <sheet name="T7_Doktorandi " sheetId="159" r:id="rId8"/>
    <sheet name="T8-Soc_štipendiá" sheetId="109" r:id="rId9"/>
    <sheet name="T8a-Teh_štipendiá" sheetId="164" r:id="rId10"/>
    <sheet name="T9_ŠD " sheetId="116" r:id="rId11"/>
    <sheet name="T10-ŠJ " sheetId="146" r:id="rId12"/>
    <sheet name="T11-Zdroje KV" sheetId="90" r:id="rId13"/>
    <sheet name="T12-KV" sheetId="91" r:id="rId14"/>
    <sheet name="T13-Fondy" sheetId="145" r:id="rId15"/>
    <sheet name="T14-Príjmy VVŠ z POO" sheetId="166" r:id="rId16"/>
    <sheet name="T15-Príjmy VVŠ z RP_11UA" sheetId="168" r:id="rId17"/>
    <sheet name="T16 - Štruktúra hotovosti" sheetId="173" r:id="rId18"/>
    <sheet name="T17-Dotácie zo ŠF EU-nová" sheetId="160" r:id="rId19"/>
    <sheet name="T18-Ostatné dotácie z kap MŠ SR" sheetId="61" r:id="rId20"/>
    <sheet name="T19-Štip_ z vlastných " sheetId="144" r:id="rId21"/>
    <sheet name="T20_motivačné štipendiá" sheetId="157" r:id="rId22"/>
    <sheet name="T20a-štipendiá z POO" sheetId="171" r:id="rId23"/>
    <sheet name="T20b-štipendiá z RP_11UA" sheetId="172" r:id="rId24"/>
    <sheet name="T21-štruktúra_384" sheetId="97" r:id="rId25"/>
    <sheet name="T22_Výnosy_soc_oblasť" sheetId="133" r:id="rId26"/>
    <sheet name="T23_Náklady_soc_oblasť" sheetId="134" r:id="rId27"/>
    <sheet name="T24_čerpanie rozvoj" sheetId="170" r:id="rId28"/>
    <sheet name="T24__Aktíva" sheetId="135" state="hidden" r:id="rId29"/>
  </sheets>
  <externalReferences>
    <externalReference r:id="rId30"/>
  </externalReferences>
  <definedNames>
    <definedName name="_kmp1" localSheetId="15">#REF!</definedName>
    <definedName name="_kmp1" localSheetId="17">#REF!</definedName>
    <definedName name="_kmp1" localSheetId="18">#REF!</definedName>
    <definedName name="_kmp1" localSheetId="2">#REF!</definedName>
    <definedName name="_kmp1" localSheetId="4">#REF!</definedName>
    <definedName name="_kmp1" localSheetId="7">#REF!</definedName>
    <definedName name="_kmp1" localSheetId="9">#REF!</definedName>
    <definedName name="_kmp1">#REF!</definedName>
    <definedName name="_kmp2" localSheetId="15">#REF!</definedName>
    <definedName name="_kmp2" localSheetId="17">#REF!</definedName>
    <definedName name="_kmp2" localSheetId="18">#REF!</definedName>
    <definedName name="_kmp2" localSheetId="4">#REF!</definedName>
    <definedName name="_kmp2" localSheetId="7">#REF!</definedName>
    <definedName name="_kmp2" localSheetId="9">#REF!</definedName>
    <definedName name="_kmp2">#REF!</definedName>
    <definedName name="_kmt1" localSheetId="15">#REF!</definedName>
    <definedName name="_kmt1" localSheetId="17">#REF!</definedName>
    <definedName name="_kmt1" localSheetId="18">#REF!</definedName>
    <definedName name="_kmt1" localSheetId="4">#REF!</definedName>
    <definedName name="_kmt1" localSheetId="7">#REF!</definedName>
    <definedName name="_kmt1" localSheetId="9">#REF!</definedName>
    <definedName name="_kmt1">#REF!</definedName>
    <definedName name="_T1" localSheetId="15">#REF!</definedName>
    <definedName name="_T1" localSheetId="17">#REF!</definedName>
    <definedName name="_T1" localSheetId="18">#REF!</definedName>
    <definedName name="_T1" localSheetId="4">#REF!</definedName>
    <definedName name="_T1" localSheetId="7">#REF!</definedName>
    <definedName name="_T1" localSheetId="9">#REF!</definedName>
    <definedName name="_T1">#REF!</definedName>
    <definedName name="_wd1" localSheetId="15">[1]vahy!$B$1</definedName>
    <definedName name="_wd1" localSheetId="21">[1]vahy!$B$1</definedName>
    <definedName name="_wd1">[1]vahy!$B$1</definedName>
    <definedName name="_wd3" localSheetId="15">[1]vahy!$B$3</definedName>
    <definedName name="_wd3" localSheetId="21">[1]vahy!$B$3</definedName>
    <definedName name="_wd3">[1]vahy!$B$3</definedName>
    <definedName name="_we1" localSheetId="15">[1]vahy!$B$2</definedName>
    <definedName name="_we1" localSheetId="21">[1]vahy!$B$2</definedName>
    <definedName name="_we1">[1]vahy!$B$2</definedName>
    <definedName name="_we3" localSheetId="15">[1]vahy!$B$4</definedName>
    <definedName name="_we3" localSheetId="21">[1]vahy!$B$4</definedName>
    <definedName name="_we3">[1]vahy!$B$4</definedName>
    <definedName name="aaa" hidden="1">3</definedName>
    <definedName name="denní" localSheetId="15">#REF!</definedName>
    <definedName name="denní" localSheetId="17">#REF!</definedName>
    <definedName name="denní" localSheetId="18">#REF!</definedName>
    <definedName name="denní" localSheetId="2">#REF!</definedName>
    <definedName name="denní" localSheetId="4">#REF!</definedName>
    <definedName name="denní" localSheetId="7">#REF!</definedName>
    <definedName name="denní" localSheetId="9">#REF!</definedName>
    <definedName name="denní">#REF!</definedName>
    <definedName name="dokpo" localSheetId="15">#REF!</definedName>
    <definedName name="dokpo" localSheetId="17">#REF!</definedName>
    <definedName name="dokpo" localSheetId="18">#REF!</definedName>
    <definedName name="dokpo" localSheetId="4">#REF!</definedName>
    <definedName name="dokpo" localSheetId="7">#REF!</definedName>
    <definedName name="dokpo" localSheetId="9">#REF!</definedName>
    <definedName name="dokpo">#REF!</definedName>
    <definedName name="dokpred" localSheetId="15">#REF!</definedName>
    <definedName name="dokpred" localSheetId="17">#REF!</definedName>
    <definedName name="dokpred" localSheetId="18">#REF!</definedName>
    <definedName name="dokpred" localSheetId="4">#REF!</definedName>
    <definedName name="dokpred" localSheetId="7">#REF!</definedName>
    <definedName name="dokpred" localSheetId="9">#REF!</definedName>
    <definedName name="dokpred">#REF!</definedName>
    <definedName name="druhý" localSheetId="15">#REF!</definedName>
    <definedName name="druhý" localSheetId="17">#REF!</definedName>
    <definedName name="druhý" localSheetId="18">#REF!</definedName>
    <definedName name="druhý" localSheetId="4">#REF!</definedName>
    <definedName name="druhý" localSheetId="7">#REF!</definedName>
    <definedName name="druhý" localSheetId="9">#REF!</definedName>
    <definedName name="druhý">#REF!</definedName>
    <definedName name="exterdruhý" localSheetId="15">#REF!</definedName>
    <definedName name="exterdruhý" localSheetId="17">#REF!</definedName>
    <definedName name="exterdruhý" localSheetId="18">#REF!</definedName>
    <definedName name="exterdruhý" localSheetId="4">#REF!</definedName>
    <definedName name="exterdruhý" localSheetId="7">#REF!</definedName>
    <definedName name="exterdruhý" localSheetId="9">#REF!</definedName>
    <definedName name="exterdruhý">#REF!</definedName>
    <definedName name="externeplat" localSheetId="15">#REF!</definedName>
    <definedName name="externeplat" localSheetId="17">#REF!</definedName>
    <definedName name="externeplat" localSheetId="18">#REF!</definedName>
    <definedName name="externeplat" localSheetId="4">#REF!</definedName>
    <definedName name="externeplat" localSheetId="7">#REF!</definedName>
    <definedName name="externeplat" localSheetId="9">#REF!</definedName>
    <definedName name="externeplat">#REF!</definedName>
    <definedName name="exterplat" localSheetId="15">#REF!</definedName>
    <definedName name="exterplat" localSheetId="17">#REF!</definedName>
    <definedName name="exterplat" localSheetId="18">#REF!</definedName>
    <definedName name="exterplat" localSheetId="4">#REF!</definedName>
    <definedName name="exterplat" localSheetId="7">#REF!</definedName>
    <definedName name="exterplat" localSheetId="9">#REF!</definedName>
    <definedName name="exterplat">#REF!</definedName>
    <definedName name="KKS_doc" localSheetId="15">#REF!</definedName>
    <definedName name="KKS_doc" localSheetId="17">#REF!</definedName>
    <definedName name="KKS_doc" localSheetId="18">#REF!</definedName>
    <definedName name="KKS_doc" localSheetId="4">#REF!</definedName>
    <definedName name="KKS_doc" localSheetId="7">#REF!</definedName>
    <definedName name="KKS_doc" localSheetId="9">#REF!</definedName>
    <definedName name="KKS_doc">#REF!</definedName>
    <definedName name="KKS_ost" localSheetId="15">#REF!</definedName>
    <definedName name="KKS_ost" localSheetId="17">#REF!</definedName>
    <definedName name="KKS_ost" localSheetId="18">#REF!</definedName>
    <definedName name="KKS_ost" localSheetId="4">#REF!</definedName>
    <definedName name="KKS_ost" localSheetId="7">#REF!</definedName>
    <definedName name="KKS_ost" localSheetId="9">#REF!</definedName>
    <definedName name="KKS_ost">#REF!</definedName>
    <definedName name="KKS_phd" localSheetId="15">#REF!</definedName>
    <definedName name="KKS_phd" localSheetId="17">#REF!</definedName>
    <definedName name="KKS_phd" localSheetId="18">#REF!</definedName>
    <definedName name="KKS_phd" localSheetId="4">#REF!</definedName>
    <definedName name="KKS_phd" localSheetId="7">#REF!</definedName>
    <definedName name="KKS_phd" localSheetId="9">#REF!</definedName>
    <definedName name="KKS_phd">#REF!</definedName>
    <definedName name="KKS_prof" localSheetId="15">#REF!</definedName>
    <definedName name="KKS_prof" localSheetId="17">#REF!</definedName>
    <definedName name="KKS_prof" localSheetId="18">#REF!</definedName>
    <definedName name="KKS_prof" localSheetId="4">#REF!</definedName>
    <definedName name="KKS_prof" localSheetId="7">#REF!</definedName>
    <definedName name="KKS_prof" localSheetId="9">#REF!</definedName>
    <definedName name="KKS_prof">#REF!</definedName>
    <definedName name="koef_gm_mzdy" localSheetId="15">#REF!</definedName>
    <definedName name="koef_gm_mzdy" localSheetId="17">#REF!</definedName>
    <definedName name="koef_gm_mzdy" localSheetId="18">#REF!</definedName>
    <definedName name="koef_gm_mzdy" localSheetId="4">#REF!</definedName>
    <definedName name="koef_gm_mzdy" localSheetId="7">#REF!</definedName>
    <definedName name="koef_gm_mzdy" localSheetId="9">#REF!</definedName>
    <definedName name="koef_gm_mzdy">#REF!</definedName>
    <definedName name="koef_kpn" localSheetId="15">#REF!</definedName>
    <definedName name="koef_kpn" localSheetId="17">#REF!</definedName>
    <definedName name="koef_kpn" localSheetId="18">#REF!</definedName>
    <definedName name="koef_kpn" localSheetId="4">#REF!</definedName>
    <definedName name="koef_kpn" localSheetId="7">#REF!</definedName>
    <definedName name="koef_kpn" localSheetId="9">#REF!</definedName>
    <definedName name="koef_kpn">#REF!</definedName>
    <definedName name="koef_prer_nad_gm_mzdy" localSheetId="15">#REF!</definedName>
    <definedName name="koef_prer_nad_gm_mzdy" localSheetId="17">#REF!</definedName>
    <definedName name="koef_prer_nad_gm_mzdy" localSheetId="18">#REF!</definedName>
    <definedName name="koef_prer_nad_gm_mzdy" localSheetId="4">#REF!</definedName>
    <definedName name="koef_prer_nad_gm_mzdy" localSheetId="7">#REF!</definedName>
    <definedName name="koef_prer_nad_gm_mzdy" localSheetId="9">#REF!</definedName>
    <definedName name="koef_prer_nad_gm_mzdy">#REF!</definedName>
    <definedName name="koef_PV" localSheetId="15">#REF!</definedName>
    <definedName name="koef_PV" localSheetId="17">#REF!</definedName>
    <definedName name="koef_PV" localSheetId="18">#REF!</definedName>
    <definedName name="koef_PV" localSheetId="4">#REF!</definedName>
    <definedName name="koef_PV" localSheetId="7">#REF!</definedName>
    <definedName name="koef_PV" localSheetId="9">#REF!</definedName>
    <definedName name="koef_PV">#REF!</definedName>
    <definedName name="koef_udr_kat1" localSheetId="15">#REF!</definedName>
    <definedName name="koef_udr_kat1" localSheetId="17">#REF!</definedName>
    <definedName name="koef_udr_kat1" localSheetId="18">#REF!</definedName>
    <definedName name="koef_udr_kat1" localSheetId="4">#REF!</definedName>
    <definedName name="koef_udr_kat1" localSheetId="6">#REF!</definedName>
    <definedName name="koef_udr_kat1" localSheetId="7">#REF!</definedName>
    <definedName name="koef_udr_kat1" localSheetId="9">#REF!</definedName>
    <definedName name="koef_udr_kat1">#REF!</definedName>
    <definedName name="koef_udr_kat2" localSheetId="15">#REF!</definedName>
    <definedName name="koef_udr_kat2" localSheetId="17">#REF!</definedName>
    <definedName name="koef_udr_kat2" localSheetId="18">#REF!</definedName>
    <definedName name="koef_udr_kat2" localSheetId="4">#REF!</definedName>
    <definedName name="koef_udr_kat2" localSheetId="6">#REF!</definedName>
    <definedName name="koef_udr_kat2" localSheetId="7">#REF!</definedName>
    <definedName name="koef_udr_kat2" localSheetId="9">#REF!</definedName>
    <definedName name="koef_udr_kat2">#REF!</definedName>
    <definedName name="koef_udr_kat3" localSheetId="15">#REF!</definedName>
    <definedName name="koef_udr_kat3" localSheetId="17">#REF!</definedName>
    <definedName name="koef_udr_kat3" localSheetId="18">#REF!</definedName>
    <definedName name="koef_udr_kat3" localSheetId="4">#REF!</definedName>
    <definedName name="koef_udr_kat3" localSheetId="6">#REF!</definedName>
    <definedName name="koef_udr_kat3" localSheetId="7">#REF!</definedName>
    <definedName name="koef_udr_kat3" localSheetId="9">#REF!</definedName>
    <definedName name="koef_udr_kat3">#REF!</definedName>
    <definedName name="koef_VV" localSheetId="15">#REF!</definedName>
    <definedName name="koef_VV" localSheetId="17">#REF!</definedName>
    <definedName name="koef_VV" localSheetId="18">#REF!</definedName>
    <definedName name="koef_VV" localSheetId="4">#REF!</definedName>
    <definedName name="koef_VV" localSheetId="7">#REF!</definedName>
    <definedName name="koef_VV" localSheetId="9">#REF!</definedName>
    <definedName name="koef_VV">#REF!</definedName>
    <definedName name="kpn_ca_do" localSheetId="15">#REF!</definedName>
    <definedName name="kpn_ca_do" localSheetId="17">#REF!</definedName>
    <definedName name="kpn_ca_do" localSheetId="18">#REF!</definedName>
    <definedName name="kpn_ca_do" localSheetId="4">#REF!</definedName>
    <definedName name="kpn_ca_do" localSheetId="7">#REF!</definedName>
    <definedName name="kpn_ca_do" localSheetId="9">#REF!</definedName>
    <definedName name="kpn_ca_do">#REF!</definedName>
    <definedName name="kpn_ca_nad" localSheetId="15">#REF!</definedName>
    <definedName name="kpn_ca_nad" localSheetId="17">#REF!</definedName>
    <definedName name="kpn_ca_nad" localSheetId="18">#REF!</definedName>
    <definedName name="kpn_ca_nad" localSheetId="4">#REF!</definedName>
    <definedName name="kpn_ca_nad" localSheetId="7">#REF!</definedName>
    <definedName name="kpn_ca_nad" localSheetId="9">#REF!</definedName>
    <definedName name="kpn_ca_nad">#REF!</definedName>
    <definedName name="kzk" localSheetId="15">#REF!</definedName>
    <definedName name="kzk" localSheetId="17">#REF!</definedName>
    <definedName name="kzk" localSheetId="18">#REF!</definedName>
    <definedName name="kzk" localSheetId="4">#REF!</definedName>
    <definedName name="kzk" localSheetId="7">#REF!</definedName>
    <definedName name="kzk" localSheetId="9">#REF!</definedName>
    <definedName name="kzk">#REF!</definedName>
    <definedName name="kzspp" localSheetId="15">#REF!</definedName>
    <definedName name="kzspp" localSheetId="17">#REF!</definedName>
    <definedName name="kzspp" localSheetId="18">#REF!</definedName>
    <definedName name="kzspp" localSheetId="4">#REF!</definedName>
    <definedName name="kzspp" localSheetId="7">#REF!</definedName>
    <definedName name="kzspp" localSheetId="9">#REF!</definedName>
    <definedName name="kzspp">#REF!</definedName>
    <definedName name="nefinanc">1</definedName>
    <definedName name="_xlnm.Print_Area" localSheetId="11">'T10-ŠJ '!$A$1:$D$28</definedName>
    <definedName name="_xlnm.Print_Area" localSheetId="12">'T11-Zdroje KV'!$A$1:$D$23</definedName>
    <definedName name="_xlnm.Print_Area" localSheetId="13">'T12-KV'!$A$1:$I$23</definedName>
    <definedName name="_xlnm.Print_Area" localSheetId="14">'T13-Fondy'!$A$1:$N$22</definedName>
    <definedName name="_xlnm.Print_Area" localSheetId="15">'T14-Príjmy VVŠ z POO'!$A$1:$E$24</definedName>
    <definedName name="_xlnm.Print_Area" localSheetId="16">'T15-Príjmy VVŠ z RP_11UA'!$A$1:$E$7</definedName>
    <definedName name="_xlnm.Print_Area" localSheetId="17">'T16 - Štruktúra hotovosti'!$A$1:$D$25</definedName>
    <definedName name="_xlnm.Print_Area" localSheetId="18">'T17-Dotácie zo ŠF EU-nová'!$A$1:$H$35</definedName>
    <definedName name="_xlnm.Print_Area" localSheetId="19">'T18-Ostatné dotácie z kap MŠ SR'!$A$1:$E$18</definedName>
    <definedName name="_xlnm.Print_Area" localSheetId="20">'T19-Štip_ z vlastných '!$A$1:$F$29</definedName>
    <definedName name="_xlnm.Print_Area" localSheetId="0">'T1-Dotácie podľa DZ'!$A$1:$E$20</definedName>
    <definedName name="_xlnm.Print_Area" localSheetId="21">'T20_motivačné štipendiá'!$A$1:$F$14</definedName>
    <definedName name="_xlnm.Print_Area" localSheetId="22">'T20a-štipendiá z POO'!$A$1:$J$19</definedName>
    <definedName name="_xlnm.Print_Area" localSheetId="23">'T20b-štipendiá z RP_11UA'!$A$1:$F$18</definedName>
    <definedName name="_xlnm.Print_Area" localSheetId="24">'T21-štruktúra_384'!$A$1:$M$6</definedName>
    <definedName name="_xlnm.Print_Area" localSheetId="25">T22_Výnosy_soc_oblasť!$A$1:$F$44</definedName>
    <definedName name="_xlnm.Print_Area" localSheetId="26">T23_Náklady_soc_oblasť!$A$1:$F$42</definedName>
    <definedName name="_xlnm.Print_Area" localSheetId="27">'T24_čerpanie rozvoj'!$A$1:$K$15</definedName>
    <definedName name="_xlnm.Print_Area" localSheetId="1">'T2-Ostatné dot mimo MŠ SR'!$A$1:$E$47</definedName>
    <definedName name="_xlnm.Print_Area" localSheetId="2">'T3-Výnosy'!$A$1:$H$82</definedName>
    <definedName name="_xlnm.Print_Area" localSheetId="3">'T4-Výnosy zo školného'!$A$1:$D$29</definedName>
    <definedName name="_xlnm.Print_Area" localSheetId="4">'T5 - Analýza nákladov'!$A$1:$H$107</definedName>
    <definedName name="_xlnm.Print_Area" localSheetId="6">'T6a-Zamestnanci_a_mzdy (ženy)'!$A$1:$O$37</definedName>
    <definedName name="_xlnm.Print_Area" localSheetId="5">'T6-Zamestnanci_a_mzdy'!$A$1:$N$37</definedName>
    <definedName name="_xlnm.Print_Area" localSheetId="7">'T7_Doktorandi '!$A$1:$E$9</definedName>
    <definedName name="_xlnm.Print_Area" localSheetId="9">'T8a-Teh_štipendiá'!$A$1:$F$14</definedName>
    <definedName name="_xlnm.Print_Area" localSheetId="8">'T8-Soc_štipendiá'!$A$1:$F$15</definedName>
    <definedName name="_xlnm.Print_Area" localSheetId="10">'T9_ŠD '!$A$1:$F$21</definedName>
    <definedName name="pocet_jedal" localSheetId="15">#REF!</definedName>
    <definedName name="pocet_jedal" localSheetId="17">#REF!</definedName>
    <definedName name="pocet_jedal" localSheetId="18">#REF!</definedName>
    <definedName name="pocet_jedal" localSheetId="4">#REF!</definedName>
    <definedName name="pocet_jedal" localSheetId="6">#REF!</definedName>
    <definedName name="pocet_jedal" localSheetId="7">#REF!</definedName>
    <definedName name="pocet_jedal" localSheetId="9">#REF!</definedName>
    <definedName name="pocet_jedal">#REF!</definedName>
    <definedName name="podiel" localSheetId="15">#REF!</definedName>
    <definedName name="podiel" localSheetId="17">#REF!</definedName>
    <definedName name="podiel" localSheetId="18">#REF!</definedName>
    <definedName name="podiel" localSheetId="4">#REF!</definedName>
    <definedName name="podiel" localSheetId="7">#REF!</definedName>
    <definedName name="podiel" localSheetId="9">#REF!</definedName>
    <definedName name="podiel">#REF!</definedName>
    <definedName name="poistné" localSheetId="15">#REF!</definedName>
    <definedName name="poistné" localSheetId="17">#REF!</definedName>
    <definedName name="poistné" localSheetId="18">#REF!</definedName>
    <definedName name="poistné" localSheetId="4">#REF!</definedName>
    <definedName name="poistné" localSheetId="7">#REF!</definedName>
    <definedName name="poistné" localSheetId="9">#REF!</definedName>
    <definedName name="poistné">#REF!</definedName>
    <definedName name="Pp_DrŠ_exist" localSheetId="15">#REF!</definedName>
    <definedName name="Pp_DrŠ_exist" localSheetId="17">#REF!</definedName>
    <definedName name="Pp_DrŠ_exist" localSheetId="18">#REF!</definedName>
    <definedName name="Pp_DrŠ_exist" localSheetId="4">#REF!</definedName>
    <definedName name="Pp_DrŠ_exist" localSheetId="6">#REF!</definedName>
    <definedName name="Pp_DrŠ_exist" localSheetId="7">#REF!</definedName>
    <definedName name="Pp_DrŠ_exist" localSheetId="9">#REF!</definedName>
    <definedName name="Pp_DrŠ_exist">#REF!</definedName>
    <definedName name="Pp_DrŠ_noví" localSheetId="15">#REF!</definedName>
    <definedName name="Pp_DrŠ_noví" localSheetId="17">#REF!</definedName>
    <definedName name="Pp_DrŠ_noví" localSheetId="18">#REF!</definedName>
    <definedName name="Pp_DrŠ_noví" localSheetId="4">#REF!</definedName>
    <definedName name="Pp_DrŠ_noví" localSheetId="6">#REF!</definedName>
    <definedName name="Pp_DrŠ_noví" localSheetId="7">#REF!</definedName>
    <definedName name="Pp_DrŠ_noví" localSheetId="9">#REF!</definedName>
    <definedName name="Pp_DrŠ_noví">#REF!</definedName>
    <definedName name="Pp_DrŠ_spolu" localSheetId="15">#REF!</definedName>
    <definedName name="Pp_DrŠ_spolu" localSheetId="17">#REF!</definedName>
    <definedName name="Pp_DrŠ_spolu" localSheetId="18">#REF!</definedName>
    <definedName name="Pp_DrŠ_spolu" localSheetId="4">#REF!</definedName>
    <definedName name="Pp_DrŠ_spolu" localSheetId="6">#REF!</definedName>
    <definedName name="Pp_DrŠ_spolu" localSheetId="7">#REF!</definedName>
    <definedName name="Pp_DrŠ_spolu" localSheetId="9">#REF!</definedName>
    <definedName name="Pp_DrŠ_spolu">#REF!</definedName>
    <definedName name="Pp_klinické_TaS" localSheetId="15">#REF!</definedName>
    <definedName name="Pp_klinické_TaS" localSheetId="17">#REF!</definedName>
    <definedName name="Pp_klinické_TaS" localSheetId="18">#REF!</definedName>
    <definedName name="Pp_klinické_TaS" localSheetId="4">#REF!</definedName>
    <definedName name="Pp_klinické_TaS" localSheetId="6">#REF!</definedName>
    <definedName name="Pp_klinické_TaS" localSheetId="7">#REF!</definedName>
    <definedName name="Pp_klinické_TaS" localSheetId="9">#REF!</definedName>
    <definedName name="Pp_klinické_TaS">#REF!</definedName>
    <definedName name="Pp_klinické_TaS_rozpísaný" localSheetId="15">#REF!</definedName>
    <definedName name="Pp_klinické_TaS_rozpísaný" localSheetId="17">#REF!</definedName>
    <definedName name="Pp_klinické_TaS_rozpísaný" localSheetId="18">#REF!</definedName>
    <definedName name="Pp_klinické_TaS_rozpísaný" localSheetId="4">#REF!</definedName>
    <definedName name="Pp_klinické_TaS_rozpísaný" localSheetId="6">#REF!</definedName>
    <definedName name="Pp_klinické_TaS_rozpísaný" localSheetId="7">#REF!</definedName>
    <definedName name="Pp_klinické_TaS_rozpísaný" localSheetId="9">#REF!</definedName>
    <definedName name="Pp_klinické_TaS_rozpísaný">#REF!</definedName>
    <definedName name="Pp_Rozvoj_BD" localSheetId="15">#REF!</definedName>
    <definedName name="Pp_Rozvoj_BD" localSheetId="17">#REF!</definedName>
    <definedName name="Pp_Rozvoj_BD" localSheetId="18">#REF!</definedName>
    <definedName name="Pp_Rozvoj_BD" localSheetId="4">#REF!</definedName>
    <definedName name="Pp_Rozvoj_BD" localSheetId="7">#REF!</definedName>
    <definedName name="Pp_Rozvoj_BD" localSheetId="9">#REF!</definedName>
    <definedName name="Pp_Rozvoj_BD">#REF!</definedName>
    <definedName name="Pp_Soc_BD" localSheetId="15">#REF!</definedName>
    <definedName name="Pp_Soc_BD" localSheetId="17">#REF!</definedName>
    <definedName name="Pp_Soc_BD" localSheetId="18">#REF!</definedName>
    <definedName name="Pp_Soc_BD" localSheetId="4">#REF!</definedName>
    <definedName name="Pp_Soc_BD" localSheetId="7">#REF!</definedName>
    <definedName name="Pp_Soc_BD" localSheetId="9">#REF!</definedName>
    <definedName name="Pp_Soc_BD">#REF!</definedName>
    <definedName name="Pp_VaT_BD" localSheetId="15">#REF!</definedName>
    <definedName name="Pp_VaT_BD" localSheetId="17">#REF!</definedName>
    <definedName name="Pp_VaT_BD" localSheetId="18">#REF!</definedName>
    <definedName name="Pp_VaT_BD" localSheetId="4">#REF!</definedName>
    <definedName name="Pp_VaT_BD" localSheetId="7">#REF!</definedName>
    <definedName name="Pp_VaT_BD" localSheetId="9">#REF!</definedName>
    <definedName name="Pp_VaT_BD">#REF!</definedName>
    <definedName name="Pp_VaT_mzdy" localSheetId="15">#REF!</definedName>
    <definedName name="Pp_VaT_mzdy" localSheetId="17">#REF!</definedName>
    <definedName name="Pp_VaT_mzdy" localSheetId="18">#REF!</definedName>
    <definedName name="Pp_VaT_mzdy" localSheetId="4">#REF!</definedName>
    <definedName name="Pp_VaT_mzdy" localSheetId="7">#REF!</definedName>
    <definedName name="Pp_VaT_mzdy" localSheetId="9">#REF!</definedName>
    <definedName name="Pp_VaT_mzdy">#REF!</definedName>
    <definedName name="Pp_VaT_mzdy_rezerva" localSheetId="15">#REF!</definedName>
    <definedName name="Pp_VaT_mzdy_rezerva" localSheetId="17">#REF!</definedName>
    <definedName name="Pp_VaT_mzdy_rezerva" localSheetId="18">#REF!</definedName>
    <definedName name="Pp_VaT_mzdy_rezerva" localSheetId="4">#REF!</definedName>
    <definedName name="Pp_VaT_mzdy_rezerva" localSheetId="7">#REF!</definedName>
    <definedName name="Pp_VaT_mzdy_rezerva" localSheetId="9">#REF!</definedName>
    <definedName name="Pp_VaT_mzdy_rezerva">#REF!</definedName>
    <definedName name="Pp_VaT_mzdy_zac_roka" localSheetId="15">#REF!</definedName>
    <definedName name="Pp_VaT_mzdy_zac_roka" localSheetId="17">#REF!</definedName>
    <definedName name="Pp_VaT_mzdy_zac_roka" localSheetId="18">#REF!</definedName>
    <definedName name="Pp_VaT_mzdy_zac_roka" localSheetId="4">#REF!</definedName>
    <definedName name="Pp_VaT_mzdy_zac_roka" localSheetId="7">#REF!</definedName>
    <definedName name="Pp_VaT_mzdy_zac_roka" localSheetId="9">#REF!</definedName>
    <definedName name="Pp_VaT_mzdy_zac_roka">#REF!</definedName>
    <definedName name="Pp_Vzdel_BD" localSheetId="15">#REF!</definedName>
    <definedName name="Pp_Vzdel_BD" localSheetId="17">#REF!</definedName>
    <definedName name="Pp_Vzdel_BD" localSheetId="18">#REF!</definedName>
    <definedName name="Pp_Vzdel_BD" localSheetId="4">#REF!</definedName>
    <definedName name="Pp_Vzdel_BD" localSheetId="7">#REF!</definedName>
    <definedName name="Pp_Vzdel_BD" localSheetId="9">#REF!</definedName>
    <definedName name="Pp_Vzdel_BD">#REF!</definedName>
    <definedName name="Pp_Vzdel_mzdy" localSheetId="15">#REF!</definedName>
    <definedName name="Pp_Vzdel_mzdy" localSheetId="17">#REF!</definedName>
    <definedName name="Pp_Vzdel_mzdy" localSheetId="18">#REF!</definedName>
    <definedName name="Pp_Vzdel_mzdy" localSheetId="4">#REF!</definedName>
    <definedName name="Pp_Vzdel_mzdy" localSheetId="7">#REF!</definedName>
    <definedName name="Pp_Vzdel_mzdy" localSheetId="9">#REF!</definedName>
    <definedName name="Pp_Vzdel_mzdy">#REF!</definedName>
    <definedName name="Pp_Vzdel_mzdy_kontr" localSheetId="15">#REF!</definedName>
    <definedName name="Pp_Vzdel_mzdy_kontr" localSheetId="17">#REF!</definedName>
    <definedName name="Pp_Vzdel_mzdy_kontr" localSheetId="18">#REF!</definedName>
    <definedName name="Pp_Vzdel_mzdy_kontr" localSheetId="4">#REF!</definedName>
    <definedName name="Pp_Vzdel_mzdy_kontr" localSheetId="7">#REF!</definedName>
    <definedName name="Pp_Vzdel_mzdy_kontr" localSheetId="9">#REF!</definedName>
    <definedName name="Pp_Vzdel_mzdy_kontr">#REF!</definedName>
    <definedName name="Pp_Vzdel_mzdy_na_prer_modif" localSheetId="15">#REF!</definedName>
    <definedName name="Pp_Vzdel_mzdy_na_prer_modif" localSheetId="17">#REF!</definedName>
    <definedName name="Pp_Vzdel_mzdy_na_prer_modif" localSheetId="18">#REF!</definedName>
    <definedName name="Pp_Vzdel_mzdy_na_prer_modif" localSheetId="4">#REF!</definedName>
    <definedName name="Pp_Vzdel_mzdy_na_prer_modif" localSheetId="6">#REF!</definedName>
    <definedName name="Pp_Vzdel_mzdy_na_prer_modif" localSheetId="7">#REF!</definedName>
    <definedName name="Pp_Vzdel_mzdy_na_prer_modif" localSheetId="9">#REF!</definedName>
    <definedName name="Pp_Vzdel_mzdy_na_prer_modif">#REF!</definedName>
    <definedName name="Pp_Vzdel_mzdy_na_prer_nemodif" localSheetId="15">#REF!</definedName>
    <definedName name="Pp_Vzdel_mzdy_na_prer_nemodif" localSheetId="17">#REF!</definedName>
    <definedName name="Pp_Vzdel_mzdy_na_prer_nemodif" localSheetId="18">#REF!</definedName>
    <definedName name="Pp_Vzdel_mzdy_na_prer_nemodif" localSheetId="4">#REF!</definedName>
    <definedName name="Pp_Vzdel_mzdy_na_prer_nemodif" localSheetId="6">#REF!</definedName>
    <definedName name="Pp_Vzdel_mzdy_na_prer_nemodif" localSheetId="7">#REF!</definedName>
    <definedName name="Pp_Vzdel_mzdy_na_prer_nemodif" localSheetId="9">#REF!</definedName>
    <definedName name="Pp_Vzdel_mzdy_na_prer_nemodif">#REF!</definedName>
    <definedName name="Pp_Vzdel_mzdy_prevádz" localSheetId="15">#REF!</definedName>
    <definedName name="Pp_Vzdel_mzdy_prevádz" localSheetId="17">#REF!</definedName>
    <definedName name="Pp_Vzdel_mzdy_prevádz" localSheetId="18">#REF!</definedName>
    <definedName name="Pp_Vzdel_mzdy_prevádz" localSheetId="4">#REF!</definedName>
    <definedName name="Pp_Vzdel_mzdy_prevádz" localSheetId="7">#REF!</definedName>
    <definedName name="Pp_Vzdel_mzdy_prevádz" localSheetId="9">#REF!</definedName>
    <definedName name="Pp_Vzdel_mzdy_prevádz">#REF!</definedName>
    <definedName name="Pp_Vzdel_mzdy_rezerva" localSheetId="15">#REF!</definedName>
    <definedName name="Pp_Vzdel_mzdy_rezerva" localSheetId="17">#REF!</definedName>
    <definedName name="Pp_Vzdel_mzdy_rezerva" localSheetId="18">#REF!</definedName>
    <definedName name="Pp_Vzdel_mzdy_rezerva" localSheetId="4">#REF!</definedName>
    <definedName name="Pp_Vzdel_mzdy_rezerva" localSheetId="7">#REF!</definedName>
    <definedName name="Pp_Vzdel_mzdy_rezerva" localSheetId="9">#REF!</definedName>
    <definedName name="Pp_Vzdel_mzdy_rezerva">#REF!</definedName>
    <definedName name="Pp_Vzdel_mzdy_spec" localSheetId="15">#REF!</definedName>
    <definedName name="Pp_Vzdel_mzdy_spec" localSheetId="17">#REF!</definedName>
    <definedName name="Pp_Vzdel_mzdy_spec" localSheetId="18">#REF!</definedName>
    <definedName name="Pp_Vzdel_mzdy_spec" localSheetId="4">#REF!</definedName>
    <definedName name="Pp_Vzdel_mzdy_spec" localSheetId="7">#REF!</definedName>
    <definedName name="Pp_Vzdel_mzdy_spec" localSheetId="9">#REF!</definedName>
    <definedName name="Pp_Vzdel_mzdy_spec">#REF!</definedName>
    <definedName name="Pp_Vzdel_mzdy_výkon" localSheetId="15">#REF!</definedName>
    <definedName name="Pp_Vzdel_mzdy_výkon" localSheetId="17">#REF!</definedName>
    <definedName name="Pp_Vzdel_mzdy_výkon" localSheetId="18">#REF!</definedName>
    <definedName name="Pp_Vzdel_mzdy_výkon" localSheetId="4">#REF!</definedName>
    <definedName name="Pp_Vzdel_mzdy_výkon" localSheetId="7">#REF!</definedName>
    <definedName name="Pp_Vzdel_mzdy_výkon" localSheetId="9">#REF!</definedName>
    <definedName name="Pp_Vzdel_mzdy_výkon">#REF!</definedName>
    <definedName name="Pp_Vzdel_mzdy_výkon_PV" localSheetId="15">#REF!</definedName>
    <definedName name="Pp_Vzdel_mzdy_výkon_PV" localSheetId="17">#REF!</definedName>
    <definedName name="Pp_Vzdel_mzdy_výkon_PV" localSheetId="18">#REF!</definedName>
    <definedName name="Pp_Vzdel_mzdy_výkon_PV" localSheetId="4">#REF!</definedName>
    <definedName name="Pp_Vzdel_mzdy_výkon_PV" localSheetId="7">#REF!</definedName>
    <definedName name="Pp_Vzdel_mzdy_výkon_PV" localSheetId="9">#REF!</definedName>
    <definedName name="Pp_Vzdel_mzdy_výkon_PV">#REF!</definedName>
    <definedName name="Pp_Vzdel_mzdy_výkon_PV_bez" localSheetId="15">#REF!</definedName>
    <definedName name="Pp_Vzdel_mzdy_výkon_PV_bez" localSheetId="17">#REF!</definedName>
    <definedName name="Pp_Vzdel_mzdy_výkon_PV_bez" localSheetId="18">#REF!</definedName>
    <definedName name="Pp_Vzdel_mzdy_výkon_PV_bez" localSheetId="4">#REF!</definedName>
    <definedName name="Pp_Vzdel_mzdy_výkon_PV_bez" localSheetId="7">#REF!</definedName>
    <definedName name="Pp_Vzdel_mzdy_výkon_PV_bez" localSheetId="9">#REF!</definedName>
    <definedName name="Pp_Vzdel_mzdy_výkon_PV_bez">#REF!</definedName>
    <definedName name="Pp_Vzdel_mzdy_výkon_PV_um" localSheetId="15">#REF!</definedName>
    <definedName name="Pp_Vzdel_mzdy_výkon_PV_um" localSheetId="17">#REF!</definedName>
    <definedName name="Pp_Vzdel_mzdy_výkon_PV_um" localSheetId="18">#REF!</definedName>
    <definedName name="Pp_Vzdel_mzdy_výkon_PV_um" localSheetId="4">#REF!</definedName>
    <definedName name="Pp_Vzdel_mzdy_výkon_PV_um" localSheetId="7">#REF!</definedName>
    <definedName name="Pp_Vzdel_mzdy_výkon_PV_um" localSheetId="9">#REF!</definedName>
    <definedName name="Pp_Vzdel_mzdy_výkon_PV_um">#REF!</definedName>
    <definedName name="Pp_Vzdel_mzdy_výkon_VV" localSheetId="15">#REF!</definedName>
    <definedName name="Pp_Vzdel_mzdy_výkon_VV" localSheetId="17">#REF!</definedName>
    <definedName name="Pp_Vzdel_mzdy_výkon_VV" localSheetId="18">#REF!</definedName>
    <definedName name="Pp_Vzdel_mzdy_výkon_VV" localSheetId="4">#REF!</definedName>
    <definedName name="Pp_Vzdel_mzdy_výkon_VV" localSheetId="7">#REF!</definedName>
    <definedName name="Pp_Vzdel_mzdy_výkon_VV" localSheetId="9">#REF!</definedName>
    <definedName name="Pp_Vzdel_mzdy_výkon_VV">#REF!</definedName>
    <definedName name="Pp_Vzdel_mzdy_výkon_VV_bez" localSheetId="15">#REF!</definedName>
    <definedName name="Pp_Vzdel_mzdy_výkon_VV_bez" localSheetId="17">#REF!</definedName>
    <definedName name="Pp_Vzdel_mzdy_výkon_VV_bez" localSheetId="18">#REF!</definedName>
    <definedName name="Pp_Vzdel_mzdy_výkon_VV_bez" localSheetId="4">#REF!</definedName>
    <definedName name="Pp_Vzdel_mzdy_výkon_VV_bez" localSheetId="7">#REF!</definedName>
    <definedName name="Pp_Vzdel_mzdy_výkon_VV_bez" localSheetId="9">#REF!</definedName>
    <definedName name="Pp_Vzdel_mzdy_výkon_VV_bez">#REF!</definedName>
    <definedName name="Pp_Vzdel_mzdy_výkon_VV_um" localSheetId="15">#REF!</definedName>
    <definedName name="Pp_Vzdel_mzdy_výkon_VV_um" localSheetId="17">#REF!</definedName>
    <definedName name="Pp_Vzdel_mzdy_výkon_VV_um" localSheetId="18">#REF!</definedName>
    <definedName name="Pp_Vzdel_mzdy_výkon_VV_um" localSheetId="4">#REF!</definedName>
    <definedName name="Pp_Vzdel_mzdy_výkon_VV_um" localSheetId="7">#REF!</definedName>
    <definedName name="Pp_Vzdel_mzdy_výkon_VV_um" localSheetId="9">#REF!</definedName>
    <definedName name="Pp_Vzdel_mzdy_výkon_VV_um">#REF!</definedName>
    <definedName name="Pp_Vzdel_spec_prax" localSheetId="15">#REF!</definedName>
    <definedName name="Pp_Vzdel_spec_prax" localSheetId="17">#REF!</definedName>
    <definedName name="Pp_Vzdel_spec_prax" localSheetId="18">#REF!</definedName>
    <definedName name="Pp_Vzdel_spec_prax" localSheetId="4">#REF!</definedName>
    <definedName name="Pp_Vzdel_spec_prax" localSheetId="6">#REF!</definedName>
    <definedName name="Pp_Vzdel_spec_prax" localSheetId="7">#REF!</definedName>
    <definedName name="Pp_Vzdel_spec_prax" localSheetId="9">#REF!</definedName>
    <definedName name="Pp_Vzdel_spec_prax">#REF!</definedName>
    <definedName name="Pp_Vzdel_TaS" localSheetId="15">#REF!</definedName>
    <definedName name="Pp_Vzdel_TaS" localSheetId="17">#REF!</definedName>
    <definedName name="Pp_Vzdel_TaS" localSheetId="18">#REF!</definedName>
    <definedName name="Pp_Vzdel_TaS" localSheetId="4">#REF!</definedName>
    <definedName name="Pp_Vzdel_TaS" localSheetId="7">#REF!</definedName>
    <definedName name="Pp_Vzdel_TaS" localSheetId="9">#REF!</definedName>
    <definedName name="Pp_Vzdel_TaS">#REF!</definedName>
    <definedName name="Pp_Vzdel_TaS_rezerva" localSheetId="15">#REF!</definedName>
    <definedName name="Pp_Vzdel_TaS_rezerva" localSheetId="17">#REF!</definedName>
    <definedName name="Pp_Vzdel_TaS_rezerva" localSheetId="18">#REF!</definedName>
    <definedName name="Pp_Vzdel_TaS_rezerva" localSheetId="4">#REF!</definedName>
    <definedName name="Pp_Vzdel_TaS_rezerva" localSheetId="7">#REF!</definedName>
    <definedName name="Pp_Vzdel_TaS_rezerva" localSheetId="9">#REF!</definedName>
    <definedName name="Pp_Vzdel_TaS_rezerva">#REF!</definedName>
    <definedName name="Pp_Vzdel_TaS_spec" localSheetId="15">#REF!</definedName>
    <definedName name="Pp_Vzdel_TaS_spec" localSheetId="17">#REF!</definedName>
    <definedName name="Pp_Vzdel_TaS_spec" localSheetId="18">#REF!</definedName>
    <definedName name="Pp_Vzdel_TaS_spec" localSheetId="4">#REF!</definedName>
    <definedName name="Pp_Vzdel_TaS_spec" localSheetId="6">#REF!</definedName>
    <definedName name="Pp_Vzdel_TaS_spec" localSheetId="7">#REF!</definedName>
    <definedName name="Pp_Vzdel_TaS_spec" localSheetId="9">#REF!</definedName>
    <definedName name="Pp_Vzdel_TaS_spec">#REF!</definedName>
    <definedName name="Pp_Vzdel_TaS_stav" localSheetId="15">#REF!</definedName>
    <definedName name="Pp_Vzdel_TaS_stav" localSheetId="17">#REF!</definedName>
    <definedName name="Pp_Vzdel_TaS_stav" localSheetId="18">#REF!</definedName>
    <definedName name="Pp_Vzdel_TaS_stav" localSheetId="4">#REF!</definedName>
    <definedName name="Pp_Vzdel_TaS_stav" localSheetId="7">#REF!</definedName>
    <definedName name="Pp_Vzdel_TaS_stav" localSheetId="9">#REF!</definedName>
    <definedName name="Pp_Vzdel_TaS_stav">#REF!</definedName>
    <definedName name="Pp_Vzdel_TaS_výkon" localSheetId="15">#REF!</definedName>
    <definedName name="Pp_Vzdel_TaS_výkon" localSheetId="17">#REF!</definedName>
    <definedName name="Pp_Vzdel_TaS_výkon" localSheetId="18">#REF!</definedName>
    <definedName name="Pp_Vzdel_TaS_výkon" localSheetId="4">#REF!</definedName>
    <definedName name="Pp_Vzdel_TaS_výkon" localSheetId="6">#REF!</definedName>
    <definedName name="Pp_Vzdel_TaS_výkon" localSheetId="7">#REF!</definedName>
    <definedName name="Pp_Vzdel_TaS_výkon" localSheetId="9">#REF!</definedName>
    <definedName name="Pp_Vzdel_TaS_výkon">#REF!</definedName>
    <definedName name="Pp_Vzdel_TaS_výkon_PPŠ" localSheetId="15">#REF!</definedName>
    <definedName name="Pp_Vzdel_TaS_výkon_PPŠ" localSheetId="17">#REF!</definedName>
    <definedName name="Pp_Vzdel_TaS_výkon_PPŠ" localSheetId="18">#REF!</definedName>
    <definedName name="Pp_Vzdel_TaS_výkon_PPŠ" localSheetId="4">#REF!</definedName>
    <definedName name="Pp_Vzdel_TaS_výkon_PPŠ" localSheetId="6">#REF!</definedName>
    <definedName name="Pp_Vzdel_TaS_výkon_PPŠ" localSheetId="7">#REF!</definedName>
    <definedName name="Pp_Vzdel_TaS_výkon_PPŠ" localSheetId="9">#REF!</definedName>
    <definedName name="Pp_Vzdel_TaS_výkon_PPŠ">#REF!</definedName>
    <definedName name="Pp_Vzdel_TaS_výkon_PPŠ_a_zákl" localSheetId="15">#REF!</definedName>
    <definedName name="Pp_Vzdel_TaS_výkon_PPŠ_a_zákl" localSheetId="17">#REF!</definedName>
    <definedName name="Pp_Vzdel_TaS_výkon_PPŠ_a_zákl" localSheetId="18">#REF!</definedName>
    <definedName name="Pp_Vzdel_TaS_výkon_PPŠ_a_zákl" localSheetId="4">#REF!</definedName>
    <definedName name="Pp_Vzdel_TaS_výkon_PPŠ_a_zákl" localSheetId="6">#REF!</definedName>
    <definedName name="Pp_Vzdel_TaS_výkon_PPŠ_a_zákl" localSheetId="7">#REF!</definedName>
    <definedName name="Pp_Vzdel_TaS_výkon_PPŠ_a_zákl" localSheetId="9">#REF!</definedName>
    <definedName name="Pp_Vzdel_TaS_výkon_PPŠ_a_zákl">#REF!</definedName>
    <definedName name="Pp_Vzdel_TaS_výkon_PPŠ_KEN" localSheetId="15">#REF!</definedName>
    <definedName name="Pp_Vzdel_TaS_výkon_PPŠ_KEN" localSheetId="17">#REF!</definedName>
    <definedName name="Pp_Vzdel_TaS_výkon_PPŠ_KEN" localSheetId="18">#REF!</definedName>
    <definedName name="Pp_Vzdel_TaS_výkon_PPŠ_KEN" localSheetId="4">#REF!</definedName>
    <definedName name="Pp_Vzdel_TaS_výkon_PPŠ_KEN" localSheetId="6">#REF!</definedName>
    <definedName name="Pp_Vzdel_TaS_výkon_PPŠ_KEN" localSheetId="7">#REF!</definedName>
    <definedName name="Pp_Vzdel_TaS_výkon_PPŠ_KEN" localSheetId="9">#REF!</definedName>
    <definedName name="Pp_Vzdel_TaS_výkon_PPŠ_KEN">#REF!</definedName>
    <definedName name="Pp_Vzdel_TaS_zahr_granty" localSheetId="15">#REF!</definedName>
    <definedName name="Pp_Vzdel_TaS_zahr_granty" localSheetId="17">#REF!</definedName>
    <definedName name="Pp_Vzdel_TaS_zahr_granty" localSheetId="18">#REF!</definedName>
    <definedName name="Pp_Vzdel_TaS_zahr_granty" localSheetId="4">#REF!</definedName>
    <definedName name="Pp_Vzdel_TaS_zahr_granty" localSheetId="7">#REF!</definedName>
    <definedName name="Pp_Vzdel_TaS_zahr_granty" localSheetId="9">#REF!</definedName>
    <definedName name="Pp_Vzdel_TaS_zahr_granty">#REF!</definedName>
    <definedName name="Pp_Vzdel_TaS_zákl" localSheetId="15">#REF!</definedName>
    <definedName name="Pp_Vzdel_TaS_zákl" localSheetId="17">#REF!</definedName>
    <definedName name="Pp_Vzdel_TaS_zákl" localSheetId="18">#REF!</definedName>
    <definedName name="Pp_Vzdel_TaS_zákl" localSheetId="4">#REF!</definedName>
    <definedName name="Pp_Vzdel_TaS_zákl" localSheetId="6">#REF!</definedName>
    <definedName name="Pp_Vzdel_TaS_zákl" localSheetId="7">#REF!</definedName>
    <definedName name="Pp_Vzdel_TaS_zákl" localSheetId="9">#REF!</definedName>
    <definedName name="Pp_Vzdel_TaS_zákl">#REF!</definedName>
    <definedName name="Pr_AV_BD" localSheetId="15">#REF!</definedName>
    <definedName name="Pr_AV_BD" localSheetId="17">#REF!</definedName>
    <definedName name="Pr_AV_BD" localSheetId="18">#REF!</definedName>
    <definedName name="Pr_AV_BD" localSheetId="4">#REF!</definedName>
    <definedName name="Pr_AV_BD" localSheetId="7">#REF!</definedName>
    <definedName name="Pr_AV_BD" localSheetId="9">#REF!</definedName>
    <definedName name="Pr_AV_BD">#REF!</definedName>
    <definedName name="Pr_IV_BD" localSheetId="15">#REF!</definedName>
    <definedName name="Pr_IV_BD" localSheetId="17">#REF!</definedName>
    <definedName name="Pr_IV_BD" localSheetId="18">#REF!</definedName>
    <definedName name="Pr_IV_BD" localSheetId="4">#REF!</definedName>
    <definedName name="Pr_IV_BD" localSheetId="7">#REF!</definedName>
    <definedName name="Pr_IV_BD" localSheetId="9">#REF!</definedName>
    <definedName name="Pr_IV_BD">#REF!</definedName>
    <definedName name="Pr_IV_KV" localSheetId="15">#REF!</definedName>
    <definedName name="Pr_IV_KV" localSheetId="17">#REF!</definedName>
    <definedName name="Pr_IV_KV" localSheetId="18">#REF!</definedName>
    <definedName name="Pr_IV_KV" localSheetId="4">#REF!</definedName>
    <definedName name="Pr_IV_KV" localSheetId="7">#REF!</definedName>
    <definedName name="Pr_IV_KV" localSheetId="9">#REF!</definedName>
    <definedName name="Pr_IV_KV">#REF!</definedName>
    <definedName name="Pr_IV_KV_rezerva" localSheetId="15">#REF!</definedName>
    <definedName name="Pr_IV_KV_rezerva" localSheetId="17">#REF!</definedName>
    <definedName name="Pr_IV_KV_rezerva" localSheetId="18">#REF!</definedName>
    <definedName name="Pr_IV_KV_rezerva" localSheetId="4">#REF!</definedName>
    <definedName name="Pr_IV_KV_rezerva" localSheetId="7">#REF!</definedName>
    <definedName name="Pr_IV_KV_rezerva" localSheetId="9">#REF!</definedName>
    <definedName name="Pr_IV_KV_rezerva">#REF!</definedName>
    <definedName name="Pr_KEGA_BD" localSheetId="15">#REF!</definedName>
    <definedName name="Pr_KEGA_BD" localSheetId="17">#REF!</definedName>
    <definedName name="Pr_KEGA_BD" localSheetId="18">#REF!</definedName>
    <definedName name="Pr_KEGA_BD" localSheetId="4">#REF!</definedName>
    <definedName name="Pr_KEGA_BD" localSheetId="7">#REF!</definedName>
    <definedName name="Pr_KEGA_BD" localSheetId="9">#REF!</definedName>
    <definedName name="Pr_KEGA_BD">#REF!</definedName>
    <definedName name="Pr_klinické" localSheetId="15">#REF!</definedName>
    <definedName name="Pr_klinické" localSheetId="17">#REF!</definedName>
    <definedName name="Pr_klinické" localSheetId="18">#REF!</definedName>
    <definedName name="Pr_klinické" localSheetId="4">#REF!</definedName>
    <definedName name="Pr_klinické" localSheetId="7">#REF!</definedName>
    <definedName name="Pr_klinické" localSheetId="9">#REF!</definedName>
    <definedName name="Pr_klinické">#REF!</definedName>
    <definedName name="Pr_KŠ" localSheetId="15">#REF!</definedName>
    <definedName name="Pr_KŠ" localSheetId="17">#REF!</definedName>
    <definedName name="Pr_KŠ" localSheetId="18">#REF!</definedName>
    <definedName name="Pr_KŠ" localSheetId="4">#REF!</definedName>
    <definedName name="Pr_KŠ" localSheetId="6">#REF!</definedName>
    <definedName name="Pr_KŠ" localSheetId="7">#REF!</definedName>
    <definedName name="Pr_KŠ" localSheetId="9">#REF!</definedName>
    <definedName name="Pr_KŠ">#REF!</definedName>
    <definedName name="Pr_motštip_BD" localSheetId="15">#REF!</definedName>
    <definedName name="Pr_motštip_BD" localSheetId="17">#REF!</definedName>
    <definedName name="Pr_motštip_BD" localSheetId="18">#REF!</definedName>
    <definedName name="Pr_motštip_BD" localSheetId="4">#REF!</definedName>
    <definedName name="Pr_motštip_BD" localSheetId="7">#REF!</definedName>
    <definedName name="Pr_motštip_BD" localSheetId="9">#REF!</definedName>
    <definedName name="Pr_motštip_BD">#REF!</definedName>
    <definedName name="Pr_MVTS_BD" localSheetId="15">#REF!</definedName>
    <definedName name="Pr_MVTS_BD" localSheetId="17">#REF!</definedName>
    <definedName name="Pr_MVTS_BD" localSheetId="18">#REF!</definedName>
    <definedName name="Pr_MVTS_BD" localSheetId="4">#REF!</definedName>
    <definedName name="Pr_MVTS_BD" localSheetId="7">#REF!</definedName>
    <definedName name="Pr_MVTS_BD" localSheetId="9">#REF!</definedName>
    <definedName name="Pr_MVTS_BD">#REF!</definedName>
    <definedName name="Pr_socštip_BD" localSheetId="15">#REF!</definedName>
    <definedName name="Pr_socštip_BD" localSheetId="17">#REF!</definedName>
    <definedName name="Pr_socštip_BD" localSheetId="18">#REF!</definedName>
    <definedName name="Pr_socštip_BD" localSheetId="4">#REF!</definedName>
    <definedName name="Pr_socštip_BD" localSheetId="7">#REF!</definedName>
    <definedName name="Pr_socštip_BD" localSheetId="9">#REF!</definedName>
    <definedName name="Pr_socštip_BD">#REF!</definedName>
    <definedName name="Pr_ŠD" localSheetId="15">#REF!</definedName>
    <definedName name="Pr_ŠD" localSheetId="17">#REF!</definedName>
    <definedName name="Pr_ŠD" localSheetId="18">#REF!</definedName>
    <definedName name="Pr_ŠD" localSheetId="4">#REF!</definedName>
    <definedName name="Pr_ŠD" localSheetId="6">#REF!</definedName>
    <definedName name="Pr_ŠD" localSheetId="7">#REF!</definedName>
    <definedName name="Pr_ŠD" localSheetId="9">#REF!</definedName>
    <definedName name="Pr_ŠD">#REF!</definedName>
    <definedName name="Pr_ŠDaJKŠPC_BD" localSheetId="15">#REF!</definedName>
    <definedName name="Pr_ŠDaJKŠPC_BD" localSheetId="17">#REF!</definedName>
    <definedName name="Pr_ŠDaJKŠPC_BD" localSheetId="18">#REF!</definedName>
    <definedName name="Pr_ŠDaJKŠPC_BD" localSheetId="4">#REF!</definedName>
    <definedName name="Pr_ŠDaJKŠPC_BD" localSheetId="7">#REF!</definedName>
    <definedName name="Pr_ŠDaJKŠPC_BD" localSheetId="9">#REF!</definedName>
    <definedName name="Pr_ŠDaJKŠPC_BD">#REF!</definedName>
    <definedName name="Pr_VaT_KV_zac_roka" localSheetId="15">#REF!</definedName>
    <definedName name="Pr_VaT_KV_zac_roka" localSheetId="17">#REF!</definedName>
    <definedName name="Pr_VaT_KV_zac_roka" localSheetId="18">#REF!</definedName>
    <definedName name="Pr_VaT_KV_zac_roka" localSheetId="4">#REF!</definedName>
    <definedName name="Pr_VaT_KV_zac_roka" localSheetId="7">#REF!</definedName>
    <definedName name="Pr_VaT_KV_zac_roka" localSheetId="9">#REF!</definedName>
    <definedName name="Pr_VaT_KV_zac_roka">#REF!</definedName>
    <definedName name="Pr_VaT_TaS" localSheetId="15">#REF!</definedName>
    <definedName name="Pr_VaT_TaS" localSheetId="17">#REF!</definedName>
    <definedName name="Pr_VaT_TaS" localSheetId="18">#REF!</definedName>
    <definedName name="Pr_VaT_TaS" localSheetId="4">#REF!</definedName>
    <definedName name="Pr_VaT_TaS" localSheetId="7">#REF!</definedName>
    <definedName name="Pr_VaT_TaS" localSheetId="9">#REF!</definedName>
    <definedName name="Pr_VaT_TaS">#REF!</definedName>
    <definedName name="Pr_VaT_TaS_rezerva" localSheetId="15">#REF!</definedName>
    <definedName name="Pr_VaT_TaS_rezerva" localSheetId="17">#REF!</definedName>
    <definedName name="Pr_VaT_TaS_rezerva" localSheetId="18">#REF!</definedName>
    <definedName name="Pr_VaT_TaS_rezerva" localSheetId="4">#REF!</definedName>
    <definedName name="Pr_VaT_TaS_rezerva" localSheetId="7">#REF!</definedName>
    <definedName name="Pr_VaT_TaS_rezerva" localSheetId="9">#REF!</definedName>
    <definedName name="Pr_VaT_TaS_rezerva">#REF!</definedName>
    <definedName name="Pr_VaT_TaS_zac_roka" localSheetId="15">#REF!</definedName>
    <definedName name="Pr_VaT_TaS_zac_roka" localSheetId="17">#REF!</definedName>
    <definedName name="Pr_VaT_TaS_zac_roka" localSheetId="18">#REF!</definedName>
    <definedName name="Pr_VaT_TaS_zac_roka" localSheetId="4">#REF!</definedName>
    <definedName name="Pr_VaT_TaS_zac_roka" localSheetId="7">#REF!</definedName>
    <definedName name="Pr_VaT_TaS_zac_roka" localSheetId="9">#REF!</definedName>
    <definedName name="Pr_VaT_TaS_zac_roka">#REF!</definedName>
    <definedName name="Pr_VEGA_BD" localSheetId="15">#REF!</definedName>
    <definedName name="Pr_VEGA_BD" localSheetId="17">#REF!</definedName>
    <definedName name="Pr_VEGA_BD" localSheetId="18">#REF!</definedName>
    <definedName name="Pr_VEGA_BD" localSheetId="4">#REF!</definedName>
    <definedName name="Pr_VEGA_BD" localSheetId="7">#REF!</definedName>
    <definedName name="Pr_VEGA_BD" localSheetId="9">#REF!</definedName>
    <definedName name="Pr_VEGA_BD">#REF!</definedName>
    <definedName name="predmety" localSheetId="15">#REF!</definedName>
    <definedName name="predmety" localSheetId="17">#REF!</definedName>
    <definedName name="predmety" localSheetId="18">#REF!</definedName>
    <definedName name="predmety" localSheetId="4">#REF!</definedName>
    <definedName name="predmety" localSheetId="7">#REF!</definedName>
    <definedName name="predmety" localSheetId="9">#REF!</definedName>
    <definedName name="predmety">#REF!</definedName>
    <definedName name="prisp_na_1_jedlo" localSheetId="15">#REF!</definedName>
    <definedName name="prisp_na_1_jedlo" localSheetId="17">#REF!</definedName>
    <definedName name="prisp_na_1_jedlo" localSheetId="18">#REF!</definedName>
    <definedName name="prisp_na_1_jedlo" localSheetId="4">#REF!</definedName>
    <definedName name="prisp_na_1_jedlo" localSheetId="6">#REF!</definedName>
    <definedName name="prisp_na_1_jedlo" localSheetId="7">#REF!</definedName>
    <definedName name="prisp_na_1_jedlo" localSheetId="9">#REF!</definedName>
    <definedName name="prisp_na_1_jedlo">#REF!</definedName>
    <definedName name="prisp_na_ubyt_stud_SD" localSheetId="15">#REF!</definedName>
    <definedName name="prisp_na_ubyt_stud_SD" localSheetId="17">#REF!</definedName>
    <definedName name="prisp_na_ubyt_stud_SD" localSheetId="18">#REF!</definedName>
    <definedName name="prisp_na_ubyt_stud_SD" localSheetId="4">#REF!</definedName>
    <definedName name="prisp_na_ubyt_stud_SD" localSheetId="6">#REF!</definedName>
    <definedName name="prisp_na_ubyt_stud_SD" localSheetId="7">#REF!</definedName>
    <definedName name="prisp_na_ubyt_stud_SD" localSheetId="9">#REF!</definedName>
    <definedName name="prisp_na_ubyt_stud_SD">#REF!</definedName>
    <definedName name="prisp_na_ubyt_stud_ZZ" localSheetId="15">#REF!</definedName>
    <definedName name="prisp_na_ubyt_stud_ZZ" localSheetId="17">#REF!</definedName>
    <definedName name="prisp_na_ubyt_stud_ZZ" localSheetId="18">#REF!</definedName>
    <definedName name="prisp_na_ubyt_stud_ZZ" localSheetId="4">#REF!</definedName>
    <definedName name="prisp_na_ubyt_stud_ZZ" localSheetId="6">#REF!</definedName>
    <definedName name="prisp_na_ubyt_stud_ZZ" localSheetId="7">#REF!</definedName>
    <definedName name="prisp_na_ubyt_stud_ZZ" localSheetId="9">#REF!</definedName>
    <definedName name="prisp_na_ubyt_stud_ZZ">#REF!</definedName>
    <definedName name="prísp_zákl_prev" localSheetId="15">#REF!</definedName>
    <definedName name="prísp_zákl_prev" localSheetId="17">#REF!</definedName>
    <definedName name="prísp_zákl_prev" localSheetId="18">#REF!</definedName>
    <definedName name="prísp_zákl_prev" localSheetId="4">#REF!</definedName>
    <definedName name="prísp_zákl_prev" localSheetId="7">#REF!</definedName>
    <definedName name="prísp_zákl_prev" localSheetId="9">#REF!</definedName>
    <definedName name="prísp_zákl_prev">#REF!</definedName>
    <definedName name="R_vvs" localSheetId="15">#REF!</definedName>
    <definedName name="R_vvs" localSheetId="17">#REF!</definedName>
    <definedName name="R_vvs" localSheetId="18">#REF!</definedName>
    <definedName name="R_vvs" localSheetId="4">#REF!</definedName>
    <definedName name="R_vvs" localSheetId="7">#REF!</definedName>
    <definedName name="R_vvs" localSheetId="9">#REF!</definedName>
    <definedName name="R_vvs">#REF!</definedName>
    <definedName name="R_vvs_BD" localSheetId="15">#REF!</definedName>
    <definedName name="R_vvs_BD" localSheetId="17">#REF!</definedName>
    <definedName name="R_vvs_BD" localSheetId="18">#REF!</definedName>
    <definedName name="R_vvs_BD" localSheetId="4">#REF!</definedName>
    <definedName name="R_vvs_BD" localSheetId="7">#REF!</definedName>
    <definedName name="R_vvs_BD" localSheetId="9">#REF!</definedName>
    <definedName name="R_vvs_BD">#REF!</definedName>
    <definedName name="R_vvs_VaT_BD" localSheetId="15">#REF!</definedName>
    <definedName name="R_vvs_VaT_BD" localSheetId="17">#REF!</definedName>
    <definedName name="R_vvs_VaT_BD" localSheetId="18">#REF!</definedName>
    <definedName name="R_vvs_VaT_BD" localSheetId="4">#REF!</definedName>
    <definedName name="R_vvs_VaT_BD" localSheetId="7">#REF!</definedName>
    <definedName name="R_vvs_VaT_BD" localSheetId="9">#REF!</definedName>
    <definedName name="R_vvs_VaT_BD">#REF!</definedName>
    <definedName name="Sanet" localSheetId="15">#REF!</definedName>
    <definedName name="Sanet" localSheetId="17">#REF!</definedName>
    <definedName name="Sanet" localSheetId="18">#REF!</definedName>
    <definedName name="Sanet" localSheetId="4">#REF!</definedName>
    <definedName name="Sanet" localSheetId="7">#REF!</definedName>
    <definedName name="Sanet" localSheetId="9">#REF!</definedName>
    <definedName name="Sanet">#REF!</definedName>
    <definedName name="SAPBEXrevision" hidden="1">7</definedName>
    <definedName name="SAPBEXsysID" hidden="1">"BS1"</definedName>
    <definedName name="SAPBEXwbID" hidden="1">"3TG3S316PX9BHXMQEBSXSYZZO"</definedName>
    <definedName name="stavba_ucelova" localSheetId="15">#REF!</definedName>
    <definedName name="stavba_ucelova" localSheetId="17">#REF!</definedName>
    <definedName name="stavba_ucelova" localSheetId="18">#REF!</definedName>
    <definedName name="stavba_ucelova" localSheetId="2">#REF!</definedName>
    <definedName name="stavba_ucelova" localSheetId="4">#REF!</definedName>
    <definedName name="stavba_ucelova" localSheetId="7">#REF!</definedName>
    <definedName name="stavba_ucelova" localSheetId="9">#REF!</definedName>
    <definedName name="stavba_ucelova">#REF!</definedName>
    <definedName name="studenti_vstup" localSheetId="15">#REF!</definedName>
    <definedName name="studenti_vstup" localSheetId="17">#REF!</definedName>
    <definedName name="studenti_vstup" localSheetId="18">#REF!</definedName>
    <definedName name="studenti_vstup" localSheetId="4">#REF!</definedName>
    <definedName name="studenti_vstup" localSheetId="7">#REF!</definedName>
    <definedName name="studenti_vstup" localSheetId="9">#REF!</definedName>
    <definedName name="studenti_vstup">#REF!</definedName>
    <definedName name="sustava" localSheetId="15">#REF!</definedName>
    <definedName name="sustava" localSheetId="17">#REF!</definedName>
    <definedName name="sustava" localSheetId="18">#REF!</definedName>
    <definedName name="sustava" localSheetId="4">#REF!</definedName>
    <definedName name="sustava" localSheetId="7">#REF!</definedName>
    <definedName name="sustava" localSheetId="9">#REF!</definedName>
    <definedName name="sustava">#REF!</definedName>
    <definedName name="T_1" localSheetId="15">#REF!</definedName>
    <definedName name="T_1" localSheetId="17">#REF!</definedName>
    <definedName name="T_1" localSheetId="18">#REF!</definedName>
    <definedName name="T_1" localSheetId="4">#REF!</definedName>
    <definedName name="T_1" localSheetId="7">#REF!</definedName>
    <definedName name="T_1" localSheetId="9">#REF!</definedName>
    <definedName name="T_1">#REF!</definedName>
    <definedName name="T_25_so_štip_2007" localSheetId="15">#REF!</definedName>
    <definedName name="T_25_so_štip_2007" localSheetId="17">#REF!</definedName>
    <definedName name="T_25_so_štip_2007" localSheetId="18">#REF!</definedName>
    <definedName name="T_25_so_štip_2007" localSheetId="4">#REF!</definedName>
    <definedName name="T_25_so_štip_2007" localSheetId="7">#REF!</definedName>
    <definedName name="T_25_so_štip_2007" localSheetId="9">#REF!</definedName>
    <definedName name="T_25_so_štip_2007">#REF!</definedName>
    <definedName name="T_M" localSheetId="15">#REF!</definedName>
    <definedName name="T_M" localSheetId="17">#REF!</definedName>
    <definedName name="T_M" localSheetId="18">#REF!</definedName>
    <definedName name="T_M" localSheetId="4">#REF!</definedName>
    <definedName name="T_M" localSheetId="7">#REF!</definedName>
    <definedName name="T_M" localSheetId="9">#REF!</definedName>
    <definedName name="T_M">#REF!</definedName>
    <definedName name="váha_absDrš" localSheetId="15">#REF!</definedName>
    <definedName name="váha_absDrš" localSheetId="17">#REF!</definedName>
    <definedName name="váha_absDrš" localSheetId="18">#REF!</definedName>
    <definedName name="váha_absDrš" localSheetId="4">#REF!</definedName>
    <definedName name="váha_absDrš" localSheetId="7">#REF!</definedName>
    <definedName name="váha_absDrš" localSheetId="9">#REF!</definedName>
    <definedName name="váha_absDrš">#REF!</definedName>
    <definedName name="váha_DG" localSheetId="15">#REF!</definedName>
    <definedName name="váha_DG" localSheetId="17">#REF!</definedName>
    <definedName name="váha_DG" localSheetId="18">#REF!</definedName>
    <definedName name="váha_DG" localSheetId="4">#REF!</definedName>
    <definedName name="váha_DG" localSheetId="7">#REF!</definedName>
    <definedName name="váha_DG" localSheetId="9">#REF!</definedName>
    <definedName name="váha_DG">#REF!</definedName>
    <definedName name="váha_poDs" localSheetId="15">#REF!</definedName>
    <definedName name="váha_poDs" localSheetId="17">#REF!</definedName>
    <definedName name="váha_poDs" localSheetId="18">#REF!</definedName>
    <definedName name="váha_poDs" localSheetId="4">#REF!</definedName>
    <definedName name="váha_poDs" localSheetId="7">#REF!</definedName>
    <definedName name="váha_poDs" localSheetId="9">#REF!</definedName>
    <definedName name="váha_poDs">#REF!</definedName>
    <definedName name="váha_Pub" localSheetId="15">#REF!</definedName>
    <definedName name="váha_Pub" localSheetId="17">#REF!</definedName>
    <definedName name="váha_Pub" localSheetId="18">#REF!</definedName>
    <definedName name="váha_Pub" localSheetId="4">#REF!</definedName>
    <definedName name="váha_Pub" localSheetId="7">#REF!</definedName>
    <definedName name="váha_Pub" localSheetId="9">#REF!</definedName>
    <definedName name="váha_Pub">#REF!</definedName>
    <definedName name="váha_ZG" localSheetId="15">#REF!</definedName>
    <definedName name="váha_ZG" localSheetId="17">#REF!</definedName>
    <definedName name="váha_ZG" localSheetId="18">#REF!</definedName>
    <definedName name="váha_ZG" localSheetId="4">#REF!</definedName>
    <definedName name="váha_ZG" localSheetId="7">#REF!</definedName>
    <definedName name="váha_ZG" localSheetId="9">#REF!</definedName>
    <definedName name="váha_ZG">#REF!</definedName>
    <definedName name="výkon_um" localSheetId="15">#REF!</definedName>
    <definedName name="výkon_um" localSheetId="17">#REF!</definedName>
    <definedName name="výkon_um" localSheetId="18">#REF!</definedName>
    <definedName name="výkon_um" localSheetId="4">#REF!</definedName>
    <definedName name="výkon_um" localSheetId="7">#REF!</definedName>
    <definedName name="výkon_um" localSheetId="9">#REF!</definedName>
    <definedName name="výkon_um">#REF!</definedName>
    <definedName name="x" localSheetId="15">#REF!</definedName>
    <definedName name="x" localSheetId="17">#REF!</definedName>
    <definedName name="x" localSheetId="18">#REF!</definedName>
    <definedName name="x" localSheetId="4">#REF!</definedName>
    <definedName name="x" localSheetId="7">#REF!</definedName>
    <definedName name="x" localSheetId="9">#REF!</definedName>
    <definedName name="x">#REF!</definedName>
    <definedName name="xxx" hidden="1">"3TGMUFSSIAIMK2KTNC9DELQD0"</definedName>
    <definedName name="zakl_prisp_na_prev_SD" localSheetId="15">#REF!</definedName>
    <definedName name="zakl_prisp_na_prev_SD" localSheetId="17">#REF!</definedName>
    <definedName name="zakl_prisp_na_prev_SD" localSheetId="18">#REF!</definedName>
    <definedName name="zakl_prisp_na_prev_SD" localSheetId="4">#REF!</definedName>
    <definedName name="zakl_prisp_na_prev_SD" localSheetId="6">#REF!</definedName>
    <definedName name="zakl_prisp_na_prev_SD" localSheetId="7">#REF!</definedName>
    <definedName name="zakl_prisp_na_prev_SD" localSheetId="9">#REF!</definedName>
    <definedName name="zakl_prisp_na_prev_SD">#REF!</definedName>
    <definedName name="záloha" localSheetId="15">#REF!</definedName>
    <definedName name="záloha" localSheetId="17">#REF!</definedName>
    <definedName name="záloha" localSheetId="18">#REF!</definedName>
    <definedName name="záloha" localSheetId="4">#REF!</definedName>
    <definedName name="záloha" localSheetId="6">#REF!</definedName>
    <definedName name="záloha" localSheetId="7">#REF!</definedName>
    <definedName name="záloha" localSheetId="9">#REF!</definedName>
    <definedName name="záloha">#REF!</definedName>
  </definedNames>
  <calcPr calcId="162913"/>
</workbook>
</file>

<file path=xl/calcChain.xml><?xml version="1.0" encoding="utf-8"?>
<calcChain xmlns="http://schemas.openxmlformats.org/spreadsheetml/2006/main">
  <c r="K82" i="162" l="1"/>
  <c r="J82" i="162"/>
  <c r="J46" i="161" l="1"/>
  <c r="C103" i="162" l="1"/>
  <c r="C75" i="161"/>
  <c r="I47" i="161"/>
  <c r="I52" i="161"/>
  <c r="I50" i="161"/>
  <c r="J61" i="162"/>
  <c r="D23" i="146" l="1"/>
  <c r="D17" i="146" l="1"/>
  <c r="H19" i="90" l="1"/>
  <c r="F16" i="90"/>
  <c r="F15" i="90"/>
  <c r="G7" i="90"/>
  <c r="F7" i="90"/>
  <c r="I6" i="164" l="1"/>
  <c r="H6" i="164"/>
  <c r="I10" i="164"/>
  <c r="H10" i="164"/>
  <c r="I6" i="109"/>
  <c r="H6" i="109"/>
  <c r="H11" i="109"/>
  <c r="H9" i="109"/>
  <c r="I10" i="109"/>
  <c r="H10" i="109"/>
  <c r="D16" i="90" l="1"/>
  <c r="D19" i="90"/>
  <c r="D9" i="90" l="1"/>
  <c r="D6" i="90"/>
  <c r="D12" i="116"/>
  <c r="C56" i="161" l="1"/>
  <c r="C47" i="161"/>
  <c r="D58" i="162"/>
  <c r="C81" i="162"/>
  <c r="C58" i="162"/>
  <c r="E96" i="162"/>
  <c r="E93" i="162"/>
  <c r="E95" i="162"/>
  <c r="E94" i="162"/>
  <c r="E92" i="162"/>
  <c r="E58" i="162"/>
  <c r="E81" i="162"/>
  <c r="E52" i="162"/>
  <c r="E49" i="162"/>
  <c r="F79" i="161" l="1"/>
  <c r="E47" i="161"/>
  <c r="E28" i="134"/>
  <c r="E34" i="134"/>
  <c r="D34" i="134"/>
  <c r="E39" i="133"/>
  <c r="E30" i="133"/>
  <c r="D30" i="133"/>
  <c r="D23" i="133"/>
  <c r="E23" i="133"/>
  <c r="D39" i="133"/>
  <c r="N19" i="160" l="1"/>
  <c r="M19" i="160"/>
  <c r="I7" i="97" l="1"/>
  <c r="I8" i="97" s="1"/>
  <c r="H7" i="97"/>
  <c r="H8" i="97" s="1"/>
  <c r="L6" i="97"/>
  <c r="J6" i="97"/>
  <c r="I6" i="97"/>
  <c r="H6" i="97"/>
  <c r="F6" i="97" l="1"/>
  <c r="E6" i="97"/>
  <c r="D6" i="97"/>
  <c r="C6" i="97"/>
  <c r="B6" i="97"/>
  <c r="J13" i="170" l="1"/>
  <c r="I13" i="170"/>
  <c r="K13" i="170" s="1"/>
  <c r="G13" i="170"/>
  <c r="H13" i="170"/>
  <c r="K12" i="170"/>
  <c r="K11" i="170"/>
  <c r="E10" i="170"/>
  <c r="H10" i="170" s="1"/>
  <c r="K10" i="170" s="1"/>
  <c r="E9" i="170"/>
  <c r="H9" i="170" s="1"/>
  <c r="K9" i="170" s="1"/>
  <c r="E8" i="170"/>
  <c r="H8" i="170" s="1"/>
  <c r="K8" i="170" s="1"/>
  <c r="E7" i="170"/>
  <c r="H7" i="170" s="1"/>
  <c r="K7" i="170" s="1"/>
  <c r="A7" i="170"/>
  <c r="A8" i="170" s="1"/>
  <c r="E6" i="170"/>
  <c r="H6" i="170" s="1"/>
  <c r="K6" i="170" s="1"/>
  <c r="C13" i="170"/>
  <c r="D13" i="170"/>
  <c r="F13" i="170"/>
  <c r="I13" i="171"/>
  <c r="G13" i="171"/>
  <c r="E9" i="171"/>
  <c r="E13" i="171" s="1"/>
  <c r="C9" i="171"/>
  <c r="C13" i="171" s="1"/>
  <c r="F22" i="144"/>
  <c r="E22" i="144"/>
  <c r="D22" i="144"/>
  <c r="C22" i="144"/>
  <c r="F19" i="144"/>
  <c r="E19" i="144"/>
  <c r="D19" i="144"/>
  <c r="C19" i="144"/>
  <c r="F16" i="144"/>
  <c r="E16" i="144"/>
  <c r="D16" i="144"/>
  <c r="C16" i="144"/>
  <c r="F13" i="144"/>
  <c r="E13" i="144"/>
  <c r="D13" i="144"/>
  <c r="C13" i="144"/>
  <c r="F10" i="144"/>
  <c r="E10" i="144"/>
  <c r="D10" i="144"/>
  <c r="C10" i="144"/>
  <c r="F7" i="144"/>
  <c r="E7" i="144"/>
  <c r="D7" i="144"/>
  <c r="C7" i="144"/>
  <c r="F6" i="144"/>
  <c r="E6" i="144"/>
  <c r="D6" i="144"/>
  <c r="C6" i="144"/>
  <c r="E16" i="61"/>
  <c r="D15" i="61"/>
  <c r="C15" i="61"/>
  <c r="E13" i="61"/>
  <c r="E12" i="61"/>
  <c r="E10" i="61"/>
  <c r="E8" i="61"/>
  <c r="E7" i="61"/>
  <c r="D6" i="61"/>
  <c r="D18" i="61" s="1"/>
  <c r="C6" i="61"/>
  <c r="E6" i="61" s="1"/>
  <c r="N15" i="160"/>
  <c r="M15" i="160"/>
  <c r="L15" i="160"/>
  <c r="P15" i="160" s="1"/>
  <c r="K15" i="160"/>
  <c r="O15" i="160" s="1"/>
  <c r="P14" i="160"/>
  <c r="O14" i="160"/>
  <c r="P13" i="160"/>
  <c r="O13" i="160"/>
  <c r="D26" i="160"/>
  <c r="E26" i="160"/>
  <c r="F26" i="160"/>
  <c r="G26" i="160"/>
  <c r="C26" i="160"/>
  <c r="H31" i="160"/>
  <c r="G30" i="160"/>
  <c r="G29" i="160"/>
  <c r="H28" i="160"/>
  <c r="G27" i="160"/>
  <c r="H17" i="160"/>
  <c r="G16" i="160"/>
  <c r="H15" i="160"/>
  <c r="F15" i="160"/>
  <c r="E15" i="160"/>
  <c r="D15" i="160"/>
  <c r="C15" i="160"/>
  <c r="G15" i="160" s="1"/>
  <c r="H14" i="160"/>
  <c r="G13" i="160"/>
  <c r="F12" i="160"/>
  <c r="E12" i="160"/>
  <c r="D12" i="160"/>
  <c r="H12" i="160" s="1"/>
  <c r="C12" i="160"/>
  <c r="G12" i="160" s="1"/>
  <c r="H11" i="160"/>
  <c r="G10" i="160"/>
  <c r="F9" i="160"/>
  <c r="E9" i="160"/>
  <c r="D9" i="160"/>
  <c r="H9" i="160" s="1"/>
  <c r="C9" i="160"/>
  <c r="G9" i="160" s="1"/>
  <c r="H8" i="160"/>
  <c r="G7" i="160"/>
  <c r="F6" i="160"/>
  <c r="H6" i="160" s="1"/>
  <c r="E6" i="160"/>
  <c r="D6" i="160"/>
  <c r="C6" i="160"/>
  <c r="G6" i="160" s="1"/>
  <c r="E15" i="61" l="1"/>
  <c r="C18" i="61"/>
  <c r="E13" i="170"/>
  <c r="E18" i="61"/>
  <c r="H26" i="160"/>
  <c r="C8" i="173"/>
  <c r="C5" i="173"/>
  <c r="C25" i="173" s="1"/>
  <c r="E18" i="166"/>
  <c r="E17" i="166"/>
  <c r="D16" i="166"/>
  <c r="C16" i="166"/>
  <c r="E16" i="166" s="1"/>
  <c r="E15" i="166"/>
  <c r="E14" i="166"/>
  <c r="D13" i="166"/>
  <c r="D12" i="166" s="1"/>
  <c r="C13" i="166"/>
  <c r="E13" i="166" s="1"/>
  <c r="D10" i="166"/>
  <c r="E10" i="166" s="1"/>
  <c r="C10" i="166"/>
  <c r="E9" i="166"/>
  <c r="E8" i="166"/>
  <c r="E7" i="166"/>
  <c r="D7" i="166"/>
  <c r="D11" i="166" s="1"/>
  <c r="C7" i="166"/>
  <c r="C11" i="166" s="1"/>
  <c r="E6" i="166"/>
  <c r="E5" i="166"/>
  <c r="N18" i="145"/>
  <c r="M18" i="145"/>
  <c r="I17" i="145"/>
  <c r="E17" i="145"/>
  <c r="F6" i="145" s="1"/>
  <c r="F17" i="145" s="1"/>
  <c r="N16" i="145"/>
  <c r="M16" i="145"/>
  <c r="N15" i="145"/>
  <c r="M15" i="145"/>
  <c r="N14" i="145"/>
  <c r="M14" i="145"/>
  <c r="N13" i="145"/>
  <c r="M13" i="145"/>
  <c r="N12" i="145"/>
  <c r="M12" i="145"/>
  <c r="N11" i="145"/>
  <c r="M11" i="145"/>
  <c r="N10" i="145"/>
  <c r="M10" i="145"/>
  <c r="N9" i="145"/>
  <c r="M9" i="145"/>
  <c r="N8" i="145"/>
  <c r="M8" i="145"/>
  <c r="L7" i="145"/>
  <c r="K7" i="145"/>
  <c r="K17" i="145" s="1"/>
  <c r="L6" i="145" s="1"/>
  <c r="L17" i="145" s="1"/>
  <c r="J7" i="145"/>
  <c r="I7" i="145"/>
  <c r="H7" i="145"/>
  <c r="G7" i="145"/>
  <c r="G17" i="145" s="1"/>
  <c r="H6" i="145" s="1"/>
  <c r="H17" i="145" s="1"/>
  <c r="F7" i="145"/>
  <c r="N7" i="145" s="1"/>
  <c r="E7" i="145"/>
  <c r="D7" i="145"/>
  <c r="C7" i="145"/>
  <c r="C17" i="145" s="1"/>
  <c r="M6" i="145"/>
  <c r="J6" i="145"/>
  <c r="J17" i="145" s="1"/>
  <c r="H19" i="91"/>
  <c r="H18" i="91"/>
  <c r="H14" i="91"/>
  <c r="H13" i="91"/>
  <c r="H6" i="91"/>
  <c r="E11" i="166" l="1"/>
  <c r="D22" i="166"/>
  <c r="C12" i="166"/>
  <c r="E12" i="166" s="1"/>
  <c r="D6" i="145"/>
  <c r="M17" i="145"/>
  <c r="M7" i="145"/>
  <c r="C22" i="166" l="1"/>
  <c r="E22" i="166" s="1"/>
  <c r="D17" i="145"/>
  <c r="N17" i="145" s="1"/>
  <c r="N6" i="145"/>
  <c r="D30" i="3" l="1"/>
  <c r="C30" i="3"/>
  <c r="E43" i="3"/>
  <c r="E42" i="3"/>
  <c r="E41" i="3"/>
  <c r="E40" i="3"/>
  <c r="E39" i="3"/>
  <c r="E38" i="3"/>
  <c r="E37" i="3"/>
  <c r="E36" i="3"/>
  <c r="E35" i="3"/>
  <c r="E34" i="3"/>
  <c r="E33" i="3"/>
  <c r="E32" i="3"/>
  <c r="E31" i="3"/>
  <c r="C18" i="3"/>
  <c r="C5" i="3"/>
  <c r="E27" i="3"/>
  <c r="E26" i="3"/>
  <c r="E25" i="3"/>
  <c r="E24" i="3"/>
  <c r="E23" i="3"/>
  <c r="E22" i="3"/>
  <c r="E21" i="3"/>
  <c r="E20" i="3"/>
  <c r="E19" i="3"/>
  <c r="E10" i="3"/>
  <c r="E9" i="3"/>
  <c r="E8" i="3"/>
  <c r="E7" i="3"/>
  <c r="E6" i="3"/>
  <c r="E18" i="23"/>
  <c r="E17" i="23"/>
  <c r="E16" i="23"/>
  <c r="D15" i="23"/>
  <c r="C15" i="23"/>
  <c r="E15" i="23" s="1"/>
  <c r="E14" i="23"/>
  <c r="D13" i="23"/>
  <c r="C13" i="23"/>
  <c r="E13" i="23" s="1"/>
  <c r="E12" i="23"/>
  <c r="E11" i="23"/>
  <c r="E10" i="23"/>
  <c r="E9" i="23"/>
  <c r="E8" i="23"/>
  <c r="D7" i="23"/>
  <c r="C7" i="23"/>
  <c r="E7" i="23" s="1"/>
  <c r="E6" i="23"/>
  <c r="D5" i="23"/>
  <c r="D19" i="23" s="1"/>
  <c r="C5" i="23"/>
  <c r="C19" i="23" s="1"/>
  <c r="E19" i="23" s="1"/>
  <c r="E5" i="23" l="1"/>
  <c r="C16" i="154" l="1"/>
  <c r="D16" i="154"/>
  <c r="F37" i="161"/>
  <c r="E37" i="161"/>
  <c r="E79" i="161" s="1"/>
  <c r="D37" i="161"/>
  <c r="C37" i="161"/>
  <c r="C11" i="161" l="1"/>
  <c r="D62" i="162" l="1"/>
  <c r="E62" i="162"/>
  <c r="F62" i="162"/>
  <c r="C5" i="154" l="1"/>
  <c r="G45" i="161"/>
  <c r="H45" i="161"/>
  <c r="H31" i="161"/>
  <c r="H32" i="161"/>
  <c r="H33" i="161"/>
  <c r="H34" i="161"/>
  <c r="H35" i="161"/>
  <c r="H36" i="161"/>
  <c r="G31" i="161"/>
  <c r="G32" i="161"/>
  <c r="G33" i="161"/>
  <c r="G34" i="161"/>
  <c r="G35" i="161"/>
  <c r="G36" i="161"/>
  <c r="D25" i="161"/>
  <c r="E25" i="161"/>
  <c r="F25" i="161"/>
  <c r="C25" i="161"/>
  <c r="D5" i="154" l="1"/>
  <c r="C62" i="162" l="1"/>
  <c r="H66" i="162"/>
  <c r="G66" i="162"/>
  <c r="H70" i="161" l="1"/>
  <c r="G70" i="161"/>
  <c r="E15" i="172" l="1"/>
  <c r="C15" i="172"/>
  <c r="E12" i="172"/>
  <c r="C12" i="172"/>
  <c r="C11" i="164" l="1"/>
  <c r="E9" i="164" l="1"/>
  <c r="E11" i="164" s="1"/>
  <c r="A7" i="164"/>
  <c r="A8" i="164" s="1"/>
  <c r="A9" i="164" s="1"/>
  <c r="A10" i="164" s="1"/>
  <c r="E12" i="109"/>
  <c r="C12" i="109"/>
  <c r="C11" i="109"/>
  <c r="E9" i="109" s="1"/>
  <c r="E11" i="109" s="1"/>
  <c r="A7" i="109"/>
  <c r="A8" i="109" s="1"/>
  <c r="A9" i="109" s="1"/>
  <c r="A10" i="109" s="1"/>
  <c r="C23" i="146" l="1"/>
  <c r="C22" i="146"/>
  <c r="D22" i="146"/>
  <c r="C17" i="146"/>
  <c r="C12" i="146" l="1"/>
  <c r="D10" i="146" s="1"/>
  <c r="D6" i="146"/>
  <c r="C6" i="146"/>
  <c r="A6" i="146"/>
  <c r="A7" i="146" s="1"/>
  <c r="A8" i="146" s="1"/>
  <c r="A9" i="146" s="1"/>
  <c r="A10" i="146" s="1"/>
  <c r="A11" i="146" s="1"/>
  <c r="A12" i="146" s="1"/>
  <c r="A13" i="146" s="1"/>
  <c r="A15" i="146" s="1"/>
  <c r="A16" i="146" s="1"/>
  <c r="A17" i="146" s="1"/>
  <c r="A18" i="146" s="1"/>
  <c r="A19" i="146" l="1"/>
  <c r="A20" i="146" s="1"/>
  <c r="A21" i="146" s="1"/>
  <c r="A22" i="146" s="1"/>
  <c r="A23" i="146" s="1"/>
  <c r="C9" i="146"/>
  <c r="C5" i="146" s="1"/>
  <c r="C16" i="146" s="1"/>
  <c r="D12" i="146"/>
  <c r="D9" i="146" s="1"/>
  <c r="D5" i="146" s="1"/>
  <c r="D16" i="146" s="1"/>
  <c r="H95" i="162" l="1"/>
  <c r="G95" i="162"/>
  <c r="C24" i="154" l="1"/>
  <c r="I22" i="155"/>
  <c r="F62" i="161"/>
  <c r="E62" i="161"/>
  <c r="D62" i="161"/>
  <c r="D79" i="161" s="1"/>
  <c r="C62" i="161"/>
  <c r="E5" i="168" l="1"/>
  <c r="A6" i="166" l="1"/>
  <c r="A7" i="166" s="1"/>
  <c r="A8" i="166" s="1"/>
  <c r="A9" i="166" s="1"/>
  <c r="F19" i="145" l="1"/>
  <c r="H104" i="162" l="1"/>
  <c r="G104" i="162"/>
  <c r="H103" i="162"/>
  <c r="G103" i="162"/>
  <c r="H102" i="162"/>
  <c r="G102" i="162"/>
  <c r="H101" i="162"/>
  <c r="G101" i="162"/>
  <c r="H100" i="162"/>
  <c r="G100" i="162"/>
  <c r="H99" i="162"/>
  <c r="G99" i="162"/>
  <c r="H98" i="162"/>
  <c r="G98" i="162"/>
  <c r="H97" i="162"/>
  <c r="G97" i="162"/>
  <c r="H96" i="162"/>
  <c r="G96" i="162"/>
  <c r="H94" i="162"/>
  <c r="G94" i="162"/>
  <c r="H93" i="162"/>
  <c r="G93" i="162"/>
  <c r="H92" i="162"/>
  <c r="G92" i="162"/>
  <c r="F91" i="162"/>
  <c r="E91" i="162"/>
  <c r="D91" i="162"/>
  <c r="C91" i="162"/>
  <c r="H90" i="162"/>
  <c r="G90" i="162"/>
  <c r="H89" i="162"/>
  <c r="G89" i="162"/>
  <c r="H88" i="162"/>
  <c r="G88" i="162"/>
  <c r="H87" i="162"/>
  <c r="G87" i="162"/>
  <c r="H86" i="162"/>
  <c r="G86" i="162"/>
  <c r="H85" i="162"/>
  <c r="G85" i="162"/>
  <c r="H84" i="162"/>
  <c r="G84" i="162"/>
  <c r="H83" i="162"/>
  <c r="G83" i="162"/>
  <c r="F82" i="162"/>
  <c r="E82" i="162"/>
  <c r="E80" i="162" s="1"/>
  <c r="D82" i="162"/>
  <c r="D80" i="162" s="1"/>
  <c r="C82" i="162"/>
  <c r="C80" i="162" s="1"/>
  <c r="H81" i="162"/>
  <c r="G81" i="162"/>
  <c r="H79" i="162"/>
  <c r="G79" i="162"/>
  <c r="H78" i="162"/>
  <c r="G78" i="162"/>
  <c r="H77" i="162"/>
  <c r="G77" i="162"/>
  <c r="H76" i="162"/>
  <c r="G76" i="162"/>
  <c r="H75" i="162"/>
  <c r="G75" i="162"/>
  <c r="H74" i="162"/>
  <c r="G74" i="162"/>
  <c r="H73" i="162"/>
  <c r="G73" i="162"/>
  <c r="H72" i="162"/>
  <c r="G72" i="162"/>
  <c r="H71" i="162"/>
  <c r="G71" i="162"/>
  <c r="H70" i="162"/>
  <c r="G70" i="162"/>
  <c r="F69" i="162"/>
  <c r="E69" i="162"/>
  <c r="D69" i="162"/>
  <c r="C69" i="162"/>
  <c r="H68" i="162"/>
  <c r="G68" i="162"/>
  <c r="H67" i="162"/>
  <c r="G67" i="162"/>
  <c r="H65" i="162"/>
  <c r="G65" i="162"/>
  <c r="H64" i="162"/>
  <c r="G64" i="162"/>
  <c r="H63" i="162"/>
  <c r="G63" i="162"/>
  <c r="D60" i="162"/>
  <c r="C60" i="162"/>
  <c r="H61" i="162"/>
  <c r="G61" i="162"/>
  <c r="F60" i="162"/>
  <c r="H59" i="162"/>
  <c r="G59" i="162"/>
  <c r="H58" i="162"/>
  <c r="G58" i="162"/>
  <c r="H57" i="162"/>
  <c r="G57" i="162"/>
  <c r="H56" i="162"/>
  <c r="G56" i="162"/>
  <c r="H55" i="162"/>
  <c r="G55" i="162"/>
  <c r="H54" i="162"/>
  <c r="G54" i="162"/>
  <c r="H53" i="162"/>
  <c r="G53" i="162"/>
  <c r="H52" i="162"/>
  <c r="G52" i="162"/>
  <c r="H51" i="162"/>
  <c r="G51" i="162"/>
  <c r="H50" i="162"/>
  <c r="G50" i="162"/>
  <c r="H49" i="162"/>
  <c r="G49" i="162"/>
  <c r="H48" i="162"/>
  <c r="G48" i="162"/>
  <c r="H47" i="162"/>
  <c r="G47" i="162"/>
  <c r="H46" i="162"/>
  <c r="G46" i="162"/>
  <c r="H45" i="162"/>
  <c r="G45" i="162"/>
  <c r="F44" i="162"/>
  <c r="E44" i="162"/>
  <c r="D44" i="162"/>
  <c r="C44" i="162"/>
  <c r="H43" i="162"/>
  <c r="G43" i="162"/>
  <c r="H42" i="162"/>
  <c r="G42" i="162"/>
  <c r="H41" i="162"/>
  <c r="G41" i="162"/>
  <c r="F40" i="162"/>
  <c r="E40" i="162"/>
  <c r="D40" i="162"/>
  <c r="C40" i="162"/>
  <c r="H39" i="162"/>
  <c r="G39" i="162"/>
  <c r="H38" i="162"/>
  <c r="G38" i="162"/>
  <c r="H37" i="162"/>
  <c r="G37" i="162"/>
  <c r="H36" i="162"/>
  <c r="G36" i="162"/>
  <c r="H35" i="162"/>
  <c r="G35" i="162"/>
  <c r="H34" i="162"/>
  <c r="G34" i="162"/>
  <c r="H33" i="162"/>
  <c r="G33" i="162"/>
  <c r="F32" i="162"/>
  <c r="E32" i="162"/>
  <c r="D32" i="162"/>
  <c r="C32" i="162"/>
  <c r="H31" i="162"/>
  <c r="G31" i="162"/>
  <c r="H30" i="162"/>
  <c r="G30" i="162"/>
  <c r="H29" i="162"/>
  <c r="G29" i="162"/>
  <c r="H28" i="162"/>
  <c r="G28" i="162"/>
  <c r="F27" i="162"/>
  <c r="E27" i="162"/>
  <c r="D27" i="162"/>
  <c r="C27" i="162"/>
  <c r="H25" i="162"/>
  <c r="G25" i="162"/>
  <c r="H24" i="162"/>
  <c r="G24" i="162"/>
  <c r="H23" i="162"/>
  <c r="G23" i="162"/>
  <c r="H22" i="162"/>
  <c r="G22" i="162"/>
  <c r="H21" i="162"/>
  <c r="G21" i="162"/>
  <c r="H20" i="162"/>
  <c r="G20" i="162"/>
  <c r="F19" i="162"/>
  <c r="E19" i="162"/>
  <c r="D19" i="162"/>
  <c r="C19" i="162"/>
  <c r="H18" i="162"/>
  <c r="G18" i="162"/>
  <c r="H17" i="162"/>
  <c r="G17" i="162"/>
  <c r="H16" i="162"/>
  <c r="G16" i="162"/>
  <c r="H15" i="162"/>
  <c r="G15" i="162"/>
  <c r="H14" i="162"/>
  <c r="G14" i="162"/>
  <c r="H13" i="162"/>
  <c r="G13" i="162"/>
  <c r="H12" i="162"/>
  <c r="G12" i="162"/>
  <c r="H11" i="162"/>
  <c r="G11" i="162"/>
  <c r="H10" i="162"/>
  <c r="G10" i="162"/>
  <c r="H9" i="162"/>
  <c r="G9" i="162"/>
  <c r="H8" i="162"/>
  <c r="G8" i="162"/>
  <c r="H7" i="162"/>
  <c r="G7" i="162"/>
  <c r="A7" i="162"/>
  <c r="A8" i="162" s="1"/>
  <c r="A9" i="162" s="1"/>
  <c r="A10" i="162" s="1"/>
  <c r="A11" i="162" s="1"/>
  <c r="A12" i="162" s="1"/>
  <c r="A13" i="162" s="1"/>
  <c r="A14" i="162" s="1"/>
  <c r="A15" i="162" s="1"/>
  <c r="A16" i="162" s="1"/>
  <c r="A17" i="162" s="1"/>
  <c r="A18" i="162" s="1"/>
  <c r="A19" i="162" s="1"/>
  <c r="A20" i="162" s="1"/>
  <c r="A21" i="162" s="1"/>
  <c r="A22" i="162" s="1"/>
  <c r="A23" i="162" s="1"/>
  <c r="A24" i="162" s="1"/>
  <c r="A25" i="162" s="1"/>
  <c r="A26" i="162" s="1"/>
  <c r="A27" i="162" s="1"/>
  <c r="A28" i="162" s="1"/>
  <c r="A29" i="162" s="1"/>
  <c r="A30" i="162" s="1"/>
  <c r="A31" i="162" s="1"/>
  <c r="A32" i="162" s="1"/>
  <c r="A33" i="162" s="1"/>
  <c r="A34" i="162" s="1"/>
  <c r="A35" i="162" s="1"/>
  <c r="A36" i="162" s="1"/>
  <c r="A37" i="162" s="1"/>
  <c r="A38" i="162" s="1"/>
  <c r="A39" i="162" s="1"/>
  <c r="A40" i="162" s="1"/>
  <c r="A41" i="162" s="1"/>
  <c r="A42" i="162" s="1"/>
  <c r="A43" i="162" s="1"/>
  <c r="A44" i="162" s="1"/>
  <c r="A45" i="162" s="1"/>
  <c r="A46" i="162" s="1"/>
  <c r="A47" i="162" s="1"/>
  <c r="A48" i="162" s="1"/>
  <c r="A49" i="162" s="1"/>
  <c r="A50" i="162" s="1"/>
  <c r="A51" i="162" s="1"/>
  <c r="A52" i="162" s="1"/>
  <c r="A53" i="162" s="1"/>
  <c r="A54" i="162" s="1"/>
  <c r="A55" i="162" s="1"/>
  <c r="A56" i="162" s="1"/>
  <c r="A57" i="162" s="1"/>
  <c r="A58" i="162" s="1"/>
  <c r="A59" i="162" s="1"/>
  <c r="A60" i="162" s="1"/>
  <c r="A61" i="162" s="1"/>
  <c r="A62" i="162" s="1"/>
  <c r="A63" i="162" s="1"/>
  <c r="A64" i="162" s="1"/>
  <c r="A65" i="162" s="1"/>
  <c r="A68" i="162" s="1"/>
  <c r="A69" i="162" s="1"/>
  <c r="A70" i="162" s="1"/>
  <c r="A71" i="162" s="1"/>
  <c r="A72" i="162" s="1"/>
  <c r="A73" i="162" s="1"/>
  <c r="A74" i="162" s="1"/>
  <c r="A75" i="162" s="1"/>
  <c r="A76" i="162" s="1"/>
  <c r="A77" i="162" s="1"/>
  <c r="A78" i="162" s="1"/>
  <c r="A79" i="162" s="1"/>
  <c r="A80" i="162" s="1"/>
  <c r="A81" i="162" s="1"/>
  <c r="A82" i="162" s="1"/>
  <c r="A83" i="162" s="1"/>
  <c r="A84" i="162" s="1"/>
  <c r="A85" i="162" s="1"/>
  <c r="A86" i="162" s="1"/>
  <c r="A87" i="162" s="1"/>
  <c r="A89" i="162" s="1"/>
  <c r="A90" i="162" s="1"/>
  <c r="A91" i="162" s="1"/>
  <c r="A92" i="162" s="1"/>
  <c r="A93" i="162" s="1"/>
  <c r="A96" i="162" s="1"/>
  <c r="A97" i="162" s="1"/>
  <c r="A98" i="162" s="1"/>
  <c r="A99" i="162" s="1"/>
  <c r="A100" i="162" s="1"/>
  <c r="A101" i="162" s="1"/>
  <c r="A102" i="162" s="1"/>
  <c r="A103" i="162" s="1"/>
  <c r="A104" i="162" s="1"/>
  <c r="A105" i="162" s="1"/>
  <c r="F6" i="162"/>
  <c r="E6" i="162"/>
  <c r="D6" i="162"/>
  <c r="C6" i="162"/>
  <c r="C105" i="162" l="1"/>
  <c r="D105" i="162"/>
  <c r="F105" i="162"/>
  <c r="H60" i="162"/>
  <c r="G19" i="162"/>
  <c r="H40" i="162"/>
  <c r="H62" i="162"/>
  <c r="G62" i="162"/>
  <c r="G32" i="162"/>
  <c r="H6" i="162"/>
  <c r="G6" i="162"/>
  <c r="H32" i="162"/>
  <c r="H82" i="162"/>
  <c r="G40" i="162"/>
  <c r="G69" i="162"/>
  <c r="F80" i="162"/>
  <c r="H80" i="162" s="1"/>
  <c r="G27" i="162"/>
  <c r="G44" i="162"/>
  <c r="H69" i="162"/>
  <c r="H27" i="162"/>
  <c r="H44" i="162"/>
  <c r="E60" i="162"/>
  <c r="H91" i="162"/>
  <c r="G91" i="162"/>
  <c r="G80" i="162"/>
  <c r="G82" i="162"/>
  <c r="H19" i="162"/>
  <c r="H78" i="161"/>
  <c r="G78" i="161"/>
  <c r="H77" i="161"/>
  <c r="G77" i="161"/>
  <c r="H76" i="161"/>
  <c r="G76" i="161"/>
  <c r="H75" i="161"/>
  <c r="G75" i="161"/>
  <c r="H74" i="161"/>
  <c r="G74" i="161"/>
  <c r="H73" i="161"/>
  <c r="G73" i="161"/>
  <c r="H72" i="161"/>
  <c r="G72" i="161"/>
  <c r="H71" i="161"/>
  <c r="G71" i="161"/>
  <c r="H69" i="161"/>
  <c r="G69" i="161"/>
  <c r="H68" i="161"/>
  <c r="G68" i="161"/>
  <c r="G67" i="161"/>
  <c r="G66" i="161"/>
  <c r="G65" i="161"/>
  <c r="G64" i="161"/>
  <c r="G63" i="161"/>
  <c r="G62" i="161"/>
  <c r="H61" i="161"/>
  <c r="G61" i="161"/>
  <c r="H60" i="161"/>
  <c r="G60" i="161"/>
  <c r="H59" i="161"/>
  <c r="G59" i="161"/>
  <c r="H58" i="161"/>
  <c r="G58" i="161"/>
  <c r="H57" i="161"/>
  <c r="G57" i="161"/>
  <c r="H56" i="161"/>
  <c r="G56" i="161"/>
  <c r="H55" i="161"/>
  <c r="G55" i="161"/>
  <c r="H54" i="161"/>
  <c r="G54" i="161"/>
  <c r="H53" i="161"/>
  <c r="G53" i="161"/>
  <c r="H52" i="161"/>
  <c r="G52" i="161"/>
  <c r="H51" i="161"/>
  <c r="G51" i="161"/>
  <c r="H50" i="161"/>
  <c r="G50" i="161"/>
  <c r="H49" i="161"/>
  <c r="G49" i="161"/>
  <c r="H48" i="161"/>
  <c r="G48" i="161"/>
  <c r="H47" i="161"/>
  <c r="G47" i="161"/>
  <c r="F46" i="161"/>
  <c r="E46" i="161"/>
  <c r="D46" i="161"/>
  <c r="C46" i="161"/>
  <c r="C79" i="161" s="1"/>
  <c r="H44" i="161"/>
  <c r="G44" i="161"/>
  <c r="H43" i="161"/>
  <c r="G43" i="161"/>
  <c r="H42" i="161"/>
  <c r="G42" i="161"/>
  <c r="H41" i="161"/>
  <c r="G41" i="161"/>
  <c r="H40" i="161"/>
  <c r="G40" i="161"/>
  <c r="H39" i="161"/>
  <c r="G39" i="161"/>
  <c r="H38" i="161"/>
  <c r="G38" i="161"/>
  <c r="G37" i="161"/>
  <c r="H37" i="161"/>
  <c r="H30" i="161"/>
  <c r="G30" i="161"/>
  <c r="H29" i="161"/>
  <c r="G29" i="161"/>
  <c r="H28" i="161"/>
  <c r="G28" i="161"/>
  <c r="H27" i="161"/>
  <c r="G27" i="161"/>
  <c r="H26" i="161"/>
  <c r="G26" i="161"/>
  <c r="H24" i="161"/>
  <c r="G24" i="161"/>
  <c r="H23" i="161"/>
  <c r="G23" i="161"/>
  <c r="H22" i="161"/>
  <c r="G22" i="161"/>
  <c r="F21" i="161"/>
  <c r="E21" i="161"/>
  <c r="D21" i="161"/>
  <c r="C21" i="161"/>
  <c r="H20" i="161"/>
  <c r="G20" i="161"/>
  <c r="H19" i="161"/>
  <c r="G19" i="161"/>
  <c r="H18" i="161"/>
  <c r="G18" i="161"/>
  <c r="H17" i="161"/>
  <c r="G17" i="161"/>
  <c r="H16" i="161"/>
  <c r="G16" i="161"/>
  <c r="H15" i="161"/>
  <c r="G15" i="161"/>
  <c r="H14" i="161"/>
  <c r="G14" i="161"/>
  <c r="H13" i="161"/>
  <c r="G13" i="161"/>
  <c r="H12" i="161"/>
  <c r="G12" i="161"/>
  <c r="F11" i="161"/>
  <c r="E11" i="161"/>
  <c r="D11" i="161"/>
  <c r="H10" i="161"/>
  <c r="G10" i="161"/>
  <c r="H9" i="161"/>
  <c r="G9" i="161"/>
  <c r="H8" i="161"/>
  <c r="G8" i="161"/>
  <c r="H7" i="161"/>
  <c r="G7" i="161"/>
  <c r="A7" i="161"/>
  <c r="A8" i="161" s="1"/>
  <c r="A9" i="161" s="1"/>
  <c r="A10" i="161" s="1"/>
  <c r="A11" i="161" s="1"/>
  <c r="A12" i="161" s="1"/>
  <c r="A13" i="161" s="1"/>
  <c r="A14" i="161" s="1"/>
  <c r="A15" i="161" s="1"/>
  <c r="A16" i="161" s="1"/>
  <c r="A17" i="161" s="1"/>
  <c r="A18" i="161" s="1"/>
  <c r="A19" i="161" s="1"/>
  <c r="A20" i="161" s="1"/>
  <c r="A21" i="161" s="1"/>
  <c r="A22" i="161" s="1"/>
  <c r="A23" i="161" s="1"/>
  <c r="A24" i="161" s="1"/>
  <c r="A25" i="161" s="1"/>
  <c r="A26" i="161" s="1"/>
  <c r="A27" i="161" s="1"/>
  <c r="A28" i="161" s="1"/>
  <c r="A29" i="161" s="1"/>
  <c r="A30" i="161" s="1"/>
  <c r="F6" i="161"/>
  <c r="E6" i="161"/>
  <c r="D6" i="161"/>
  <c r="C6" i="161"/>
  <c r="G60" i="162" l="1"/>
  <c r="E105" i="162"/>
  <c r="H21" i="161"/>
  <c r="H25" i="161"/>
  <c r="A38" i="161"/>
  <c r="A39" i="161" s="1"/>
  <c r="A40" i="161" s="1"/>
  <c r="A41" i="161" s="1"/>
  <c r="A42" i="161" s="1"/>
  <c r="A43" i="161" s="1"/>
  <c r="A44" i="161" s="1"/>
  <c r="A47" i="161" s="1"/>
  <c r="A48" i="161" s="1"/>
  <c r="A49" i="161" s="1"/>
  <c r="A50" i="161" s="1"/>
  <c r="A51" i="161" s="1"/>
  <c r="A52" i="161" s="1"/>
  <c r="A53" i="161" s="1"/>
  <c r="A54" i="161" s="1"/>
  <c r="A55" i="161" s="1"/>
  <c r="A56" i="161" s="1"/>
  <c r="A57" i="161" s="1"/>
  <c r="A58" i="161" s="1"/>
  <c r="A59" i="161" s="1"/>
  <c r="A60" i="161" s="1"/>
  <c r="A61" i="161" s="1"/>
  <c r="A62" i="161" s="1"/>
  <c r="A63" i="161" s="1"/>
  <c r="A64" i="161" s="1"/>
  <c r="A65" i="161" s="1"/>
  <c r="A66" i="161" s="1"/>
  <c r="A67" i="161" s="1"/>
  <c r="A68" i="161" s="1"/>
  <c r="A69" i="161" s="1"/>
  <c r="G21" i="161"/>
  <c r="G25" i="161"/>
  <c r="G11" i="161"/>
  <c r="G46" i="161"/>
  <c r="H46" i="161"/>
  <c r="H11" i="161"/>
  <c r="H62" i="161"/>
  <c r="D106" i="162"/>
  <c r="G6" i="161"/>
  <c r="H6" i="161"/>
  <c r="G105" i="162" l="1"/>
  <c r="F106" i="162"/>
  <c r="H79" i="161"/>
  <c r="G79" i="161"/>
  <c r="F80" i="161"/>
  <c r="H105" i="162"/>
  <c r="D80" i="161"/>
  <c r="H25" i="160" l="1"/>
  <c r="H23" i="160" s="1"/>
  <c r="G23" i="160"/>
  <c r="F23" i="160"/>
  <c r="F19" i="160" s="1"/>
  <c r="E23" i="160"/>
  <c r="D23" i="160"/>
  <c r="C23" i="160"/>
  <c r="H22" i="160"/>
  <c r="H20" i="160" s="1"/>
  <c r="G21" i="160"/>
  <c r="G20" i="160" s="1"/>
  <c r="F20" i="160"/>
  <c r="E20" i="160"/>
  <c r="D20" i="160"/>
  <c r="C20" i="160"/>
  <c r="A8" i="160"/>
  <c r="A9" i="160" s="1"/>
  <c r="A10" i="160" s="1"/>
  <c r="A11" i="160" s="1"/>
  <c r="D18" i="160" l="1"/>
  <c r="D19" i="160"/>
  <c r="H19" i="160" s="1"/>
  <c r="F18" i="160"/>
  <c r="F35" i="160" s="1"/>
  <c r="E19" i="160"/>
  <c r="E18" i="160"/>
  <c r="C19" i="160"/>
  <c r="C18" i="160"/>
  <c r="G18" i="160" s="1"/>
  <c r="G19" i="160" l="1"/>
  <c r="G35" i="160" s="1"/>
  <c r="E35" i="160"/>
  <c r="F36" i="160" s="1"/>
  <c r="D35" i="160"/>
  <c r="H18" i="160"/>
  <c r="H35" i="160" s="1"/>
  <c r="C35" i="160"/>
  <c r="C14" i="116" l="1"/>
  <c r="H19" i="145"/>
  <c r="I16" i="91"/>
  <c r="D10" i="91"/>
  <c r="D23" i="91" s="1"/>
  <c r="E10" i="91"/>
  <c r="E23" i="91" s="1"/>
  <c r="F10" i="91"/>
  <c r="F23" i="91"/>
  <c r="G10" i="91"/>
  <c r="G23" i="91" s="1"/>
  <c r="H10" i="91"/>
  <c r="H23" i="91" s="1"/>
  <c r="I11" i="91"/>
  <c r="I12" i="91"/>
  <c r="I13" i="91"/>
  <c r="I14" i="91"/>
  <c r="I15" i="91"/>
  <c r="C10" i="91"/>
  <c r="C23" i="91" s="1"/>
  <c r="I22" i="91"/>
  <c r="E6" i="159"/>
  <c r="D7" i="159"/>
  <c r="C7" i="159"/>
  <c r="E5" i="159"/>
  <c r="D9" i="157"/>
  <c r="F6" i="157" s="1"/>
  <c r="F9" i="157" s="1"/>
  <c r="M6" i="97"/>
  <c r="C9" i="157"/>
  <c r="E6" i="157" s="1"/>
  <c r="E9" i="157" s="1"/>
  <c r="D24" i="154"/>
  <c r="J29" i="155"/>
  <c r="F29" i="155"/>
  <c r="J28" i="155"/>
  <c r="F28" i="155"/>
  <c r="K28" i="155" s="1"/>
  <c r="F27" i="155"/>
  <c r="F22" i="155" s="1"/>
  <c r="K22" i="155" s="1"/>
  <c r="J26" i="155"/>
  <c r="F26" i="155"/>
  <c r="K26" i="155" s="1"/>
  <c r="J25" i="155"/>
  <c r="F25" i="155"/>
  <c r="K25" i="155" s="1"/>
  <c r="J24" i="155"/>
  <c r="F24" i="155"/>
  <c r="J23" i="155"/>
  <c r="F23" i="155"/>
  <c r="H22" i="155"/>
  <c r="G22" i="155"/>
  <c r="E22" i="155"/>
  <c r="D22" i="155"/>
  <c r="C22" i="155"/>
  <c r="J21" i="155"/>
  <c r="F21" i="155"/>
  <c r="K21" i="155" s="1"/>
  <c r="J20" i="155"/>
  <c r="F20" i="155"/>
  <c r="J19" i="155"/>
  <c r="F19" i="155"/>
  <c r="K19" i="155" s="1"/>
  <c r="J18" i="155"/>
  <c r="F18" i="155"/>
  <c r="K18" i="155" s="1"/>
  <c r="J17" i="155"/>
  <c r="F17" i="155"/>
  <c r="K17" i="155" s="1"/>
  <c r="I16" i="155"/>
  <c r="H16" i="155"/>
  <c r="G16" i="155"/>
  <c r="E16" i="155"/>
  <c r="D16" i="155"/>
  <c r="C16" i="155"/>
  <c r="J15" i="155"/>
  <c r="F15" i="155"/>
  <c r="K15" i="155" s="1"/>
  <c r="J13" i="155"/>
  <c r="F13" i="155"/>
  <c r="J12" i="155"/>
  <c r="F12" i="155"/>
  <c r="K12" i="155" s="1"/>
  <c r="J11" i="155"/>
  <c r="F11" i="155"/>
  <c r="K11" i="155" s="1"/>
  <c r="J10" i="155"/>
  <c r="F10" i="155"/>
  <c r="K10" i="155" s="1"/>
  <c r="J9" i="155"/>
  <c r="F9" i="155"/>
  <c r="K9" i="155" s="1"/>
  <c r="J8" i="155"/>
  <c r="F8" i="155"/>
  <c r="K8" i="155" s="1"/>
  <c r="I7" i="155"/>
  <c r="H7" i="155"/>
  <c r="G7" i="155"/>
  <c r="E7" i="155"/>
  <c r="D7" i="155"/>
  <c r="D30" i="155" s="1"/>
  <c r="C7" i="155"/>
  <c r="F23" i="76"/>
  <c r="D18" i="3"/>
  <c r="F43" i="133"/>
  <c r="F42" i="133"/>
  <c r="F40" i="134"/>
  <c r="I21" i="91"/>
  <c r="I20" i="91"/>
  <c r="I19" i="91"/>
  <c r="I18" i="91"/>
  <c r="I17" i="91"/>
  <c r="I9" i="91"/>
  <c r="I8" i="91"/>
  <c r="I6" i="91"/>
  <c r="G6" i="97"/>
  <c r="J23" i="76"/>
  <c r="J24" i="76"/>
  <c r="J25" i="76"/>
  <c r="J26" i="76"/>
  <c r="F24" i="76"/>
  <c r="F25" i="76"/>
  <c r="F26" i="76"/>
  <c r="K26" i="76" s="1"/>
  <c r="F5" i="134"/>
  <c r="F6" i="134"/>
  <c r="F7" i="134"/>
  <c r="F8" i="134"/>
  <c r="F9" i="134"/>
  <c r="F10" i="134"/>
  <c r="F11" i="134"/>
  <c r="F12" i="134"/>
  <c r="F13" i="134"/>
  <c r="F14" i="134"/>
  <c r="F15" i="134"/>
  <c r="F16" i="134"/>
  <c r="F17" i="134"/>
  <c r="F18" i="134"/>
  <c r="F19" i="134"/>
  <c r="F20" i="134"/>
  <c r="F21" i="134"/>
  <c r="F22" i="134"/>
  <c r="F23" i="134"/>
  <c r="F24" i="134"/>
  <c r="F25" i="134"/>
  <c r="F26" i="134"/>
  <c r="F27" i="134"/>
  <c r="F28" i="134"/>
  <c r="F29" i="134"/>
  <c r="F30" i="134"/>
  <c r="F31" i="134"/>
  <c r="F32" i="134"/>
  <c r="F33" i="134"/>
  <c r="F34" i="134"/>
  <c r="F35" i="134"/>
  <c r="F36" i="134"/>
  <c r="F37" i="134"/>
  <c r="F38" i="134"/>
  <c r="F39" i="134"/>
  <c r="F41" i="134"/>
  <c r="D42" i="134"/>
  <c r="E42" i="134"/>
  <c r="F5" i="133"/>
  <c r="F6" i="133"/>
  <c r="F7" i="133"/>
  <c r="F8" i="133"/>
  <c r="F9" i="133"/>
  <c r="F10" i="133"/>
  <c r="F11" i="133"/>
  <c r="F12" i="133"/>
  <c r="F13" i="133"/>
  <c r="F14" i="133"/>
  <c r="F15" i="133"/>
  <c r="F16" i="133"/>
  <c r="F17" i="133"/>
  <c r="F18" i="133"/>
  <c r="F19" i="133"/>
  <c r="F20" i="133"/>
  <c r="F21" i="133"/>
  <c r="F22" i="133"/>
  <c r="F23" i="133"/>
  <c r="F24" i="133"/>
  <c r="F25" i="133"/>
  <c r="F26" i="133"/>
  <c r="F27" i="133"/>
  <c r="F28" i="133"/>
  <c r="F29" i="133"/>
  <c r="F30" i="133"/>
  <c r="F31" i="133"/>
  <c r="F32" i="133"/>
  <c r="F33" i="133"/>
  <c r="F34" i="133"/>
  <c r="F35" i="133"/>
  <c r="F36" i="133"/>
  <c r="F37" i="133"/>
  <c r="F38" i="133"/>
  <c r="F39" i="133"/>
  <c r="D40" i="133"/>
  <c r="E40" i="133"/>
  <c r="A7" i="61"/>
  <c r="A8" i="61" s="1"/>
  <c r="A9" i="61" s="1"/>
  <c r="A10" i="61" s="1"/>
  <c r="A7" i="90"/>
  <c r="A8" i="90" s="1"/>
  <c r="A9" i="90" s="1"/>
  <c r="A10" i="90" s="1"/>
  <c r="A11" i="90" s="1"/>
  <c r="A12" i="90" s="1"/>
  <c r="A13" i="90" s="1"/>
  <c r="A14" i="90" s="1"/>
  <c r="A15" i="90" s="1"/>
  <c r="A17" i="90" s="1"/>
  <c r="A18" i="90" s="1"/>
  <c r="A19" i="90" s="1"/>
  <c r="A20" i="90" s="1"/>
  <c r="C7" i="90"/>
  <c r="D7" i="90"/>
  <c r="D14" i="90" s="1"/>
  <c r="D20" i="90" s="1"/>
  <c r="A7" i="116"/>
  <c r="E8" i="116"/>
  <c r="C18" i="116" s="1"/>
  <c r="F8" i="116"/>
  <c r="A9" i="116"/>
  <c r="A10" i="116" s="1"/>
  <c r="A11" i="116" s="1"/>
  <c r="A12" i="116" s="1"/>
  <c r="A13" i="116" s="1"/>
  <c r="A14" i="116" s="1"/>
  <c r="A15" i="116" s="1"/>
  <c r="A16" i="116" s="1"/>
  <c r="A17" i="116" s="1"/>
  <c r="A18" i="116" s="1"/>
  <c r="C13" i="116"/>
  <c r="D13" i="116"/>
  <c r="D14" i="116"/>
  <c r="C7" i="76"/>
  <c r="D7" i="76"/>
  <c r="E7" i="76"/>
  <c r="G7" i="76"/>
  <c r="G16" i="76"/>
  <c r="H7" i="76"/>
  <c r="I7" i="76"/>
  <c r="F8" i="76"/>
  <c r="K8" i="76" s="1"/>
  <c r="J8" i="76"/>
  <c r="F9" i="76"/>
  <c r="J9" i="76"/>
  <c r="F10" i="76"/>
  <c r="K10" i="76" s="1"/>
  <c r="J10" i="76"/>
  <c r="F11" i="76"/>
  <c r="J11" i="76"/>
  <c r="F12" i="76"/>
  <c r="K12" i="76" s="1"/>
  <c r="J12" i="76"/>
  <c r="F13" i="76"/>
  <c r="J13" i="76"/>
  <c r="F15" i="76"/>
  <c r="J15" i="76"/>
  <c r="C16" i="76"/>
  <c r="E16" i="76"/>
  <c r="D16" i="76"/>
  <c r="H16" i="76"/>
  <c r="I16" i="76"/>
  <c r="F17" i="76"/>
  <c r="J17" i="76"/>
  <c r="F18" i="76"/>
  <c r="J18" i="76"/>
  <c r="F19" i="76"/>
  <c r="J19" i="76"/>
  <c r="F20" i="76"/>
  <c r="J20" i="76"/>
  <c r="F21" i="76"/>
  <c r="K21" i="76" s="1"/>
  <c r="J21" i="76"/>
  <c r="C22" i="76"/>
  <c r="D22" i="76"/>
  <c r="E22" i="76"/>
  <c r="G22" i="76"/>
  <c r="H22" i="76"/>
  <c r="I22" i="76"/>
  <c r="F27" i="76"/>
  <c r="F22" i="76" s="1"/>
  <c r="K22" i="76" s="1"/>
  <c r="F28" i="76"/>
  <c r="J28" i="76"/>
  <c r="F29" i="76"/>
  <c r="J29" i="76"/>
  <c r="D5" i="3"/>
  <c r="E13" i="3"/>
  <c r="C14" i="3"/>
  <c r="D14" i="3"/>
  <c r="E15" i="3"/>
  <c r="E16" i="3"/>
  <c r="E17" i="3"/>
  <c r="E28" i="3"/>
  <c r="E29" i="3"/>
  <c r="E44" i="3"/>
  <c r="A6" i="23"/>
  <c r="A7" i="23" s="1"/>
  <c r="A8" i="23" s="1"/>
  <c r="A9" i="23" s="1"/>
  <c r="A10" i="23" s="1"/>
  <c r="A11" i="23" s="1"/>
  <c r="A12" i="23" s="1"/>
  <c r="A13" i="23" s="1"/>
  <c r="A14" i="23" s="1"/>
  <c r="A15" i="23" s="1"/>
  <c r="A16" i="23" s="1"/>
  <c r="A17" i="23" s="1"/>
  <c r="A18" i="23" s="1"/>
  <c r="A19" i="23" s="1"/>
  <c r="I30" i="76"/>
  <c r="K28" i="76"/>
  <c r="E7" i="159" l="1"/>
  <c r="K24" i="155"/>
  <c r="K29" i="155"/>
  <c r="K23" i="155"/>
  <c r="K20" i="155"/>
  <c r="K13" i="155"/>
  <c r="L15" i="155"/>
  <c r="K29" i="76"/>
  <c r="K23" i="76"/>
  <c r="D18" i="116"/>
  <c r="C17" i="116"/>
  <c r="K20" i="76"/>
  <c r="K18" i="76"/>
  <c r="L18" i="155"/>
  <c r="K13" i="76"/>
  <c r="K9" i="76"/>
  <c r="D45" i="3"/>
  <c r="J16" i="76"/>
  <c r="J22" i="76"/>
  <c r="E14" i="3"/>
  <c r="J7" i="76"/>
  <c r="L20" i="155"/>
  <c r="L17" i="155"/>
  <c r="E30" i="76"/>
  <c r="E30" i="3"/>
  <c r="L11" i="155"/>
  <c r="G30" i="155"/>
  <c r="L25" i="155"/>
  <c r="L28" i="155"/>
  <c r="F7" i="76"/>
  <c r="E30" i="155"/>
  <c r="F16" i="76"/>
  <c r="I30" i="155"/>
  <c r="L12" i="155"/>
  <c r="C14" i="90"/>
  <c r="C20" i="90" s="1"/>
  <c r="D17" i="116"/>
  <c r="H30" i="155"/>
  <c r="D41" i="133"/>
  <c r="D44" i="133" s="1"/>
  <c r="L8" i="155"/>
  <c r="H30" i="76"/>
  <c r="I10" i="91"/>
  <c r="L13" i="155"/>
  <c r="D30" i="76"/>
  <c r="E41" i="133"/>
  <c r="E44" i="133" s="1"/>
  <c r="L21" i="155"/>
  <c r="J22" i="155"/>
  <c r="J16" i="155"/>
  <c r="L29" i="155"/>
  <c r="L19" i="155"/>
  <c r="F40" i="133"/>
  <c r="K11" i="76"/>
  <c r="F16" i="155"/>
  <c r="F42" i="134"/>
  <c r="G30" i="76"/>
  <c r="C30" i="76"/>
  <c r="L26" i="155"/>
  <c r="L24" i="155"/>
  <c r="C30" i="155"/>
  <c r="L9" i="155"/>
  <c r="I23" i="91"/>
  <c r="F7" i="155"/>
  <c r="K17" i="76"/>
  <c r="L10" i="155"/>
  <c r="K25" i="76"/>
  <c r="L23" i="155"/>
  <c r="K19" i="76"/>
  <c r="E5" i="3"/>
  <c r="K24" i="76"/>
  <c r="K15" i="76"/>
  <c r="L22" i="155"/>
  <c r="J7" i="155"/>
  <c r="K16" i="155" l="1"/>
  <c r="J30" i="76"/>
  <c r="K7" i="76"/>
  <c r="F30" i="76"/>
  <c r="K30" i="76" s="1"/>
  <c r="F44" i="133"/>
  <c r="K16" i="76"/>
  <c r="F41" i="133"/>
  <c r="J30" i="155"/>
  <c r="L16" i="155"/>
  <c r="F30" i="155"/>
  <c r="K7" i="155"/>
  <c r="L7" i="155"/>
  <c r="L30" i="155" l="1"/>
  <c r="K30" i="155"/>
  <c r="E18" i="3"/>
  <c r="C45" i="3"/>
  <c r="E45" i="3" s="1"/>
</calcChain>
</file>

<file path=xl/sharedStrings.xml><?xml version="1.0" encoding="utf-8"?>
<sst xmlns="http://schemas.openxmlformats.org/spreadsheetml/2006/main" count="1732" uniqueCount="1109">
  <si>
    <t xml:space="preserve">pozn.1): rozdiel medzi údajom, vykazovaným v stĺpci T6_R18_SH a údajom v T5_R56_(SC+SD) uviesť v komentári  </t>
  </si>
  <si>
    <t xml:space="preserve">      - dohody o vykonaní práce - externí účitelia (účet 521 009)</t>
  </si>
  <si>
    <t xml:space="preserve"> - Prvok 021 02 03  </t>
  </si>
  <si>
    <t xml:space="preserve"> - Podprogram 05T 08 </t>
  </si>
  <si>
    <t xml:space="preserve">- tvorba fondu z výnosov zo školného </t>
  </si>
  <si>
    <r>
      <t>Stav fondu k 31.12. kalendárneho roku</t>
    </r>
    <r>
      <rPr>
        <sz val="12"/>
        <rFont val="Times New Roman"/>
        <family val="1"/>
      </rPr>
      <t xml:space="preserve"> [R1+R2-R11]</t>
    </r>
  </si>
  <si>
    <t>Tržby za predaný tovar (účet 604)</t>
  </si>
  <si>
    <t xml:space="preserve">Ostatné sociálne poistenia (účet 525) </t>
  </si>
  <si>
    <t>C=A+B</t>
  </si>
  <si>
    <t>E=C-A</t>
  </si>
  <si>
    <t>F=D-B</t>
  </si>
  <si>
    <t>E=A+C</t>
  </si>
  <si>
    <t>F=B+D</t>
  </si>
  <si>
    <t>Náklady na štipendiá</t>
  </si>
  <si>
    <t xml:space="preserve">Ostatné sociálne náklady (účet 528)  </t>
  </si>
  <si>
    <t xml:space="preserve">  - poskytnuté jednorázovo</t>
  </si>
  <si>
    <r>
      <t>Zdroje na obstaranie a technické zhodnotenie majetku  z fondu reprodukcie</t>
    </r>
    <r>
      <rPr>
        <sz val="12"/>
        <rFont val="Times New Roman"/>
        <family val="1"/>
      </rPr>
      <t xml:space="preserve"> [R1+R2]</t>
    </r>
  </si>
  <si>
    <t>- nákup softvéru</t>
  </si>
  <si>
    <t>- študentské jedálne</t>
  </si>
  <si>
    <t>- ostatný predaný tovar</t>
  </si>
  <si>
    <t xml:space="preserve">Odborní zamestnanci </t>
  </si>
  <si>
    <t>Prevádzkoví zamestnanci okrem zamestnancov študentských domovov a jedální</t>
  </si>
  <si>
    <t>Zamestnanci študentských domovov</t>
  </si>
  <si>
    <t>Zamestnanci študentských jedální</t>
  </si>
  <si>
    <t>- na oblasť IT</t>
  </si>
  <si>
    <t>z EÚ</t>
  </si>
  <si>
    <r>
      <t>Dotácie z rozpočtov obcí a z rozpočtov vyšších územných celkov</t>
    </r>
    <r>
      <rPr>
        <sz val="12"/>
        <rFont val="Times New Roman"/>
        <family val="1"/>
      </rPr>
      <t xml:space="preserve"> [SUM(R2a:R2...)]</t>
    </r>
  </si>
  <si>
    <t>Prostriedky zo zahraničných projektov na budúce aktivity</t>
  </si>
  <si>
    <r>
      <t>Zdroje na obstaranie a technické zhodnotenie dlhodobého majetku spolu</t>
    </r>
    <r>
      <rPr>
        <sz val="12"/>
        <rFont val="Times New Roman"/>
        <family val="1"/>
      </rPr>
      <t xml:space="preserve"> [SUM(R9:R13)]</t>
    </r>
  </si>
  <si>
    <r>
      <t xml:space="preserve">- tvorba fondu z výsledku hospodárenia </t>
    </r>
    <r>
      <rPr>
        <vertAlign val="superscript"/>
        <sz val="12"/>
        <rFont val="Times New Roman"/>
        <family val="1"/>
        <charset val="238"/>
      </rPr>
      <t>1)</t>
    </r>
  </si>
  <si>
    <r>
      <t xml:space="preserve">- tvorba fondu z dotácie </t>
    </r>
    <r>
      <rPr>
        <vertAlign val="superscript"/>
        <sz val="12"/>
        <rFont val="Times New Roman"/>
        <family val="1"/>
        <charset val="238"/>
      </rPr>
      <t>2)</t>
    </r>
  </si>
  <si>
    <r>
      <t xml:space="preserve">- ostatná tvorba </t>
    </r>
    <r>
      <rPr>
        <vertAlign val="superscript"/>
        <sz val="12"/>
        <rFont val="Times New Roman"/>
        <family val="1"/>
        <charset val="238"/>
      </rPr>
      <t>2)</t>
    </r>
  </si>
  <si>
    <t>- z ubytovania študentov (účet 602 001)</t>
  </si>
  <si>
    <t>- zo stravných lístkov študentov a doktorandov (účet 602 009)</t>
  </si>
  <si>
    <t>- používanie plavárne (účet 518 019)</t>
  </si>
  <si>
    <t>- výnosy z duševného vlastníctva (účet 649 011)</t>
  </si>
  <si>
    <t>- oprava výnosov minulých účtovných období (účet 649 013)</t>
  </si>
  <si>
    <t>- použitie prostriedkov fondov (účet 649 014)</t>
  </si>
  <si>
    <t>- dobropisy minulých období (účet 649 017)</t>
  </si>
  <si>
    <t>- štipendijného fondu (účet 656 200)</t>
  </si>
  <si>
    <t>- DHM - nábytok (účet 501 012)</t>
  </si>
  <si>
    <t>- ostatná údržba a opravy (účet 511 099)</t>
  </si>
  <si>
    <t>- prenájom zariadení (účet 518 002)</t>
  </si>
  <si>
    <t>- revízie zariadení (účet 518 010)</t>
  </si>
  <si>
    <t>- čistenie verejných priestranstiev (účet 518 011)</t>
  </si>
  <si>
    <t xml:space="preserve"> - bankové poplatky (účet 549 002)</t>
  </si>
  <si>
    <t xml:space="preserve"> - úhrada výnosov z úrokov na dotačnom účte (účet 549 003)</t>
  </si>
  <si>
    <t xml:space="preserve"> - Podprogram 06K 11</t>
  </si>
  <si>
    <t>Tržby z predaja cenných papierov a podielov (účet 653)</t>
  </si>
  <si>
    <t>Výnosy z dlhodobého finančného majetku (účet 652)</t>
  </si>
  <si>
    <t>Prijaté príspevky od iných organizácií (účet 662)</t>
  </si>
  <si>
    <t>Prevádzkové dotácie (účet 691)</t>
  </si>
  <si>
    <t xml:space="preserve">   - Prvok 077 12 05</t>
  </si>
  <si>
    <t>- Podprogram 077 13</t>
  </si>
  <si>
    <t xml:space="preserve">   - Prvok 077 15 02</t>
  </si>
  <si>
    <t xml:space="preserve">   - Prvok 077 15 03</t>
  </si>
  <si>
    <t xml:space="preserve"> </t>
  </si>
  <si>
    <t>- zúčtovanie dotácie zo ŠR na DN a HM vo výške odpisov</t>
  </si>
  <si>
    <t xml:space="preserve">- náklady na tvorbu rezervného fondu (účet 556 100) </t>
  </si>
  <si>
    <t xml:space="preserve">- náklady na tvorbu štipendijného fondu (účet 556 200) </t>
  </si>
  <si>
    <r>
      <t>Tvorba fondu reprodukcie v kalendárnom roku spolu</t>
    </r>
    <r>
      <rPr>
        <sz val="12"/>
        <rFont val="Times New Roman"/>
        <family val="1"/>
      </rPr>
      <t xml:space="preserve"> [SUM(R3:R8)] </t>
    </r>
  </si>
  <si>
    <t>- zamestnanci zaradení na ostatných pracoviskách</t>
  </si>
  <si>
    <t>Zákonné sociálne poistenie (účet 524)</t>
  </si>
  <si>
    <t>Daň z nehnuteľnosti (účet 532)</t>
  </si>
  <si>
    <t>Nákup dopravných prostriedkov všetkých druhov</t>
  </si>
  <si>
    <t>Prípravná a projektová dokumentácia</t>
  </si>
  <si>
    <t>Rekonštrukcia a modernizácia strojov a zariadení</t>
  </si>
  <si>
    <t>Počet zamestnancov spolu</t>
  </si>
  <si>
    <t>D=A+C</t>
  </si>
  <si>
    <t>H=E+G</t>
  </si>
  <si>
    <t>- zamestnanci zaradení na dekanátoch</t>
  </si>
  <si>
    <t>Počet študentov poberajúcich sociálne štipendium</t>
  </si>
  <si>
    <t>- zostatok nevyčerpanej dotácie (+)/ nedoplatok dotácie (-) z predchádzajúcich rokov [R6_SB=R8_SA]</t>
  </si>
  <si>
    <t>spolufinanco-
vanie zo ŠR</t>
  </si>
  <si>
    <t xml:space="preserve">Počet študentov  poberajúcich štipendium </t>
  </si>
  <si>
    <t>Počet študentov  poberajúcich štipendium</t>
  </si>
  <si>
    <r>
      <t xml:space="preserve">Stav fondu k 1.1. kalendárneho roku </t>
    </r>
    <r>
      <rPr>
        <sz val="12"/>
        <rFont val="Times New Roman"/>
        <family val="1"/>
        <charset val="238"/>
      </rPr>
      <t>[R1_SB = R12_SA ...]</t>
    </r>
  </si>
  <si>
    <t>Čerpanie fondu k 31. 12. kalendárneho roku</t>
  </si>
  <si>
    <t>Spolu</t>
  </si>
  <si>
    <t>Dotácia / program</t>
  </si>
  <si>
    <t>Číslo riadku</t>
  </si>
  <si>
    <t>Dotácia spolu</t>
  </si>
  <si>
    <t>Stav fondu reprodukcie k 1.1.</t>
  </si>
  <si>
    <t xml:space="preserve">- účelová dotácia v danom kalendárnom roku </t>
  </si>
  <si>
    <t>Dotácie spolu</t>
  </si>
  <si>
    <t xml:space="preserve">Bežná dotácia na úlohy budúcich období </t>
  </si>
  <si>
    <t>Čerpanie z úveru</t>
  </si>
  <si>
    <t>Celkové výdavky na obstaranie a technické zhodnotenie dlhodobého majetku</t>
  </si>
  <si>
    <t>Počet zamestnancov platených z prostriedkov štátneho rozpočtu</t>
  </si>
  <si>
    <t>Počet zamestnancov platených z iných zdrojov</t>
  </si>
  <si>
    <t xml:space="preserve">Kategória zamestnancov
</t>
  </si>
  <si>
    <t>- vysokoškolskí učitelia s funkčným zaradením "docent"</t>
  </si>
  <si>
    <t>- vysokoškolskí učitelia s funkčným zaradením "odborný asistent"</t>
  </si>
  <si>
    <t>- vysokoškolskí učitelia s funkčným zaradením "asistent"</t>
  </si>
  <si>
    <t>- vysokoškolskí učitelia s funkčným zaradením "lektor"</t>
  </si>
  <si>
    <t>- zamestnanci zaradení na rektorátoch</t>
  </si>
  <si>
    <t xml:space="preserve">- rezervného fondu (účet 656 100) </t>
  </si>
  <si>
    <t xml:space="preserve">    - dohody o brigádnickej práci študentov (účet 521 011)</t>
  </si>
  <si>
    <t>4a</t>
  </si>
  <si>
    <t xml:space="preserve">Základ pre prídel do štipendijného fondu </t>
  </si>
  <si>
    <r>
      <t>Nevyčerpaná dotácia (+) / nedoplatok dotácie (-) k 31. 12. bežného roka</t>
    </r>
    <r>
      <rPr>
        <sz val="12"/>
        <rFont val="Times New Roman"/>
        <family val="1"/>
        <charset val="238"/>
      </rPr>
      <t xml:space="preserve"> [R4+R5-R1]          </t>
    </r>
    <r>
      <rPr>
        <b/>
        <sz val="12"/>
        <rFont val="Times New Roman"/>
        <family val="1"/>
        <charset val="238"/>
      </rPr>
      <t xml:space="preserve">               </t>
    </r>
  </si>
  <si>
    <r>
      <t xml:space="preserve">Výnos z dotácie zo štátneho rozpočtu na študentské jedálne spolu </t>
    </r>
    <r>
      <rPr>
        <sz val="12"/>
        <rFont val="Times New Roman"/>
        <family val="1"/>
      </rPr>
      <t>[R6+R7-R8]</t>
    </r>
  </si>
  <si>
    <r>
      <t xml:space="preserve">Tržby za vlastné výrobky (účet 601) </t>
    </r>
    <r>
      <rPr>
        <sz val="12"/>
        <rFont val="Times New Roman"/>
        <family val="1"/>
      </rPr>
      <t>[SUM(R2:R5)]</t>
    </r>
  </si>
  <si>
    <t>Zdroje na obstaranie a technické zhodnotenie dlhodobého majetku z úverov</t>
  </si>
  <si>
    <r>
      <t>Ostatné domáce príjmy s charakterom dotácie</t>
    </r>
    <r>
      <rPr>
        <sz val="12"/>
        <rFont val="Times New Roman"/>
        <family val="1"/>
      </rPr>
      <t xml:space="preserve"> [SUM(R3a:R3...)]</t>
    </r>
  </si>
  <si>
    <r>
      <t>Príjmy zo zahraničia majúce charakter dotácie</t>
    </r>
    <r>
      <rPr>
        <sz val="12"/>
        <rFont val="Times New Roman"/>
        <family val="1"/>
      </rPr>
      <t xml:space="preserve"> [SUM(R4a:R4...)]</t>
    </r>
  </si>
  <si>
    <t>- Podprogram 077 11</t>
  </si>
  <si>
    <t xml:space="preserve">   - Prvok 077 12 01</t>
  </si>
  <si>
    <t xml:space="preserve">   - Prvok 077 12 02</t>
  </si>
  <si>
    <t xml:space="preserve">   - Prvok 077 12 03</t>
  </si>
  <si>
    <t xml:space="preserve">   - Prvok 077 12 04</t>
  </si>
  <si>
    <r>
      <t xml:space="preserve">Priemerný  prepočítaný počet ubytovaných študentov </t>
    </r>
    <r>
      <rPr>
        <sz val="12"/>
        <rFont val="Times New Roman"/>
        <family val="1"/>
        <charset val="238"/>
      </rPr>
      <t>[(R2</t>
    </r>
    <r>
      <rPr>
        <sz val="12"/>
        <rFont val="Times New Roman"/>
        <family val="1"/>
        <charset val="238"/>
      </rPr>
      <t>/12]</t>
    </r>
  </si>
  <si>
    <t xml:space="preserve">Počet študentov poberajúcich sociálne štipendium </t>
  </si>
  <si>
    <t>- vysokoškolské podniky</t>
  </si>
  <si>
    <t>Výskumní pracovníci alebo umeleckí pracovníci</t>
  </si>
  <si>
    <t>15a</t>
  </si>
  <si>
    <r>
      <t>Vysokoškolskí učitelia spolu</t>
    </r>
    <r>
      <rPr>
        <sz val="12"/>
        <rFont val="Times New Roman"/>
        <family val="1"/>
      </rPr>
      <t xml:space="preserve"> [SUM(R2:</t>
    </r>
    <r>
      <rPr>
        <sz val="12"/>
        <rFont val="Times New Roman"/>
        <family val="1"/>
        <charset val="238"/>
      </rPr>
      <t>R6</t>
    </r>
    <r>
      <rPr>
        <sz val="12"/>
        <rFont val="Times New Roman"/>
        <family val="1"/>
      </rPr>
      <t>)]</t>
    </r>
  </si>
  <si>
    <r>
      <t>Administratívni zamestnanci spolu</t>
    </r>
    <r>
      <rPr>
        <sz val="12"/>
        <rFont val="Times New Roman"/>
        <family val="1"/>
      </rPr>
      <t xml:space="preserve"> [SUM(R10:R12)]                         </t>
    </r>
  </si>
  <si>
    <t>Nákup budov a stavieb</t>
  </si>
  <si>
    <t>A</t>
  </si>
  <si>
    <t>B</t>
  </si>
  <si>
    <t>C</t>
  </si>
  <si>
    <t>E</t>
  </si>
  <si>
    <t>F</t>
  </si>
  <si>
    <t>G</t>
  </si>
  <si>
    <t>H</t>
  </si>
  <si>
    <t>I</t>
  </si>
  <si>
    <t>D</t>
  </si>
  <si>
    <t>Bankový účet</t>
  </si>
  <si>
    <t xml:space="preserve">Ostatné dane a poplatky (účet 538) </t>
  </si>
  <si>
    <t>Realizácia stavieb a ich technického zhodnotenia</t>
  </si>
  <si>
    <t>- ostatné tržby za vlastné výrobky</t>
  </si>
  <si>
    <t>- študentské domovy</t>
  </si>
  <si>
    <t>z toho:</t>
  </si>
  <si>
    <t>Bežné dotácie</t>
  </si>
  <si>
    <t>Kapitálové dotácie</t>
  </si>
  <si>
    <r>
      <t>Spolu</t>
    </r>
    <r>
      <rPr>
        <sz val="12"/>
        <rFont val="Times New Roman"/>
        <family val="1"/>
      </rPr>
      <t xml:space="preserve"> [R1+R2+R3+R4]</t>
    </r>
  </si>
  <si>
    <t>Objem zdrojov</t>
  </si>
  <si>
    <t xml:space="preserve">Nákup ostatného dlhodobého majetku </t>
  </si>
  <si>
    <t>Ostatné fondy</t>
  </si>
  <si>
    <t>X</t>
  </si>
  <si>
    <t>- tvorba fondu z odpisov</t>
  </si>
  <si>
    <t>- tvorba fondu prevodom z rezervného fondu</t>
  </si>
  <si>
    <t>- tvorba fondu z darov a z dedičstva</t>
  </si>
  <si>
    <t>1a</t>
  </si>
  <si>
    <t>2a</t>
  </si>
  <si>
    <t>3a</t>
  </si>
  <si>
    <r>
      <t>Zamestnanci osobitne financovaných súčastí verejnej vysokej školy (špecifiká) z R1, R7, R9, R13, R14  spolu</t>
    </r>
    <r>
      <rPr>
        <sz val="12"/>
        <rFont val="Times New Roman"/>
        <family val="1"/>
      </rPr>
      <t xml:space="preserve"> [SUM(R15a:R15...)]                                                </t>
    </r>
  </si>
  <si>
    <r>
      <t xml:space="preserve">Spolu </t>
    </r>
    <r>
      <rPr>
        <sz val="12"/>
        <rFont val="Times New Roman"/>
        <family val="1"/>
      </rPr>
      <t>[R1+R7+R9+R13+R14+R16+R17]</t>
    </r>
  </si>
  <si>
    <t>Tržby z predaja materiálu (účet 654)</t>
  </si>
  <si>
    <t>Spotreba ostatných neskladovateľných dodávok (účet 503)</t>
  </si>
  <si>
    <t>Náklady na reprezentáciu (účet 513)</t>
  </si>
  <si>
    <t>Fondy spolu</t>
  </si>
  <si>
    <t>Položka</t>
  </si>
  <si>
    <t>Hlavná činnosť</t>
  </si>
  <si>
    <t>Podnikateľská činnosť</t>
  </si>
  <si>
    <t>Rezervný fond</t>
  </si>
  <si>
    <t>Fond reprodukcie</t>
  </si>
  <si>
    <t>Štipendijný fond</t>
  </si>
  <si>
    <t>Návrh na prídel do štipendijného fondu</t>
  </si>
  <si>
    <r>
      <t>Počet ubytovaných študentov (vrátane interných doktorandov)</t>
    </r>
    <r>
      <rPr>
        <b/>
        <vertAlign val="superscript"/>
        <sz val="14"/>
        <rFont val="Times New Roman"/>
        <family val="1"/>
        <charset val="238"/>
      </rPr>
      <t>2)</t>
    </r>
    <r>
      <rPr>
        <b/>
        <sz val="14"/>
        <rFont val="Times New Roman"/>
        <family val="1"/>
        <charset val="238"/>
      </rPr>
      <t xml:space="preserve"> </t>
    </r>
    <r>
      <rPr>
        <b/>
        <sz val="12"/>
        <rFont val="Times New Roman"/>
        <family val="1"/>
      </rPr>
      <t xml:space="preserve"> v osobomesiacoch</t>
    </r>
  </si>
  <si>
    <t>Tržby z predaja dlhodobého NM a HM (účet 651)</t>
  </si>
  <si>
    <t>Výnosy z precenenia cenných papierov (účet 657)</t>
  </si>
  <si>
    <t>Počty ubytovaných</t>
  </si>
  <si>
    <t>Ostatné výnosy zo študentských domovov</t>
  </si>
  <si>
    <t>Výnosy z poplatkov za ubytovanie od študentov počas výučbového obdobia (10 mesiacov)</t>
  </si>
  <si>
    <t>- tržby za stravné lístky študentov</t>
  </si>
  <si>
    <t>- ostatné tržby súvisiace so stravovaním študentov</t>
  </si>
  <si>
    <r>
      <t>Tržby jedální súvisiace so stravovaním študentov v kalendárnom roku spolu</t>
    </r>
    <r>
      <rPr>
        <sz val="12"/>
        <rFont val="Times New Roman"/>
        <family val="1"/>
      </rPr>
      <t xml:space="preserve"> [R3+R4]</t>
    </r>
  </si>
  <si>
    <r>
      <t>Dotácia na uskutočňovanie akreditovaných študijných programov</t>
    </r>
    <r>
      <rPr>
        <sz val="12"/>
        <rFont val="Times New Roman"/>
        <family val="1"/>
      </rPr>
      <t xml:space="preserve"> [R2]</t>
    </r>
  </si>
  <si>
    <r>
      <t>Dotácia na výskumnú, vývojovú alebo umeleckú činnosť</t>
    </r>
    <r>
      <rPr>
        <sz val="12"/>
        <rFont val="Times New Roman"/>
        <family val="1"/>
      </rPr>
      <t xml:space="preserve"> [R4+R5+R6+R7+R8]</t>
    </r>
  </si>
  <si>
    <r>
      <t>Dotácia na rozvoj vysokej školy</t>
    </r>
    <r>
      <rPr>
        <sz val="12"/>
        <rFont val="Times New Roman"/>
        <family val="1"/>
      </rPr>
      <t xml:space="preserve"> [R10]</t>
    </r>
  </si>
  <si>
    <r>
      <t>Dotácia na sociálnu podporu študentov</t>
    </r>
    <r>
      <rPr>
        <sz val="12"/>
        <rFont val="Times New Roman"/>
        <family val="1"/>
      </rPr>
      <t xml:space="preserve"> [R12+R13+R14]</t>
    </r>
  </si>
  <si>
    <r>
      <t>Spolu</t>
    </r>
    <r>
      <rPr>
        <sz val="12"/>
        <rFont val="Times New Roman"/>
        <family val="1"/>
      </rPr>
      <t xml:space="preserve"> [R1+R3+R9+R11]</t>
    </r>
  </si>
  <si>
    <t>nadrezortná veda a technika</t>
  </si>
  <si>
    <t>Výnosy z poplatkov za ubytovanie od študentov počas hlavných prázdnin (od interných doktorandov) a počty ubytovaných študentov</t>
  </si>
  <si>
    <r>
      <t xml:space="preserve">Výnosy zo študentských domovov v kalendárnom roku spolu </t>
    </r>
    <r>
      <rPr>
        <sz val="12"/>
        <rFont val="Times New Roman"/>
        <family val="1"/>
      </rPr>
      <t>[SUM(R4:R7)]</t>
    </r>
  </si>
  <si>
    <r>
      <t xml:space="preserve">Rozdiel výnosov a nákladov na študentské domovy v kalendárnom roku  </t>
    </r>
    <r>
      <rPr>
        <sz val="12"/>
        <rFont val="Times New Roman"/>
        <family val="1"/>
      </rPr>
      <t>[R8-R9]</t>
    </r>
  </si>
  <si>
    <r>
      <t xml:space="preserve">Priemerné ročné náklady na jedného ubytovaného študenta </t>
    </r>
    <r>
      <rPr>
        <sz val="12"/>
        <rFont val="Times New Roman"/>
        <family val="1"/>
        <charset val="238"/>
      </rPr>
      <t>[R9/R3]</t>
    </r>
  </si>
  <si>
    <t xml:space="preserve">Daň z motorových vozidiel (účet 531) </t>
  </si>
  <si>
    <t>Nákup pozemkov a nehmotných aktív</t>
  </si>
  <si>
    <t xml:space="preserve">                                                                                                                                                                                                                                                                                                                                                                                                                                                                                                                                                                                                                                                                                                                                                                                                                                                                                                                                                                                                                                                                                                                                                                                                                                                                                                                                                                                                                                                                                                                                                                                                                                                                                                                                                                                                                                                                                                                                                                                                                                                                                                                                                                                                                                                                                                                                                                                                                                                                                                                                                                                                                                                                                                                                                                                                                                                                                                                                                                                                                                                                                                                                                                                                                                                                                                                                                                                                                                                                                                                                                                                                                                                                                                                                                                                                                                                                                                                                                                                                                                                                                                                                                                                                                                                                                                                                                                                                                                                                                                                                                                                          </t>
  </si>
  <si>
    <t xml:space="preserve">  </t>
  </si>
  <si>
    <t>- tvorba fondu prevodom z rezervného fondu (účet  413 114)</t>
  </si>
  <si>
    <t>- tvorba fondu z darov a z dedičstva (účet 413 112)</t>
  </si>
  <si>
    <r>
      <t xml:space="preserve">- ostatná tvorba (účet 413 113) </t>
    </r>
    <r>
      <rPr>
        <vertAlign val="superscript"/>
        <sz val="12"/>
        <rFont val="Times New Roman"/>
        <family val="1"/>
        <charset val="238"/>
      </rPr>
      <t xml:space="preserve">2) </t>
    </r>
  </si>
  <si>
    <t>1b</t>
  </si>
  <si>
    <t>2b</t>
  </si>
  <si>
    <t>3b</t>
  </si>
  <si>
    <t>4b</t>
  </si>
  <si>
    <t>15b</t>
  </si>
  <si>
    <t>15c</t>
  </si>
  <si>
    <t>15d</t>
  </si>
  <si>
    <t xml:space="preserve">Názov verejnej vysokej školy: </t>
  </si>
  <si>
    <t>Priemerný mesačný náklad na doktoranda</t>
  </si>
  <si>
    <t xml:space="preserve"> - Podprogram 06K 12            </t>
  </si>
  <si>
    <t>8a</t>
  </si>
  <si>
    <r>
      <t xml:space="preserve">Program 06K </t>
    </r>
    <r>
      <rPr>
        <sz val="12"/>
        <rFont val="Times New Roman"/>
        <family val="1"/>
        <charset val="238"/>
      </rPr>
      <t>[SUM(R2+R3+R4+R5)]</t>
    </r>
  </si>
  <si>
    <t>Ostatné dotácie [SUM(R8a..R8x)]</t>
  </si>
  <si>
    <t>Účet</t>
  </si>
  <si>
    <t>Polož. výkaz. NUJ</t>
  </si>
  <si>
    <t>Čislo riadku</t>
  </si>
  <si>
    <t>A. NEOBEŽNÝ MAJETOK SPOLU r.002+r.009+r.021</t>
  </si>
  <si>
    <t>001</t>
  </si>
  <si>
    <t>1. Dlhodobý nehmotný majetok r.003 až r.008</t>
  </si>
  <si>
    <t>002</t>
  </si>
  <si>
    <t>Nehmotné výsledky z vývojovej a obdob.činnosti 012-(072+091A</t>
  </si>
  <si>
    <t>003</t>
  </si>
  <si>
    <t>Softvér 013-(073+091AÚ)</t>
  </si>
  <si>
    <t>004</t>
  </si>
  <si>
    <t>005</t>
  </si>
  <si>
    <t>Ostatný.dlhodob.nehmot.majetok(018+019)-(078+079+091AÚ)</t>
  </si>
  <si>
    <t>006</t>
  </si>
  <si>
    <t>Obstaranie dlhodobého nehmotného majetku (041-093)</t>
  </si>
  <si>
    <t>007</t>
  </si>
  <si>
    <t>Poskytnut.preddavky na dlhodob.nehmot.majetok (051-095AÚ)</t>
  </si>
  <si>
    <t>008</t>
  </si>
  <si>
    <t>2. Dlhodobý hmotný majetok (r. 010 až r. 020)</t>
  </si>
  <si>
    <t>009</t>
  </si>
  <si>
    <t>Pozemky (031)</t>
  </si>
  <si>
    <t>010</t>
  </si>
  <si>
    <t>Umelecké diela a zbierky (032)</t>
  </si>
  <si>
    <t>011</t>
  </si>
  <si>
    <t>Stavby 021-(081-092AÚ)</t>
  </si>
  <si>
    <t>012</t>
  </si>
  <si>
    <t>Samostatné hnuteľné veci a súbory hnuteľných vecí (022 - (08</t>
  </si>
  <si>
    <t>013</t>
  </si>
  <si>
    <t>Dopravné prostriedky (023 - (083+092AÚ))</t>
  </si>
  <si>
    <t>014</t>
  </si>
  <si>
    <t>Pestovateľské celky trvalých porastov (025 - (085 + 092AÚ))</t>
  </si>
  <si>
    <t>015</t>
  </si>
  <si>
    <t>Základné stádo a ťažné zvieratá (026 - (086 + 092AÚ))</t>
  </si>
  <si>
    <t>016</t>
  </si>
  <si>
    <t>Drobný dlhodobý hmotný majetok (028 - (088 + 092AÚ))</t>
  </si>
  <si>
    <t>017</t>
  </si>
  <si>
    <t>Ostatný dlhodobý hmotný majetok (029 - (089 +092AÚ))</t>
  </si>
  <si>
    <t>018</t>
  </si>
  <si>
    <t>Obstaranie dlhodobého hmotného majetku (042 - 094)</t>
  </si>
  <si>
    <t>019</t>
  </si>
  <si>
    <t>Poskytnuté preddavky na dlhodob.hmot.majetok (052-095AÚ)</t>
  </si>
  <si>
    <t>020</t>
  </si>
  <si>
    <t>3. Dlhodobý finančný majetok r.022 až r.028</t>
  </si>
  <si>
    <t>021</t>
  </si>
  <si>
    <t>Podiel.cen.papier.a podiely v obchod.spol.v ovládan.osobe (0</t>
  </si>
  <si>
    <t>022</t>
  </si>
  <si>
    <t>Podiel.cen.papiere a podiely v obchod.spol.s podstat.vplyvom</t>
  </si>
  <si>
    <t>023</t>
  </si>
  <si>
    <t>Dlhové cenné papiere držané do splatnosti (065 - 096 AÚ)</t>
  </si>
  <si>
    <t>024</t>
  </si>
  <si>
    <t>Pôžičky podnikom v skup.a ostat.pôžičky (066+067)-096AÚ</t>
  </si>
  <si>
    <t>025</t>
  </si>
  <si>
    <t>Ostatný dlhodobý finančný majetok (069-096AÚ)</t>
  </si>
  <si>
    <t>026</t>
  </si>
  <si>
    <t>Obstaranie dlhodobého finančného majetku (043 - 096AÚ)</t>
  </si>
  <si>
    <t>027</t>
  </si>
  <si>
    <t>Poskytnuté preddavky na dlhodobý finančný majetok (053 - 096</t>
  </si>
  <si>
    <t>028</t>
  </si>
  <si>
    <t>B. OBEŽNÝ MAJETOK SPOLU r.030+r.037+r.042+r.051</t>
  </si>
  <si>
    <t>029</t>
  </si>
  <si>
    <t>1. Zásoby r.031 až r.036</t>
  </si>
  <si>
    <t>030</t>
  </si>
  <si>
    <t>Materiál (112+119) -191</t>
  </si>
  <si>
    <t>031</t>
  </si>
  <si>
    <t>Nedokonč.výroba a polotovary vlast.výroby (121+122)-(192+193</t>
  </si>
  <si>
    <t>032</t>
  </si>
  <si>
    <t>Výrobky (123-194)</t>
  </si>
  <si>
    <t>033</t>
  </si>
  <si>
    <t>Zvieratá (124-195)</t>
  </si>
  <si>
    <t>034</t>
  </si>
  <si>
    <t>Tovar (132+139)-196</t>
  </si>
  <si>
    <t>035</t>
  </si>
  <si>
    <t>Poskytnuté prevádzkové preddavky na zásoby (314AÚ-391AÚ)</t>
  </si>
  <si>
    <t>036</t>
  </si>
  <si>
    <t>2. Dlhodobé pohľadávky (r.038 až 041)</t>
  </si>
  <si>
    <t>037</t>
  </si>
  <si>
    <t>Pohľadávky z obchod.styku (311AÚ až 314AÚ) - 391AÚ</t>
  </si>
  <si>
    <t>038</t>
  </si>
  <si>
    <t>Ostatné pohľadávky (315AÚ - 391AÚ)</t>
  </si>
  <si>
    <t>039</t>
  </si>
  <si>
    <t>Pohľadávky voči účastníkom združení (358AÚ - 391AÚ)</t>
  </si>
  <si>
    <t>040</t>
  </si>
  <si>
    <t>Iné pohľadávky (335AÚ+373AÚ+375AÚ+378AÚ) -391AÚ</t>
  </si>
  <si>
    <t>041</t>
  </si>
  <si>
    <t>3. Krátkodobé pohľadávky r.043 až r.050</t>
  </si>
  <si>
    <t>042</t>
  </si>
  <si>
    <t>Pohľadávky z obchodného styku (311AÚ až 314AÚ) - 391AÚ</t>
  </si>
  <si>
    <t>043</t>
  </si>
  <si>
    <t>044</t>
  </si>
  <si>
    <t>Zúčtovanie zo Sociálnou poisť. a zdravot.poisťovňami (336)</t>
  </si>
  <si>
    <t>045</t>
  </si>
  <si>
    <t>Daňové pohľadávky (341 až 345)</t>
  </si>
  <si>
    <t>046</t>
  </si>
  <si>
    <t>Pohľ.z dôvodu fin.vzťahov k ŠR a rozpočtom úz.správ (346+348</t>
  </si>
  <si>
    <t>047</t>
  </si>
  <si>
    <t>048</t>
  </si>
  <si>
    <t>Spojovací účet pri združení (396-391AÚ)</t>
  </si>
  <si>
    <t>049</t>
  </si>
  <si>
    <t>050</t>
  </si>
  <si>
    <t>4. Finančné účty r.052 až 056</t>
  </si>
  <si>
    <t>051</t>
  </si>
  <si>
    <t>Pokladnica (211+213)</t>
  </si>
  <si>
    <t>052</t>
  </si>
  <si>
    <t>Bankové účty (221AÚ+261)</t>
  </si>
  <si>
    <t>053</t>
  </si>
  <si>
    <t>Bankové účty s dobou viazanosti dlhšou ako jeden rok (221AÚ)</t>
  </si>
  <si>
    <t>054</t>
  </si>
  <si>
    <t>Krátkodobý finančný majetok (251+253+255+256+257)-291AÚ</t>
  </si>
  <si>
    <t>055</t>
  </si>
  <si>
    <t>Obstaranie krátkodobého finančného majetku (259 -291AÚ)</t>
  </si>
  <si>
    <t>056</t>
  </si>
  <si>
    <t>C. ČASOVÉ ROZLÍŠENIE SPOLU r.058 a r.059</t>
  </si>
  <si>
    <t>057</t>
  </si>
  <si>
    <t>1. Náklady budúcich období (381)</t>
  </si>
  <si>
    <t>058</t>
  </si>
  <si>
    <t>Príjmy budúcich období (385)</t>
  </si>
  <si>
    <t>059</t>
  </si>
  <si>
    <t>MAJETOK SPOLU r.001 + r.029 + r.057</t>
  </si>
  <si>
    <t>060</t>
  </si>
  <si>
    <t>Celkový výsledok</t>
  </si>
  <si>
    <t>Korekcia</t>
  </si>
  <si>
    <t>Netto</t>
  </si>
  <si>
    <t>Predch. účt. obdobie</t>
  </si>
  <si>
    <t>Tabuľka č. 24: Súvaha - Strana aktív</t>
  </si>
  <si>
    <t xml:space="preserve">   Oceniteľné práva 014-(074+091AÚ)</t>
  </si>
  <si>
    <t xml:space="preserve"> Brutto
(v Eur)</t>
  </si>
  <si>
    <t>Číslo účtu</t>
  </si>
  <si>
    <t>Spotreba materiálu</t>
  </si>
  <si>
    <t>01</t>
  </si>
  <si>
    <t>Spotreba energie</t>
  </si>
  <si>
    <t>02</t>
  </si>
  <si>
    <t>Predaný tovar</t>
  </si>
  <si>
    <t>03</t>
  </si>
  <si>
    <t>Opravy a udržiavanie</t>
  </si>
  <si>
    <t>04</t>
  </si>
  <si>
    <t>Cestovné</t>
  </si>
  <si>
    <t>05</t>
  </si>
  <si>
    <t>Náklady na reprezentáciu</t>
  </si>
  <si>
    <t>06</t>
  </si>
  <si>
    <t>Ostatné služby</t>
  </si>
  <si>
    <t>07</t>
  </si>
  <si>
    <t>Mzdové náklady</t>
  </si>
  <si>
    <t>08</t>
  </si>
  <si>
    <t>09</t>
  </si>
  <si>
    <t>Ostatné sociálne poistenie</t>
  </si>
  <si>
    <t>10</t>
  </si>
  <si>
    <t>Zákonné sociálne náklady</t>
  </si>
  <si>
    <t>11</t>
  </si>
  <si>
    <t>Ostatné sociálne náklady</t>
  </si>
  <si>
    <t>12</t>
  </si>
  <si>
    <t>Daň z motorových vozidiel</t>
  </si>
  <si>
    <t>13</t>
  </si>
  <si>
    <t>Daň z nehnuteľností</t>
  </si>
  <si>
    <t>14</t>
  </si>
  <si>
    <t>Ostatné dane a poplatky</t>
  </si>
  <si>
    <t>15</t>
  </si>
  <si>
    <t>Zmluvné pokuty a penále</t>
  </si>
  <si>
    <t>16</t>
  </si>
  <si>
    <t>Ostatné pokuty a penále</t>
  </si>
  <si>
    <t>17</t>
  </si>
  <si>
    <t>Odpísanie pohľadávky</t>
  </si>
  <si>
    <t>18</t>
  </si>
  <si>
    <t>Úroky</t>
  </si>
  <si>
    <t>19</t>
  </si>
  <si>
    <t>Kurzové straty</t>
  </si>
  <si>
    <t>20</t>
  </si>
  <si>
    <t>Dary</t>
  </si>
  <si>
    <t>21</t>
  </si>
  <si>
    <t>Osobitné náklady</t>
  </si>
  <si>
    <t>22</t>
  </si>
  <si>
    <t>Manká a škody</t>
  </si>
  <si>
    <t>23</t>
  </si>
  <si>
    <t>Iné ostatné náklady</t>
  </si>
  <si>
    <t>24</t>
  </si>
  <si>
    <t>Odpisy DNM a DHM</t>
  </si>
  <si>
    <t>25</t>
  </si>
  <si>
    <t>26</t>
  </si>
  <si>
    <t>Predané cenné papiere</t>
  </si>
  <si>
    <t>27</t>
  </si>
  <si>
    <t>Predaný materiál</t>
  </si>
  <si>
    <t>28</t>
  </si>
  <si>
    <t>29</t>
  </si>
  <si>
    <t>Tvorba fondov</t>
  </si>
  <si>
    <t>30</t>
  </si>
  <si>
    <t xml:space="preserve">Náklady na precenenie cen.pap. </t>
  </si>
  <si>
    <t>31</t>
  </si>
  <si>
    <t>32</t>
  </si>
  <si>
    <t>33</t>
  </si>
  <si>
    <t>34</t>
  </si>
  <si>
    <t>35</t>
  </si>
  <si>
    <t>36</t>
  </si>
  <si>
    <t>Poskyt. príspevky z verejnej zbierky</t>
  </si>
  <si>
    <t>37</t>
  </si>
  <si>
    <t>38</t>
  </si>
  <si>
    <t>Tržby za vlastné výrobky</t>
  </si>
  <si>
    <t>39</t>
  </si>
  <si>
    <t>Tržby z predaja služieb</t>
  </si>
  <si>
    <t>40</t>
  </si>
  <si>
    <t>Tržby za predaný tovar</t>
  </si>
  <si>
    <t>41</t>
  </si>
  <si>
    <t>42</t>
  </si>
  <si>
    <t>Zmena stavu zásob polotovarov</t>
  </si>
  <si>
    <t>43</t>
  </si>
  <si>
    <t>Zmena stavu zásob výrobkov</t>
  </si>
  <si>
    <t>44</t>
  </si>
  <si>
    <t>Zmena stavu zásob zvierat</t>
  </si>
  <si>
    <t>45</t>
  </si>
  <si>
    <t>Aktivácia materiálu a tovaru</t>
  </si>
  <si>
    <t>46</t>
  </si>
  <si>
    <t>Aktivácia vnútroorganizačných služieb</t>
  </si>
  <si>
    <t>47</t>
  </si>
  <si>
    <t>48</t>
  </si>
  <si>
    <t>49</t>
  </si>
  <si>
    <t>50</t>
  </si>
  <si>
    <t>51</t>
  </si>
  <si>
    <t>Platby za odpísané pohľadávky</t>
  </si>
  <si>
    <t>52</t>
  </si>
  <si>
    <t>53</t>
  </si>
  <si>
    <t>Kurzové zisky</t>
  </si>
  <si>
    <t>54</t>
  </si>
  <si>
    <t>Prijaté dary</t>
  </si>
  <si>
    <t>55</t>
  </si>
  <si>
    <t>Osobitné výnosy</t>
  </si>
  <si>
    <t>56</t>
  </si>
  <si>
    <t>57</t>
  </si>
  <si>
    <t>Iné ostatné výnosy</t>
  </si>
  <si>
    <t>58</t>
  </si>
  <si>
    <t>59</t>
  </si>
  <si>
    <t>60</t>
  </si>
  <si>
    <t>Tržby z predaja cenných papierov a pod.</t>
  </si>
  <si>
    <t>61</t>
  </si>
  <si>
    <t>Tržby z predaja materiálu</t>
  </si>
  <si>
    <t>62</t>
  </si>
  <si>
    <t>63</t>
  </si>
  <si>
    <t>Výnosy z použitia fondu</t>
  </si>
  <si>
    <t>64</t>
  </si>
  <si>
    <t>Výnosy z precenenia cenných papierov</t>
  </si>
  <si>
    <t>65</t>
  </si>
  <si>
    <t>Výnosy z nájmu majetku</t>
  </si>
  <si>
    <t>66</t>
  </si>
  <si>
    <t>Prijaté príspevky od organizačných zložiek</t>
  </si>
  <si>
    <t>67</t>
  </si>
  <si>
    <t>68</t>
  </si>
  <si>
    <t>Prijaté príspevky od fyzických osôb</t>
  </si>
  <si>
    <t>69</t>
  </si>
  <si>
    <t>Prijaté členské príspevky</t>
  </si>
  <si>
    <t>70</t>
  </si>
  <si>
    <t>Príspevky z podielu zaplatenej dane</t>
  </si>
  <si>
    <t>71</t>
  </si>
  <si>
    <t>Prijaté príspevky z verejných zbierok</t>
  </si>
  <si>
    <t>72</t>
  </si>
  <si>
    <t>Dotácie</t>
  </si>
  <si>
    <t>73</t>
  </si>
  <si>
    <t>Účtová trieda 6 spolu r.39 až r. 73</t>
  </si>
  <si>
    <t>74</t>
  </si>
  <si>
    <t>Výsledok hospodárenia pred zdanením r.74-r.38</t>
  </si>
  <si>
    <t>75</t>
  </si>
  <si>
    <t>Daň z príjmov</t>
  </si>
  <si>
    <t>76</t>
  </si>
  <si>
    <t>Dodatočné odvody dane z príjmov</t>
  </si>
  <si>
    <t>77</t>
  </si>
  <si>
    <t xml:space="preserve">Výsledok hospod.  po zdanení r. 75-(r.76 + r.77) </t>
  </si>
  <si>
    <t>78</t>
  </si>
  <si>
    <r>
      <t>Spolu</t>
    </r>
    <r>
      <rPr>
        <sz val="12"/>
        <rFont val="Times New Roman"/>
        <family val="1"/>
      </rPr>
      <t xml:space="preserve"> [R1+R6+R7+R8]</t>
    </r>
  </si>
  <si>
    <t>Zamestnanci platení z dotácie MŠVVaŠ SR</t>
  </si>
  <si>
    <t>86a</t>
  </si>
  <si>
    <t>Projektovaná lôžková kapacita študentského domova k 31. 12. kalendárneho roka (v počte miest)</t>
  </si>
  <si>
    <t>F = A+B+C+D+E</t>
  </si>
  <si>
    <t>J</t>
  </si>
  <si>
    <t>K</t>
  </si>
  <si>
    <t>10a</t>
  </si>
  <si>
    <t>G=A+B+C+D+E+F</t>
  </si>
  <si>
    <t>Poskytnuté príspevky z podielu zaplatenej dane</t>
  </si>
  <si>
    <t>Zost. cena predaného DNM a DHM</t>
  </si>
  <si>
    <t xml:space="preserve">zabezpečenie mobilít v súlade s medzinárodnými zmluvami </t>
  </si>
  <si>
    <t>Peniaze na ceste (účet 261)</t>
  </si>
  <si>
    <t xml:space="preserve">- prvýkrát sa započítavajú do evidenčného počtu zamestnancov vo fyzických osobách s plným týždenným pracovným časom, ktorý sa rovná ich prepočítanému počtu, a to pracovným úväzkom v hlavnom zamestnaní; </t>
  </si>
  <si>
    <t xml:space="preserve">- druhýkrát sa započítavajú do evidenčného počtu zamestnancov prepočítaného, a to svojím pracovným úväzkom v ďalšom pracovnom pomere. </t>
  </si>
  <si>
    <t xml:space="preserve">Do evidenčného počtu zamestnancov prepočítaného sa títo zamestnanci započítavajú dvakrát na rozdiel od evidenčného počtu zamestnancov vo fyzických osobách, v ktorom sú započítaní iba raz. </t>
  </si>
  <si>
    <t>T21_R1_SB + T11_R10a_SB - T5_R86a_SC = T21_R1_SH</t>
  </si>
  <si>
    <t>Náklady na mzdy  poskytované z prostriedkov štátneho rozpočtu   (v Eur)</t>
  </si>
  <si>
    <t>Náklady na mzdy poskytované z dotácie MŠVVaŠ SR  (v Eur)</t>
  </si>
  <si>
    <t>Náklady na mzdy poskytované z iných zdrojov 
 (v Eur)</t>
  </si>
  <si>
    <t>Náklady na mzdy spolu
 (v Eur)</t>
  </si>
  <si>
    <t>Finančné prostriedky  
 (v Eur)</t>
  </si>
  <si>
    <r>
      <t>Tvorba fondu v kalendárnom roku spolu</t>
    </r>
    <r>
      <rPr>
        <sz val="12"/>
        <color indexed="8"/>
        <rFont val="Times New Roman"/>
        <family val="1"/>
      </rPr>
      <t xml:space="preserve"> SUM(R3:R10) </t>
    </r>
  </si>
  <si>
    <t>- prenos zostatku dotácie do nasledujúceho kalendárneho roku [R6+R7-R15]</t>
  </si>
  <si>
    <t>Náklady na činnosť študentských jedální súvisiace so stravovaním študentov za kalendárny rok</t>
  </si>
  <si>
    <r>
      <t xml:space="preserve">Rozdiel výnosov a nákladov študentských jedální súvisiacich so stravovaním študentov  </t>
    </r>
    <r>
      <rPr>
        <sz val="12"/>
        <rFont val="Times New Roman"/>
        <family val="1"/>
        <charset val="238"/>
      </rPr>
      <t>[R1-R9]</t>
    </r>
  </si>
  <si>
    <r>
      <t xml:space="preserve">Nárok na príspevok zo štátneho rozpočtu na jedlá podľa metodiky </t>
    </r>
    <r>
      <rPr>
        <sz val="12"/>
        <rFont val="Times New Roman"/>
        <family val="1"/>
      </rPr>
      <t xml:space="preserve">                                     </t>
    </r>
  </si>
  <si>
    <t>Fond na podporu štúdia študentov so špecifickými potrebami</t>
  </si>
  <si>
    <t>Účtová trieda 5 spolu r.01 až r.37</t>
  </si>
  <si>
    <t>Zvyšok prijatej kapitálovej dotácie zo štátneho rozpočtu používanej na kompenzáciu odpisov majetku z nej obstaraného</t>
  </si>
  <si>
    <r>
      <t xml:space="preserve">Zvyšok prijatej kapitálovej dotácie </t>
    </r>
    <r>
      <rPr>
        <b/>
        <sz val="10"/>
        <color indexed="8"/>
        <rFont val="Times New Roman"/>
        <family val="1"/>
        <charset val="238"/>
      </rPr>
      <t>z prostriedkov EÚ (štrukturálnych fondov)</t>
    </r>
    <r>
      <rPr>
        <b/>
        <sz val="12"/>
        <color indexed="8"/>
        <rFont val="Times New Roman"/>
        <family val="1"/>
        <charset val="238"/>
      </rPr>
      <t xml:space="preserve"> používanej na kompenzáciu odpisov majetku z nej obstaraného</t>
    </r>
  </si>
  <si>
    <t xml:space="preserve">Náklady / Výnosy </t>
  </si>
  <si>
    <r>
      <t>Nevyčerpaná dotácia (+) / nedoplatok dotácie (-) na motivačné štipendiá</t>
    </r>
    <r>
      <rPr>
        <b/>
        <sz val="12"/>
        <rFont val="Times New Roman"/>
        <family val="1"/>
        <charset val="238"/>
      </rPr>
      <t xml:space="preserve"> k 31. 12. predchádzajúceho kalendárneho roka</t>
    </r>
    <r>
      <rPr>
        <sz val="12"/>
        <rFont val="Times New Roman"/>
        <family val="1"/>
        <charset val="238"/>
      </rPr>
      <t xml:space="preserve">     </t>
    </r>
    <r>
      <rPr>
        <b/>
        <sz val="12"/>
        <rFont val="Times New Roman"/>
        <family val="1"/>
        <charset val="238"/>
      </rPr>
      <t xml:space="preserve">     </t>
    </r>
  </si>
  <si>
    <r>
      <t>Výdavky na motivačné štipendiá</t>
    </r>
    <r>
      <rPr>
        <sz val="12"/>
        <rFont val="Times New Roman"/>
        <family val="1"/>
        <charset val="238"/>
      </rPr>
      <t xml:space="preserve"> </t>
    </r>
    <r>
      <rPr>
        <b/>
        <sz val="12"/>
        <rFont val="Times New Roman"/>
        <family val="1"/>
        <charset val="238"/>
      </rPr>
      <t xml:space="preserve">v kalendárnom roku </t>
    </r>
    <r>
      <rPr>
        <b/>
        <vertAlign val="superscript"/>
        <sz val="12"/>
        <rFont val="Times New Roman"/>
        <family val="1"/>
        <charset val="238"/>
      </rPr>
      <t/>
    </r>
  </si>
  <si>
    <t>x</t>
  </si>
  <si>
    <t>Náklady spolu</t>
  </si>
  <si>
    <r>
      <t>Zostatok kapitálovej dotácie z predchádzajúceho roku</t>
    </r>
    <r>
      <rPr>
        <b/>
        <sz val="10"/>
        <rFont val="Times New Roman"/>
        <family val="1"/>
        <charset val="238"/>
      </rPr>
      <t xml:space="preserve"> </t>
    </r>
    <r>
      <rPr>
        <b/>
        <sz val="12"/>
        <rFont val="Times New Roman"/>
        <family val="1"/>
        <charset val="238"/>
      </rPr>
      <t>(z dotácií na R10 a R10a)</t>
    </r>
  </si>
  <si>
    <r>
      <t>Iné zdroje na obstaranie a technické zhodnotenie dlhodobého majetku</t>
    </r>
    <r>
      <rPr>
        <b/>
        <sz val="12"/>
        <rFont val="Times New Roman"/>
        <family val="1"/>
        <charset val="238"/>
      </rPr>
      <t xml:space="preserve"> (v danom roku vrátane zostatkov na týchto zdrojoch)</t>
    </r>
  </si>
  <si>
    <t>Pozn.</t>
  </si>
  <si>
    <r>
      <t>Tržby z predaja služieb (účet 602)</t>
    </r>
    <r>
      <rPr>
        <sz val="12"/>
        <color indexed="8"/>
        <rFont val="Times New Roman"/>
        <family val="1"/>
      </rPr>
      <t xml:space="preserve"> [SUM(R7:R10)] </t>
    </r>
  </si>
  <si>
    <r>
      <t>Úroky (účet 644)</t>
    </r>
    <r>
      <rPr>
        <sz val="12"/>
        <color indexed="8"/>
        <rFont val="Times New Roman"/>
        <family val="1"/>
      </rPr>
      <t xml:space="preserve"> [R17+R18]</t>
    </r>
  </si>
  <si>
    <t>Priemerné platy</t>
  </si>
  <si>
    <t>I=H/D/12</t>
  </si>
  <si>
    <t>*) medzi profesorov sa započítava aj funkčné zaradenie "hosťujúci profesor"</t>
  </si>
  <si>
    <t>T21_R1_SA + T11_R10_SB -T5_R85_SC = T21_R1_SG</t>
  </si>
  <si>
    <r>
      <t xml:space="preserve">Krytie fondu finančnými prostriedkami na osobitnom bankovom účte </t>
    </r>
    <r>
      <rPr>
        <vertAlign val="superscript"/>
        <sz val="12"/>
        <rFont val="Times New Roman"/>
        <family val="1"/>
        <charset val="238"/>
      </rPr>
      <t xml:space="preserve">3) </t>
    </r>
    <r>
      <rPr>
        <sz val="11"/>
        <rFont val="Times New Roman"/>
        <family val="1"/>
        <charset val="238"/>
      </rPr>
      <t>k 31.12.</t>
    </r>
  </si>
  <si>
    <t>Fondy VVŠ</t>
  </si>
  <si>
    <t>Výpočet</t>
  </si>
  <si>
    <t>Priemerné platy žien</t>
  </si>
  <si>
    <r>
      <t>Počet</t>
    </r>
    <r>
      <rPr>
        <b/>
        <sz val="12"/>
        <rFont val="Times New Roman"/>
        <family val="1"/>
        <charset val="238"/>
      </rPr>
      <t xml:space="preserve"> žien</t>
    </r>
    <r>
      <rPr>
        <b/>
        <sz val="12"/>
        <rFont val="Times New Roman"/>
        <family val="1"/>
      </rPr>
      <t xml:space="preserve"> platených z prostriedkov štátneho rozpočtu</t>
    </r>
  </si>
  <si>
    <r>
      <t>Ženy</t>
    </r>
    <r>
      <rPr>
        <b/>
        <sz val="12"/>
        <rFont val="Times New Roman"/>
        <family val="1"/>
      </rPr>
      <t xml:space="preserve"> platené z dotácie MŠVVaŠ SR</t>
    </r>
  </si>
  <si>
    <r>
      <t xml:space="preserve">Počet </t>
    </r>
    <r>
      <rPr>
        <b/>
        <sz val="12"/>
        <rFont val="Times New Roman"/>
        <family val="1"/>
        <charset val="238"/>
      </rPr>
      <t>žien</t>
    </r>
    <r>
      <rPr>
        <b/>
        <sz val="12"/>
        <rFont val="Times New Roman"/>
        <family val="1"/>
      </rPr>
      <t xml:space="preserve"> platených z iných zdrojov</t>
    </r>
  </si>
  <si>
    <r>
      <t xml:space="preserve">Počet </t>
    </r>
    <r>
      <rPr>
        <b/>
        <sz val="12"/>
        <rFont val="Times New Roman"/>
        <family val="1"/>
        <charset val="238"/>
      </rPr>
      <t>žien</t>
    </r>
    <r>
      <rPr>
        <b/>
        <sz val="12"/>
        <rFont val="Times New Roman"/>
        <family val="1"/>
      </rPr>
      <t xml:space="preserve"> spolu</t>
    </r>
  </si>
  <si>
    <t>súčet HČ+PČ</t>
  </si>
  <si>
    <t>súčet HČ+PČ-daň z príjmov</t>
  </si>
  <si>
    <t>L= G+H+I+J+K</t>
  </si>
  <si>
    <t>-za dosiahnutie vynikajúceho výsledku v oblasti štúdia [R6+R7]</t>
  </si>
  <si>
    <t>-za dosiahnutie vynikajúceho výsledku vo výskume a vývoji [R9+R10]</t>
  </si>
  <si>
    <t>Zmeny stavu zásob vlastnej výroby (účtová skupina 611-614)</t>
  </si>
  <si>
    <t>Príspevky z podielu zaplatenej dane (účet 665)</t>
  </si>
  <si>
    <t>- ostatné náklady z účtovej skupiny 55 (účty 552, 553, 554, 557, 558, 559)</t>
  </si>
  <si>
    <t>81a</t>
  </si>
  <si>
    <t>- náklady na tvorbu fondu reprodukcie (účet 556 400) (z predaja a likvidácie majetku)</t>
  </si>
  <si>
    <t>- tvorba fondu z výnosov z predaja (a likvidácie) majetku (účet 413 117)</t>
  </si>
  <si>
    <r>
      <t xml:space="preserve">Príjem z dotácie na motivačné štipendiá z kapitoly MŠVVaŠ SR v kalendárnom roku </t>
    </r>
    <r>
      <rPr>
        <sz val="12"/>
        <rFont val="Times New Roman"/>
        <family val="1"/>
        <charset val="238"/>
      </rPr>
      <t xml:space="preserve"> </t>
    </r>
  </si>
  <si>
    <r>
      <t>Nevyčerpaná dotácia (+) / nedoplatok dotácie (-) k 31. 12. kalendárneho roka</t>
    </r>
    <r>
      <rPr>
        <b/>
        <vertAlign val="superscript"/>
        <sz val="12"/>
        <rFont val="Times New Roman"/>
        <family val="1"/>
        <charset val="238"/>
      </rPr>
      <t xml:space="preserve"> </t>
    </r>
    <r>
      <rPr>
        <b/>
        <sz val="12"/>
        <rFont val="Times New Roman"/>
        <family val="1"/>
        <charset val="238"/>
      </rPr>
      <t xml:space="preserve">  [R1+R2-R3]                       </t>
    </r>
  </si>
  <si>
    <r>
      <t>Počet študentov, ktorým bolo priznané motivačné štipendium</t>
    </r>
    <r>
      <rPr>
        <b/>
        <vertAlign val="superscript"/>
        <sz val="12"/>
        <rFont val="Times New Roman"/>
        <family val="1"/>
        <charset val="238"/>
      </rPr>
      <t xml:space="preserve"> 1)</t>
    </r>
  </si>
  <si>
    <r>
      <t xml:space="preserve">mot. štipendiá podľa 
§ 96a, ods.1, písm. a)
</t>
    </r>
    <r>
      <rPr>
        <b/>
        <sz val="12"/>
        <rFont val="Times New Roman"/>
        <family val="1"/>
        <charset val="238"/>
      </rPr>
      <t>(kód v CRŠ: 19)</t>
    </r>
    <r>
      <rPr>
        <vertAlign val="superscript"/>
        <sz val="12"/>
        <rFont val="Times New Roman"/>
        <family val="1"/>
        <charset val="238"/>
      </rPr>
      <t>2)</t>
    </r>
  </si>
  <si>
    <t>K=A+C+E+G+I</t>
  </si>
  <si>
    <t>L=B+D+F+H+J</t>
  </si>
  <si>
    <t>Výnos z dotácie zo štátneho rozpočtu na študentské domovy (vrátane zmluvných zariadení a valorizácie miezd ŠJ)</t>
  </si>
  <si>
    <r>
      <t>Poskytnuté príspevky</t>
    </r>
    <r>
      <rPr>
        <sz val="12"/>
        <color theme="1"/>
        <rFont val="Times New Roman"/>
        <family val="1"/>
      </rPr>
      <t xml:space="preserve"> </t>
    </r>
    <r>
      <rPr>
        <b/>
        <sz val="12"/>
        <color theme="1"/>
        <rFont val="Times New Roman"/>
        <family val="1"/>
      </rPr>
      <t>(účtová skupina 56: 562 a 563)</t>
    </r>
  </si>
  <si>
    <t>Daň z príjmov (účtová skupina 59: 591 až 595)</t>
  </si>
  <si>
    <t>C = A+B</t>
  </si>
  <si>
    <t>z  dotácií 
(ostatné kódy okrem kódu 13)</t>
  </si>
  <si>
    <t xml:space="preserve">- za prijímacie konanie (§ 92 ods. 12 zákona) (účet 648 003) </t>
  </si>
  <si>
    <t xml:space="preserve">- za rigorózne konanie (§ 92 ods. 13 zákona) (účet 648 004) </t>
  </si>
  <si>
    <t>- za vydanie dokladov o štúdiu a ich kópií (§ 92 ods. 15 zákona) (účet 648 006)</t>
  </si>
  <si>
    <t>- za vydanie dokladov o absolvovaní štúdia v štátnom jazyku a v jazyku požadovanom študentom a ich kópií  (§ 92 ods. 15 zákona) (účet 648 024)</t>
  </si>
  <si>
    <t>kvartil q1 25%</t>
  </si>
  <si>
    <t>kvartil q3 75%</t>
  </si>
  <si>
    <t>medián *) = stredná hodnota</t>
  </si>
  <si>
    <t>zdroj 1AA + 3AA spolu</t>
  </si>
  <si>
    <t>zdroj 1AC + 3AC spolu</t>
  </si>
  <si>
    <t>zdroj 1AA1; 3AA1</t>
  </si>
  <si>
    <t>zdroj 1AA2; 3AA2</t>
  </si>
  <si>
    <t>Iné nezaradené</t>
  </si>
  <si>
    <r>
      <t>- fondu reprodukcie (účet 656 400)</t>
    </r>
    <r>
      <rPr>
        <vertAlign val="superscript"/>
        <sz val="12"/>
        <rFont val="Times New Roman"/>
        <family val="1"/>
        <charset val="238"/>
      </rPr>
      <t xml:space="preserve"> 2)</t>
    </r>
  </si>
  <si>
    <t>- iné nezaradené</t>
  </si>
  <si>
    <t>z iných zdrojov
 kód 13</t>
  </si>
  <si>
    <t xml:space="preserve">Kategória zamestnancov - žien
</t>
  </si>
  <si>
    <t>kvartil q2 50%
medián *)</t>
  </si>
  <si>
    <r>
      <t>Spotreba materiálu (účet 501)</t>
    </r>
    <r>
      <rPr>
        <sz val="12"/>
        <color theme="1"/>
        <rFont val="Times New Roman"/>
        <family val="1"/>
      </rPr>
      <t xml:space="preserve"> [SUM(R2:R13)]</t>
    </r>
  </si>
  <si>
    <r>
      <t>Spotreba energie (účet 502)</t>
    </r>
    <r>
      <rPr>
        <sz val="12"/>
        <color theme="1"/>
        <rFont val="Times New Roman"/>
        <family val="1"/>
      </rPr>
      <t xml:space="preserve"> [SUM(R15:R20)]</t>
    </r>
  </si>
  <si>
    <r>
      <t>Predaný tovar (účet 504)</t>
    </r>
    <r>
      <rPr>
        <sz val="12"/>
        <color theme="1"/>
        <rFont val="Times New Roman"/>
        <family val="1"/>
      </rPr>
      <t xml:space="preserve"> [SUM(R23:R26)]</t>
    </r>
  </si>
  <si>
    <r>
      <t>Opravy a udržiavanie (účet 511)</t>
    </r>
    <r>
      <rPr>
        <sz val="12"/>
        <color theme="1"/>
        <rFont val="Times New Roman"/>
        <family val="1"/>
      </rPr>
      <t xml:space="preserve"> [SUM(R28:R34)]</t>
    </r>
  </si>
  <si>
    <r>
      <t>Cestovné (účet 512)</t>
    </r>
    <r>
      <rPr>
        <sz val="12"/>
        <color theme="1"/>
        <rFont val="Times New Roman"/>
        <family val="1"/>
      </rPr>
      <t xml:space="preserve"> [SUM(R36:R37)]</t>
    </r>
  </si>
  <si>
    <r>
      <t>Ostatné služby (účet 518)</t>
    </r>
    <r>
      <rPr>
        <sz val="12"/>
        <color theme="1"/>
        <rFont val="Times New Roman"/>
        <family val="1"/>
      </rPr>
      <t xml:space="preserve"> [SUM(R40:R54)]   </t>
    </r>
  </si>
  <si>
    <r>
      <t>Dotácia na kapitálové výdavky z prostriedkov EÚ (štrukturálnych fondov</t>
    </r>
    <r>
      <rPr>
        <b/>
        <sz val="12"/>
        <rFont val="Times New Roman"/>
        <family val="1"/>
        <charset val="238"/>
      </rPr>
      <t xml:space="preserve"> vrátane spolufinancovania)</t>
    </r>
  </si>
  <si>
    <t>*)</t>
  </si>
  <si>
    <t>Nákup strojov, prístrojov, zariadení, techniky a náradia [SUM(R5:R10)]</t>
  </si>
  <si>
    <t>Výdavky na obstaranie a technické zhodnotenie dlhobého majetku spolu [R1+SUM(R3:R4)+SUM(R11:R16)]</t>
  </si>
  <si>
    <t>Čerpanie z iných zdrojov (napr. z 131x, ...)</t>
  </si>
  <si>
    <t>zdroj 11S  + 13S spolu</t>
  </si>
  <si>
    <t>zdroj 11T  + 13T spolu</t>
  </si>
  <si>
    <r>
      <t xml:space="preserve">Štipendiá z vlastných zdrojov vysokej školy (§ 97 zákona) spolu </t>
    </r>
    <r>
      <rPr>
        <sz val="12"/>
        <color theme="1"/>
        <rFont val="Times New Roman"/>
        <family val="1"/>
        <charset val="238"/>
      </rPr>
      <t xml:space="preserve">[R2+R5+R8+R11+R14+R17] </t>
    </r>
  </si>
  <si>
    <r>
      <t xml:space="preserve">- prospechové </t>
    </r>
    <r>
      <rPr>
        <sz val="12"/>
        <color theme="1"/>
        <rFont val="Times New Roman"/>
        <family val="1"/>
        <charset val="238"/>
      </rPr>
      <t xml:space="preserve">[R3+R4] </t>
    </r>
  </si>
  <si>
    <r>
      <t xml:space="preserve">  - poskytované mesačne </t>
    </r>
    <r>
      <rPr>
        <vertAlign val="superscript"/>
        <sz val="12"/>
        <color theme="1"/>
        <rFont val="Times New Roman"/>
        <family val="1"/>
        <charset val="238"/>
      </rPr>
      <t>1)</t>
    </r>
  </si>
  <si>
    <r>
      <t xml:space="preserve">- za umeleckú alebo športovú činnosť </t>
    </r>
    <r>
      <rPr>
        <sz val="12"/>
        <color theme="1"/>
        <rFont val="Times New Roman"/>
        <family val="1"/>
        <charset val="238"/>
      </rPr>
      <t xml:space="preserve">[R11+R12]  </t>
    </r>
    <r>
      <rPr>
        <b/>
        <sz val="12"/>
        <color theme="1"/>
        <rFont val="Times New Roman"/>
        <family val="1"/>
        <charset val="238"/>
      </rPr>
      <t xml:space="preserve">                                                     </t>
    </r>
  </si>
  <si>
    <r>
      <t xml:space="preserve">- na sociálnu podporu </t>
    </r>
    <r>
      <rPr>
        <sz val="12"/>
        <color theme="1"/>
        <rFont val="Times New Roman"/>
        <family val="1"/>
        <charset val="238"/>
      </rPr>
      <t>[R15+R16]</t>
    </r>
  </si>
  <si>
    <r>
      <t xml:space="preserve">Priemerné platy </t>
    </r>
    <r>
      <rPr>
        <b/>
        <i/>
        <sz val="11"/>
        <color theme="1"/>
        <rFont val="Times New Roman"/>
        <family val="1"/>
        <charset val="238"/>
      </rPr>
      <t>mužov</t>
    </r>
  </si>
  <si>
    <r>
      <t xml:space="preserve">mot. štipendiá podľa 
§ 96a, ods.1, písm. b)
</t>
    </r>
    <r>
      <rPr>
        <b/>
        <sz val="12"/>
        <rFont val="Times New Roman"/>
        <family val="1"/>
        <charset val="238"/>
      </rPr>
      <t>(kódy v  CRŠ: 
4, 5, 6, 7, 8)</t>
    </r>
    <r>
      <rPr>
        <vertAlign val="superscript"/>
        <sz val="12"/>
        <rFont val="Times New Roman"/>
        <family val="1"/>
        <charset val="238"/>
      </rPr>
      <t>3)</t>
    </r>
  </si>
  <si>
    <t xml:space="preserve">Čerpanie 
z ostatných zdrojov prostredníctvom fondu reprodukcie </t>
  </si>
  <si>
    <t xml:space="preserve">    - bežné účty pre študentské domovy</t>
  </si>
  <si>
    <t xml:space="preserve">    - bežné účty pre študentské jedálne</t>
  </si>
  <si>
    <t xml:space="preserve">    - bežné účety na riešenie úloh vedy a
      výskumu  zo SR, resp.zahraničia </t>
  </si>
  <si>
    <t>účty rezervného fondu</t>
  </si>
  <si>
    <t>účty fondu reprodukcie</t>
  </si>
  <si>
    <t>účty štipendijného fondu</t>
  </si>
  <si>
    <t>účty fondov na podporu štúdia študentov so špecifickými potrebami</t>
  </si>
  <si>
    <t>účty ostatných fondov</t>
  </si>
  <si>
    <t>dotačný účet VVŠ</t>
  </si>
  <si>
    <t>devízové účty</t>
  </si>
  <si>
    <t>účty sociálneho fondu</t>
  </si>
  <si>
    <t>účty podnikateľskej činnosti</t>
  </si>
  <si>
    <t xml:space="preserve">   účty termínovaných vkladov</t>
  </si>
  <si>
    <t>bežné účty - zábezpeka</t>
  </si>
  <si>
    <t xml:space="preserve">   účty mimo Štátnej pokladnice spolu</t>
  </si>
  <si>
    <t>ostatné bankové účty v Štátnej pokladnici 
mimo účtov uvedených v R2:R16</t>
  </si>
  <si>
    <t>- bežné účty okrem účtov uvedených v 
  R4:R6</t>
  </si>
  <si>
    <t>Stav bankových účtov v ŠP spolu [R1+R18+R19]</t>
  </si>
  <si>
    <t>zdroj 1AB + 3AB spolu</t>
  </si>
  <si>
    <t>zdroj 11S1; 13S1</t>
  </si>
  <si>
    <t>zdroj 11S2; 13S2</t>
  </si>
  <si>
    <t>zdroj 11T1; 13T1</t>
  </si>
  <si>
    <t>zdroj 11T2; 13T2</t>
  </si>
  <si>
    <t>zdroj 1AC1; 3AC1</t>
  </si>
  <si>
    <t>zdroj 1AB1; 3AB1</t>
  </si>
  <si>
    <t>zdroj 1AB2; 3AB2</t>
  </si>
  <si>
    <t>zdroj 1AM + 3AM spolu</t>
  </si>
  <si>
    <t>zdroj 1AM1; 3AM1</t>
  </si>
  <si>
    <t>zdroj 1AM2; 3AM2</t>
  </si>
  <si>
    <t>zdroj 1AJ + 3AJ spolu</t>
  </si>
  <si>
    <t>zdroj 1AJ1; 3AJ1</t>
  </si>
  <si>
    <r>
      <t>Dotácie z iných kapitol spolu [</t>
    </r>
    <r>
      <rPr>
        <sz val="12"/>
        <color theme="1"/>
        <rFont val="Times New Roman"/>
        <family val="1"/>
        <charset val="238"/>
      </rPr>
      <t>R15+R18+R21+....] *)</t>
    </r>
  </si>
  <si>
    <r>
      <t xml:space="preserve">Dotácie z kapitoly MŠVVaŠ SR spolu </t>
    </r>
    <r>
      <rPr>
        <sz val="12"/>
        <color theme="1"/>
        <rFont val="Times New Roman"/>
        <family val="1"/>
        <charset val="238"/>
      </rPr>
      <t xml:space="preserve">[R1+R4+R7+R10] </t>
    </r>
  </si>
  <si>
    <t>za riadok 23 uveďte ďalšie zdroje, ktoré boli poskytnuté z EÚ a z iných kapitol</t>
  </si>
  <si>
    <r>
      <t>Dotácie z prostriedkov EÚ spolu</t>
    </r>
    <r>
      <rPr>
        <sz val="12"/>
        <color indexed="8"/>
        <rFont val="Times New Roman"/>
        <family val="1"/>
      </rPr>
      <t xml:space="preserve"> [R13+R14]</t>
    </r>
  </si>
  <si>
    <t>23a</t>
  </si>
  <si>
    <t>23b</t>
  </si>
  <si>
    <t>Náklady na štipendiá doktorandov v dennej forme štúdia spolu</t>
  </si>
  <si>
    <t>Prijaté príspevky z verejných zbierok (účet 667)</t>
  </si>
  <si>
    <t>Vnútroorganizačné prevody výnosov (účet 670)</t>
  </si>
  <si>
    <t xml:space="preserve"> - MZDY (účty 521 001-008, 521 012, 521 013)</t>
  </si>
  <si>
    <t xml:space="preserve">- Ostatné náklady účty 541 až 548 </t>
  </si>
  <si>
    <r>
      <t>Vnútroorganizačné prevody nákladov</t>
    </r>
    <r>
      <rPr>
        <sz val="12"/>
        <color theme="1"/>
        <rFont val="Times New Roman"/>
        <family val="1"/>
      </rPr>
      <t xml:space="preserve"> </t>
    </r>
    <r>
      <rPr>
        <b/>
        <sz val="12"/>
        <color theme="1"/>
        <rFont val="Times New Roman"/>
        <family val="1"/>
      </rPr>
      <t>(účtová skupina 57)</t>
    </r>
  </si>
  <si>
    <t>uvádzajú sa štipendiá vyplatené zo štátneho rozpočtu, kód v CRŠ: 21</t>
  </si>
  <si>
    <t>Počet študentov poberajúcich tehotenské štipendium</t>
  </si>
  <si>
    <t>)*</t>
  </si>
  <si>
    <t xml:space="preserve">   - Prvok 077 15 01)*</t>
  </si>
  <si>
    <t>Náklady
hlavnej činnosti
2022</t>
  </si>
  <si>
    <r>
      <t>Dotácie z POO spolu</t>
    </r>
    <r>
      <rPr>
        <sz val="12"/>
        <color indexed="8"/>
        <rFont val="Times New Roman"/>
        <family val="1"/>
      </rPr>
      <t xml:space="preserve"> [R13+R14]</t>
    </r>
  </si>
  <si>
    <t xml:space="preserve">Počet študentov poberajúcich štipendium z POO </t>
  </si>
  <si>
    <r>
      <t xml:space="preserve">Počet študentov poberajúcich štipendiá z POO </t>
    </r>
    <r>
      <rPr>
        <b/>
        <vertAlign val="superscript"/>
        <sz val="14"/>
        <rFont val="Times New Roman"/>
        <family val="1"/>
        <charset val="238"/>
      </rPr>
      <t>2)</t>
    </r>
  </si>
  <si>
    <t>zdroj 1P01</t>
  </si>
  <si>
    <t>zdroj 1P02</t>
  </si>
  <si>
    <t>zdroj 3P01</t>
  </si>
  <si>
    <t>zdroj 3P02</t>
  </si>
  <si>
    <t>zdroj 3P01  + 3P02 spolu</t>
  </si>
  <si>
    <t>zdroj 1P01  + 1P02 spolu</t>
  </si>
  <si>
    <r>
      <t xml:space="preserve">Dotácie z kapitoly MŠVVaŠ SR spolu </t>
    </r>
    <r>
      <rPr>
        <sz val="12"/>
        <color theme="1"/>
        <rFont val="Times New Roman"/>
        <family val="1"/>
        <charset val="238"/>
      </rPr>
      <t xml:space="preserve">[R1+R2+R4+R5] </t>
    </r>
  </si>
  <si>
    <t>zdroj 1P01 + 1P02 spolu</t>
  </si>
  <si>
    <t>zdroj 3P01 + 3P02 spolu</t>
  </si>
  <si>
    <t>Bežné dotácie z POO</t>
  </si>
  <si>
    <t>Kapitálové dotácie z POO</t>
  </si>
  <si>
    <t>za riadok 21 uveďte ďalšie zdroje, ktoré boli poskytnuté z POO a z iných kapitol</t>
  </si>
  <si>
    <t>Čísla účtov v tvare IBAN</t>
  </si>
  <si>
    <t>zdroj 11UA</t>
  </si>
  <si>
    <t xml:space="preserve">2) V stĺpcoch B sa uvádza celkový (fyzický) počet študentov, ktorým bolo v príslušnom kalendárnom roku poskytnuté štipendium z rozvojového projektu UA bez ohľadu na počet mesiacov. </t>
  </si>
  <si>
    <r>
      <t>Počet študentov poberajúcich štipendiá z RP na miernenie negatívnych dôsledkov vojny na Ukrajine za kalendárny rok v osobomesiacoch</t>
    </r>
    <r>
      <rPr>
        <b/>
        <sz val="9"/>
        <rFont val="Times New Roman"/>
        <family val="1"/>
        <charset val="238"/>
      </rPr>
      <t xml:space="preserve"> </t>
    </r>
    <r>
      <rPr>
        <b/>
        <vertAlign val="superscript"/>
        <sz val="14"/>
        <rFont val="Times New Roman"/>
        <family val="1"/>
        <charset val="238"/>
      </rPr>
      <t>1)</t>
    </r>
  </si>
  <si>
    <r>
      <t xml:space="preserve">Počet študentov poberajúcich štipendiá určených na zmiernenie negatívnych dôsledkov vojny na Ukrajine za kalendárny rok </t>
    </r>
    <r>
      <rPr>
        <b/>
        <vertAlign val="superscript"/>
        <sz val="14"/>
        <rFont val="Times New Roman"/>
        <family val="1"/>
        <charset val="238"/>
      </rPr>
      <t>2)</t>
    </r>
  </si>
  <si>
    <t>Príjem z dotácie poskytnutej na štipendiá z RP v rámci zmluvy z kapitoly MŠVVaŠ k 31.12.</t>
  </si>
  <si>
    <t>uvádza sa skutočne poskytnutá dotácia na sociálne a tehotenské štipendiá (spolu)</t>
  </si>
  <si>
    <t>- náklady študentských domovov (bez zmluvných zariadení) - mzdy a odvody</t>
  </si>
  <si>
    <t>- náklady študentských domovov (bez zmluvných zariadení) - ostatné</t>
  </si>
  <si>
    <t>- interiérové vybavenie (713 001)</t>
  </si>
  <si>
    <t>- telekomunikačná technika (713 003)</t>
  </si>
  <si>
    <t>- výpočtová technika (713 002)</t>
  </si>
  <si>
    <t>- prevádzkové stroje, prístroje, zariadenia, technika a náradie (713 004)</t>
  </si>
  <si>
    <t>- špeciálne stroje, prístroje, zariadenia, technika, náradie a materiál  (713 005)</t>
  </si>
  <si>
    <t>- komunikačná infraštruktúra (713 006)</t>
  </si>
  <si>
    <t>- tvorba fondu z predaja alebo likvidácie majetku</t>
  </si>
  <si>
    <r>
      <t>Dotácia na kapitálové výdavky zo štátneho rozpočtu (111</t>
    </r>
    <r>
      <rPr>
        <b/>
        <sz val="12"/>
        <rFont val="Times New Roman"/>
        <family val="1"/>
      </rPr>
      <t>)</t>
    </r>
  </si>
  <si>
    <t>- z ubytovania a stravovania iných fyzických osôb (účty 602 008 a 602 010)</t>
  </si>
  <si>
    <t>Pokuty a penále (účty 641+642)</t>
  </si>
  <si>
    <t>Platby za odpísané pohľadávky (účet 643)</t>
  </si>
  <si>
    <t>- z dotačného účtu (účet 644 001)</t>
  </si>
  <si>
    <t>- z ostatných účtov (účet 644 002)</t>
  </si>
  <si>
    <t>Kurzové zisky (účet 645)</t>
  </si>
  <si>
    <t>- školné za prekročenie štandardnej dĺžky štúdia (účet 648 001)</t>
  </si>
  <si>
    <t>- za cudzojazyčné štúdium dennou formou (účet 648 010)</t>
  </si>
  <si>
    <t>- školné od externých študentov (§ 92 ods. 4 zákona) (účty 648 020, 648 011)</t>
  </si>
  <si>
    <t>- poplatky za súbežné štúdium (§ 92, ods. 5) (účet 648 026)</t>
  </si>
  <si>
    <t>- školné od cudzincov (§ 92 ods. 9 zákona) (účty 648 002, 648 023)</t>
  </si>
  <si>
    <t>- poplatky za rigorózne konanie (§ 92, ods. 11) (účet 648 004)</t>
  </si>
  <si>
    <t>- poplatky za rigorózne konanie - vydanie diplomu (účet 648 005)</t>
  </si>
  <si>
    <t>- poplatky za vydanie dokladov o štúdiu (účet 648 006)</t>
  </si>
  <si>
    <t>- poplatky za vydanie dokladov o absolvovaní štúdia (§92, ods. 15) (účet 648 024)</t>
  </si>
  <si>
    <t>- poplatky za uznávanie rovnocennosti dokladov o štúdiu (§92, ods. 15) (účet 648 025)</t>
  </si>
  <si>
    <t>- poplatky za prijímacie konanie (§ 92, ods. 10) (účet 648 003)</t>
  </si>
  <si>
    <t>- dary (účty 649 009, 646 001, 646 002)</t>
  </si>
  <si>
    <t>- výnosy z dedičstva (účet 649 010)</t>
  </si>
  <si>
    <t>- použitie prostriedkov výnosov budúcich období - projekty (účet 649 015)</t>
  </si>
  <si>
    <t>- príspevok na úhradu výdavkov zahraničných študentov/lektorov (účet 649 016)</t>
  </si>
  <si>
    <t>- vložné na konferencie (účet 649 018)</t>
  </si>
  <si>
    <t>Výnosy z krátkodobého finančného majetku (účet 655)</t>
  </si>
  <si>
    <t>- fondu na podporu štúdia študentov so špecifickými potrebami (účet 656 300)</t>
  </si>
  <si>
    <t>Výnosy z nájmu majetku (účet 658)</t>
  </si>
  <si>
    <t>Prijaté príspevky od fyzických osôb (účet 663)</t>
  </si>
  <si>
    <t>- za súbežné štúdium v dennej forme (§ 92 ods. 5) (účet 648 026)</t>
  </si>
  <si>
    <t>- za prekročenie štandardnej dĺžky štúdia v dennej forme (§ 92 ods. 6) (účet 648 001)</t>
  </si>
  <si>
    <t>- za cudzojazyčné štúdium dennou formou (§ 92 ods. 8 a 9) (účty 648 002, 648 010, 648 023)</t>
  </si>
  <si>
    <t>- za externú formu štúdia (§ 92 ods. 4) (účty 648 020, 648 011)</t>
  </si>
  <si>
    <t xml:space="preserve">- za vydanie diplomu za rigorózne konanie (§ 92 ods. 14 zákona) (účet 648 005) </t>
  </si>
  <si>
    <r>
      <t xml:space="preserve">- za uznávanie rovnocennosti dokladov o štúdiu (§ 92 ods. 15 zákona) (účet 648 025) </t>
    </r>
    <r>
      <rPr>
        <vertAlign val="superscript"/>
        <sz val="12"/>
        <rFont val="Times New Roman"/>
        <family val="1"/>
        <charset val="238"/>
      </rPr>
      <t/>
    </r>
  </si>
  <si>
    <t>- knihy, časopisy a noviny (účty 501 001, 501 051)</t>
  </si>
  <si>
    <t>- chemikálie a ostatný materiál pre zabezpečenie experimentálnej výučby (účty 501 002, 501 052)</t>
  </si>
  <si>
    <t>- kancelárske potreby a materiál (účty 501 003, 501 053)</t>
  </si>
  <si>
    <t>- papier (účty 501 004, 501 054)</t>
  </si>
  <si>
    <t>- pohonné hmoty a ostatný materiál na dopravu (účty 501 007, 501 057)</t>
  </si>
  <si>
    <t>- stavebný, vodoinštalačný a elektroinštalačný materiál (účet 501 009)</t>
  </si>
  <si>
    <t>- DHM - prístroje a zariadenia laboratórií, výpočtová technika (účet 501 011)</t>
  </si>
  <si>
    <t>- iné analyticky sledované náklady (účty 501 005-006, 501 013-018, 501 019, 501 077)</t>
  </si>
  <si>
    <t>- elektrická energia (účty 502 001, 502 051)</t>
  </si>
  <si>
    <t>- tepelná energia (účty 502 002, 502 052)</t>
  </si>
  <si>
    <t>- vodné a stočné (účty 502 003, 502 053)</t>
  </si>
  <si>
    <t>- plyn (účty 502 004, 502 054)</t>
  </si>
  <si>
    <t>- palivá (účty 502 005, 502 055)</t>
  </si>
  <si>
    <t>- ostatné energie (účet 502 099)</t>
  </si>
  <si>
    <t>- opravy a udržiavanie stavieb (účet 511 001)</t>
  </si>
  <si>
    <t>- opravy a udržiavanie strojov, prístrojov, zariadení a inventára (účty 511 002, 511 052)</t>
  </si>
  <si>
    <t>- opravy a udržiavanie dopravných prostriedkov (účet 511 003)</t>
  </si>
  <si>
    <t>- opravy a udržiavanie prostriedkov IT (účet 511 004)</t>
  </si>
  <si>
    <t>- iné analyticky sledované náklady (účty 511 006-008, 511 056)</t>
  </si>
  <si>
    <t>- údržba a opravy meracej techniky, telových.zariadení ... (účet 511 005)</t>
  </si>
  <si>
    <t>- domáce cestovné (účty 512 001, 512 051)</t>
  </si>
  <si>
    <t>- zahraničné cestovné (účty 512 002, 512 003, 512 004, 512 005, 512 052)</t>
  </si>
  <si>
    <t>- prenájom priestorov (účet 518 001)</t>
  </si>
  <si>
    <t>- vložné na konferencie (účty 518 004, 518 054)</t>
  </si>
  <si>
    <t>- ďalšie vzdelávanie zamestnancov (účet 518 005)</t>
  </si>
  <si>
    <t>- telefón, fax (účty 518 006, 518 056)</t>
  </si>
  <si>
    <t>- poštovné (účty 518 008, 518 058)</t>
  </si>
  <si>
    <t>- odvoz odpadu (účty 518 009, 518 059)</t>
  </si>
  <si>
    <t>- dopravné služby (účty 518 012, 518 512)</t>
  </si>
  <si>
    <t>- drobný nehmotný majetok (účet 518 014)</t>
  </si>
  <si>
    <t>- ostatné služby (účet 518 035)</t>
  </si>
  <si>
    <r>
      <t>Mzdové náklady (účet 521)</t>
    </r>
    <r>
      <rPr>
        <sz val="12"/>
        <color theme="1"/>
        <rFont val="Times New Roman"/>
        <family val="1"/>
      </rPr>
      <t xml:space="preserve"> [SUM(R56:R57)]</t>
    </r>
  </si>
  <si>
    <t xml:space="preserve">      - dohody o vykonaní práce, dohody o pracovnej činnosti (účet 521 010)</t>
  </si>
  <si>
    <t>- tvorba sociálneho fondu (účet 527 001)</t>
  </si>
  <si>
    <t>- príspevok zamestnancom na stravovanie (účty 527 002, 527 052)</t>
  </si>
  <si>
    <t>- zákonné odstupné, odchodné (účet 527 003)</t>
  </si>
  <si>
    <t>- náhrada príjmu pri PN (účet 527 004)</t>
  </si>
  <si>
    <t xml:space="preserve">- ochranné pracovné pomôcky podľa Zákonníka práce (účet 527 005) </t>
  </si>
  <si>
    <t xml:space="preserve"> - štipendiá doktorandov (účty 549 001, 549 016, 549 017)</t>
  </si>
  <si>
    <t xml:space="preserve"> - poistné náklady (havarijné, majetok, na študentov) (účty 549 004, 549 014, 549 015, 549 054)</t>
  </si>
  <si>
    <t xml:space="preserve"> - podpora štud. so špecifickými potrebami podľa §100 (účet 549 018) </t>
  </si>
  <si>
    <t xml:space="preserve"> - iné analyticky sledované náklady (účty 549 005-006, 549 012)</t>
  </si>
  <si>
    <t>- náklady na tvorbu fondu na podporu štúdia študentov so špecifickými potrebami (účet 556 300)</t>
  </si>
  <si>
    <t>- vysokoškolskí učitelia s funkčným zaradením "profesor"   *)</t>
  </si>
  <si>
    <t>Pod pojmom "interný doktorand" sa rozumie doktorand, ktorému vysoká škola vypláca štipendium v zmysle § 54 zák. č.131/2002 Z.z. o vysokých školách a o zmene a doplnení niektorých zákonov.</t>
  </si>
  <si>
    <t>1) Výnosy a náklady z podnikateľskej činnosti sa neuvádzajú.</t>
  </si>
  <si>
    <t>2) Uvádzajte počet denných študentov I. a II. stupňa štúdia počas výučbového obdobia, najviac však 10 mesiacov a denných študentov III. stupňa štúdia (doktorandov) vrátane hlavných prázdnin maximálne 12 mesiacov.</t>
  </si>
  <si>
    <r>
      <t xml:space="preserve">Náklady študentských domovov spolu </t>
    </r>
    <r>
      <rPr>
        <sz val="12"/>
        <rFont val="Times New Roman"/>
        <family val="1"/>
      </rPr>
      <t>[R10+R11]</t>
    </r>
  </si>
  <si>
    <r>
      <t xml:space="preserve">- tvorba fondu z hospodárskeho výsledku (účet 413 111) </t>
    </r>
    <r>
      <rPr>
        <vertAlign val="superscript"/>
        <sz val="12"/>
        <rFont val="Times New Roman"/>
        <family val="1"/>
        <charset val="238"/>
      </rPr>
      <t xml:space="preserve">1) </t>
    </r>
  </si>
  <si>
    <t>1) Vrátane tvorby z nerozdeleného zisku z minulých rokov.</t>
  </si>
  <si>
    <t>2) Ostatná tvorba fondu reprodukcie v zmysle § 16a ods. 8 zákona č. 131/2002 Z. z.o vysokých školách v znení neskorších predpisov (kreditné úroky a kurzové zisky).</t>
  </si>
  <si>
    <t>2) Len ak umožňuje zákon.</t>
  </si>
  <si>
    <t>3) Uvádza sa v prípade, ak si vysoká škola vytvorila osobitný bankový účet na krytie fondu - napríklad  fondu reprodukcie.</t>
  </si>
  <si>
    <r>
      <t>1) V stĺpcoch B a D sa uvádza prepočítaný počet študentov určený ako počet osobomesiacov, počas ktorých bolo poskytované štipendium</t>
    </r>
    <r>
      <rPr>
        <b/>
        <sz val="10"/>
        <rFont val="Times New Roman"/>
        <family val="1"/>
        <charset val="238"/>
      </rPr>
      <t>.</t>
    </r>
    <r>
      <rPr>
        <sz val="10"/>
        <rFont val="Times New Roman"/>
        <family val="1"/>
        <charset val="238"/>
      </rPr>
      <t xml:space="preserve"> </t>
    </r>
  </si>
  <si>
    <r>
      <t>2) V stĺpcoch B a D sa uvádza celkový (fyzický) počet študentov, ktorým bolo v príslušnom roku poskytované štipendium</t>
    </r>
    <r>
      <rPr>
        <b/>
        <sz val="10"/>
        <rFont val="Times New Roman"/>
        <family val="1"/>
        <charset val="238"/>
      </rPr>
      <t>.</t>
    </r>
  </si>
  <si>
    <r>
      <t xml:space="preserve">Počet študentov poberajúcich  štipendiá z vlastných zdrojov </t>
    </r>
    <r>
      <rPr>
        <b/>
        <vertAlign val="superscript"/>
        <sz val="12"/>
        <color theme="1"/>
        <rFont val="Times New Roman"/>
        <family val="1"/>
        <charset val="238"/>
      </rPr>
      <t xml:space="preserve">2) </t>
    </r>
  </si>
  <si>
    <t>1) V riadku 5 sa uvedie celkový fyzický počet študentov (pričom 1 študent sa počíta za 1 fyzickú osobu), ktorým bolo vyplatené motivačné štipendium v kalendárnom roku.</t>
  </si>
  <si>
    <t>2) Uvádzajú sa len motivačné štipendiá vyplatené podľa § 96a, ods.1, písm. a) (kód CRŠ 19).</t>
  </si>
  <si>
    <t>3) Uvádzajú sa len motivačné štipendiá vyplatené podľa § 96a, ods.1, písm. b) (kódy v CRŠ: 4, 5, 6, 7, 8).</t>
  </si>
  <si>
    <t>1) V stĺpci B sa uvádza prepočítaný počet študentov určený ako počet osobomesiacov, počas ktorých bolo poskytované štipendium z rozvojového projektu UA.</t>
  </si>
  <si>
    <t>Zmena stavu zásob ned. výroby</t>
  </si>
  <si>
    <t>Zákonné soc.poistenie a zdrav.poistenie</t>
  </si>
  <si>
    <t>Aktivácia dlhodobého nehmotného majetku</t>
  </si>
  <si>
    <t>Aktivácia dlhodobého hmotného majetku</t>
  </si>
  <si>
    <t>Výnosy z dlhodobého finančného majetku</t>
  </si>
  <si>
    <t>Výnosy z krátkodobého finančného majetku</t>
  </si>
  <si>
    <t>Poskytnuté príspevky fyzickým osobám</t>
  </si>
  <si>
    <t>Poskytnuté príspevky iným účtovným jednotkám</t>
  </si>
  <si>
    <t>Poskytnuté príspevky organizačným zložkám</t>
  </si>
  <si>
    <t>Tvorba a zúčtovanie opravných položiek</t>
  </si>
  <si>
    <t>Náklady na krátkodobý finančný majetok</t>
  </si>
  <si>
    <t xml:space="preserve">2) Výnosy z Fondu reprodukcie možno účtovať len v súvislosti s krytím nákladov na vedenie príslušného bankového účtu a nákladov vyplývajúcich z kurzových strát v zmysle 16a ods. 8 zákona. </t>
  </si>
  <si>
    <r>
      <t xml:space="preserve">Pre účely výpočtu počtu zamestnancov bola použitá metóda </t>
    </r>
    <r>
      <rPr>
        <sz val="11"/>
        <color indexed="8"/>
        <rFont val="Times New Roman"/>
        <family val="1"/>
        <charset val="238"/>
      </rPr>
      <t xml:space="preserve">- </t>
    </r>
    <r>
      <rPr>
        <b/>
        <sz val="11"/>
        <color indexed="8"/>
        <rFont val="Times New Roman"/>
        <family val="1"/>
        <charset val="238"/>
      </rPr>
      <t>Priemerný evidenčný počet zamestnancov - prepočítaný počet</t>
    </r>
    <r>
      <rPr>
        <sz val="11"/>
        <color indexed="8"/>
        <rFont val="Times New Roman"/>
        <family val="1"/>
        <charset val="238"/>
      </rPr>
      <t xml:space="preserve"> - je aritmetickým priemerom denných evidenčných počtov zamestnancov 
za sledované obdobie prepočítaných na plnú zamestnanosť podľa dĺžky pracovných úväzkov zamestnancov, resp. podľa skutočne odpracovaných hodín. U zamestnancov, ktorí vykonávajú v organizácii činnosť v ďalšom pracovnom pomere, sa výpočet priemerného evidenčného počtu zamestnancov prepočítaného na plne zamestnaných skladá z dvoch častí: </t>
    </r>
  </si>
  <si>
    <r>
      <t xml:space="preserve">Priemerné štipendium na 1 študenta na mesiac </t>
    </r>
    <r>
      <rPr>
        <sz val="12"/>
        <rFont val="Times New Roman"/>
        <family val="1"/>
        <charset val="238"/>
      </rPr>
      <t xml:space="preserve">[R1_SA/R2_SB resp. R1_SC/R2_SD] </t>
    </r>
  </si>
  <si>
    <r>
      <t xml:space="preserve">Dotácie z kapitol štátneho rozpočtu okrem kapitoly MŠVVaŠ SR </t>
    </r>
    <r>
      <rPr>
        <sz val="12"/>
        <rFont val="Times New Roman"/>
        <family val="1"/>
      </rPr>
      <t xml:space="preserve"> (na zdroji 111 a 11UA) [SUM(R1a:R1...)]</t>
    </r>
  </si>
  <si>
    <t>Finančný mechanizmus EHP a Nórsky finančný mechanizmus patria do R3 (ide o prostriedky poskytnuté Úradom vlády SR, na inom zdroji 111)</t>
  </si>
  <si>
    <t>Aktivácia (účtovná skupina 621-624)</t>
  </si>
  <si>
    <t>zdroj 1AC2; 3AC2; 1AC3; 3AC3</t>
  </si>
  <si>
    <t>uvádzajú sa len štipendiá vyplatené z vlastných zdrojov, v CRŠ kód 9 a kód 23</t>
  </si>
  <si>
    <t xml:space="preserve">Ostatné*) </t>
  </si>
  <si>
    <t>Ostatné*)</t>
  </si>
  <si>
    <t>86b</t>
  </si>
  <si>
    <t xml:space="preserve"> - štipendiá z vlastných zdrojov (účty 549 007-010, 549 019, 549 020, 549 022-023) </t>
  </si>
  <si>
    <t xml:space="preserve"> - odpisy DN a HM nadobudnutého z kapitálových dotácií zo ŠR 
(účty 551 001, 551 003, 551 100, 551 121, 551 123)</t>
  </si>
  <si>
    <t xml:space="preserve"> - odpisy DN a HM nadobudnutého z kapitálových dotácií z EÚ (zo štrukturálnych fondov) (účty 551 004, 551 300, 551 321, 551 323)</t>
  </si>
  <si>
    <t xml:space="preserve">  - odpisy ostatného DN a HM (účty 551 130, 551 131, 551 133, 551 400, 551 421, 551 423, 551 500, 551 521) </t>
  </si>
  <si>
    <r>
      <t xml:space="preserve">Do tabuľky sa uvádzajú aj </t>
    </r>
    <r>
      <rPr>
        <b/>
        <sz val="10"/>
        <rFont val="Times New Roman"/>
        <family val="1"/>
      </rPr>
      <t>motivačné štipendiá doktorandov</t>
    </r>
    <r>
      <rPr>
        <sz val="10"/>
        <rFont val="Times New Roman"/>
        <family val="1"/>
      </rPr>
      <t>, nie však "normálne" štipendiá doktorandov podľa platovej tabuľky !!!</t>
    </r>
  </si>
  <si>
    <t>*) napr. 384 vytvorená z bežnej dotácie na kapitálovú, dary, časové rozlíšenie</t>
  </si>
  <si>
    <t xml:space="preserve"> - potraviny (účty 501 010)</t>
  </si>
  <si>
    <t xml:space="preserve"> - ostatné zákonné sociálne náklady (účty 527 006, 527 099, 527 600)</t>
  </si>
  <si>
    <t>*) analytiky - odpisy, z ktorých sa tvorí fond reprodukcie</t>
  </si>
  <si>
    <r>
      <t xml:space="preserve"> - odpisy ostatného DN a HM (účty 551 002, 551 200, 551 221, 551 223, 551 900, 551 921, 551 923)</t>
    </r>
    <r>
      <rPr>
        <sz val="12"/>
        <rFont val="Calibri"/>
        <family val="2"/>
        <charset val="238"/>
      </rPr>
      <t>*)</t>
    </r>
  </si>
  <si>
    <t>Názov rozvojového projektu</t>
  </si>
  <si>
    <t>uvádzajú sa štipendiá vyplatené zo ŠR - mimo kapitolu MŠVVaŠ SR</t>
  </si>
  <si>
    <t>príjmy a výdavky (v Eur) v rokoch</t>
  </si>
  <si>
    <t>príjmy z 077 13 v roku 2022</t>
  </si>
  <si>
    <t>výdavky z 077 13 v roku 2022</t>
  </si>
  <si>
    <t>1) výnosy a náklady z podnikateľskej činnosti sa neuvádzajú, neuvádzajú sa ani výnosy a náklady súvisiace so stravovaním zamestnancov</t>
  </si>
  <si>
    <r>
      <t>Výnosy</t>
    </r>
    <r>
      <rPr>
        <b/>
        <vertAlign val="superscript"/>
        <sz val="12"/>
        <rFont val="Times New Roman"/>
        <family val="1"/>
        <charset val="238"/>
      </rPr>
      <t xml:space="preserve">2) </t>
    </r>
    <r>
      <rPr>
        <b/>
        <sz val="12"/>
        <rFont val="Times New Roman"/>
        <family val="1"/>
      </rPr>
      <t>študentských jedální súvisiace so stravovaním študentov spolu</t>
    </r>
    <r>
      <rPr>
        <vertAlign val="superscript"/>
        <sz val="12"/>
        <rFont val="Times New Roman"/>
        <family val="1"/>
      </rPr>
      <t xml:space="preserve"> </t>
    </r>
    <r>
      <rPr>
        <sz val="12"/>
        <rFont val="Times New Roman"/>
        <family val="1"/>
        <charset val="238"/>
      </rPr>
      <t xml:space="preserve">[R2+R5]  </t>
    </r>
  </si>
  <si>
    <r>
      <t xml:space="preserve"> - náklady na jedlá študentov</t>
    </r>
    <r>
      <rPr>
        <vertAlign val="superscript"/>
        <sz val="12"/>
        <rFont val="Times New Roman"/>
        <family val="1"/>
        <charset val="238"/>
      </rPr>
      <t>3)</t>
    </r>
  </si>
  <si>
    <r>
      <t xml:space="preserve">2) všetky údaje o výnosoch a nákladoch  sa uvádzajú </t>
    </r>
    <r>
      <rPr>
        <sz val="11"/>
        <rFont val="Times New Roman"/>
        <family val="1"/>
        <charset val="238"/>
      </rPr>
      <t>v Eur</t>
    </r>
  </si>
  <si>
    <t xml:space="preserve">Počet vydaných jedál študentom v kalendárnom roku  </t>
  </si>
  <si>
    <r>
      <t xml:space="preserve">3) uvádzajú sa </t>
    </r>
    <r>
      <rPr>
        <b/>
        <sz val="11"/>
        <rFont val="Times New Roman"/>
        <family val="1"/>
        <charset val="238"/>
      </rPr>
      <t>jedlá vydané študentom len vo vlastnej jedálni</t>
    </r>
    <r>
      <rPr>
        <sz val="11"/>
        <rFont val="Times New Roman"/>
        <family val="1"/>
        <charset val="238"/>
      </rPr>
      <t>, na ktoré sa poskytuje dotácia
na príspevok na jedlo do 30.6.2022 vo výške 1,40 eur a od 1.7.2022 vo výške 1,50 eur</t>
    </r>
  </si>
  <si>
    <r>
      <t xml:space="preserve">4) uvádzajú sa </t>
    </r>
    <r>
      <rPr>
        <b/>
        <sz val="11"/>
        <rFont val="Times New Roman"/>
        <family val="1"/>
        <charset val="238"/>
      </rPr>
      <t>jedlá vydané študentom v zmluvných zariadeniach</t>
    </r>
    <r>
      <rPr>
        <sz val="11"/>
        <rFont val="Times New Roman"/>
        <family val="1"/>
        <charset val="238"/>
      </rPr>
      <t>, na ktoré sa poskytuje dotácia
na príspevok na jedlo do 30.6.2022 vo výške 1,40 eur a od 1.7.2022 vo výške 1,50 eur</t>
    </r>
  </si>
  <si>
    <r>
      <t>Priemerné náklady  na jedlo študenta v Eur [</t>
    </r>
    <r>
      <rPr>
        <sz val="12"/>
        <rFont val="Times New Roman"/>
        <family val="1"/>
        <charset val="238"/>
      </rPr>
      <t>R10</t>
    </r>
    <r>
      <rPr>
        <sz val="12"/>
        <rFont val="Times New Roman"/>
        <family val="1"/>
      </rPr>
      <t>/(R13+R14)]</t>
    </r>
  </si>
  <si>
    <t xml:space="preserve">Nevyčerpaná dotácia (+) / nedoplatok dotácie (-) k 31. 12. predchádzajúceho roka  
[R4_SC = R6_SA]                         </t>
  </si>
  <si>
    <t xml:space="preserve">Výdavky na tehotenské štipendiá (§ 96 zákona) za kalendárny rok </t>
  </si>
  <si>
    <r>
      <t>Počet študentov poberajúcich tehotenské štipendiá v osobomesiacoch</t>
    </r>
    <r>
      <rPr>
        <b/>
        <sz val="9"/>
        <rFont val="Times New Roman"/>
        <family val="1"/>
        <charset val="238"/>
      </rPr>
      <t xml:space="preserve"> </t>
    </r>
    <r>
      <rPr>
        <b/>
        <vertAlign val="superscript"/>
        <sz val="14"/>
        <rFont val="Times New Roman"/>
        <family val="1"/>
        <charset val="238"/>
      </rPr>
      <t>1)</t>
    </r>
  </si>
  <si>
    <r>
      <t xml:space="preserve">Počet študentov poberajúcich tehotenské štipendiá </t>
    </r>
    <r>
      <rPr>
        <b/>
        <vertAlign val="superscript"/>
        <sz val="14"/>
        <rFont val="Times New Roman"/>
        <family val="1"/>
        <charset val="238"/>
      </rPr>
      <t>2)</t>
    </r>
  </si>
  <si>
    <t>Príjem z dotácie poskytnutej na tehotenské štipendiá v rámci dotačnej zmluvy z kapitoly     MŠVVaŠ k 31.12.</t>
  </si>
  <si>
    <r>
      <t>1) V stĺpcoch B a D sa uvádza prepočítaný počet študentiek určený ako počet osobomesiacov, počas ktorých bolo poskytované tehotenské štipendium</t>
    </r>
    <r>
      <rPr>
        <b/>
        <sz val="11"/>
        <rFont val="Times New Roman"/>
        <family val="1"/>
        <charset val="238"/>
      </rPr>
      <t>.</t>
    </r>
    <r>
      <rPr>
        <sz val="11"/>
        <rFont val="Times New Roman"/>
        <family val="1"/>
        <charset val="238"/>
      </rPr>
      <t xml:space="preserve"> </t>
    </r>
  </si>
  <si>
    <t xml:space="preserve">2) V stĺpcoch B a D sa uvádza celkový (fyzický) počet študentiek, ktorým bolo v príslušnom kalendárnom roku poskytnuté motivačné štipendium bez ohľadu na počet mesiacov. </t>
  </si>
  <si>
    <t>uvádzajú sa štipendiá vyplatené zo štátneho rozpočtu, kód v CRŠ: 1</t>
  </si>
  <si>
    <t xml:space="preserve">Výdavky na sociálne štipendiá (§ 96 zákona) za kalendárny rok </t>
  </si>
  <si>
    <r>
      <t>Počet študentov poberajúcich sociálne štipendiá v osobomesiacoch</t>
    </r>
    <r>
      <rPr>
        <b/>
        <sz val="9"/>
        <rFont val="Times New Roman"/>
        <family val="1"/>
        <charset val="238"/>
      </rPr>
      <t xml:space="preserve"> </t>
    </r>
    <r>
      <rPr>
        <b/>
        <vertAlign val="superscript"/>
        <sz val="14"/>
        <rFont val="Times New Roman"/>
        <family val="1"/>
        <charset val="238"/>
      </rPr>
      <t>1)</t>
    </r>
  </si>
  <si>
    <r>
      <t xml:space="preserve">Počet študentov poberajúcich sociálne štipendiá </t>
    </r>
    <r>
      <rPr>
        <b/>
        <vertAlign val="superscript"/>
        <sz val="14"/>
        <rFont val="Times New Roman"/>
        <family val="1"/>
        <charset val="238"/>
      </rPr>
      <t>2)</t>
    </r>
  </si>
  <si>
    <t>Príjem z dotácie poskytnutej na sociálne štipendiá v rámci dotačnej zmluvy z kapitoly MŠVVaŠ k 31.12.</t>
  </si>
  <si>
    <r>
      <t>1) V stĺpcoch B a D sa uvádza prepočítaný počet študentov určený ako počet osobomesiacov, počas ktorých bolo poskytované sociálne štipendium</t>
    </r>
    <r>
      <rPr>
        <b/>
        <sz val="11"/>
        <rFont val="Times New Roman"/>
        <family val="1"/>
        <charset val="238"/>
      </rPr>
      <t>.</t>
    </r>
  </si>
  <si>
    <t xml:space="preserve">2) V stĺpcoch B a D sa uvádza celkový (fyzický) počet študentov, ktorým bolo v príslušnom kalendárnom roku poskytnuté sociálne štipendium bez ohľadu na počet mesiacov. </t>
  </si>
  <si>
    <t xml:space="preserve">Počet študentov poberajúcich tehotenské štipendium </t>
  </si>
  <si>
    <r>
      <t>Tabuľka č. 1: Príjmy z dotácií verejnej vysokej škole zo štátneho rozpočtu z kapitoly MŠVVaŠ SR
 poskytnuté na základe Zmluvy o poskytnutí dotácie zo štátneho rozpočtu prostredníctvom rozpočtu Ministerstva školstva, vedy, výskumu a športu Slovenskej republiky na rok 2023</t>
    </r>
    <r>
      <rPr>
        <b/>
        <sz val="14"/>
        <color rgb="FFFF0000"/>
        <rFont val="Times New Roman"/>
        <family val="1"/>
        <charset val="238"/>
      </rPr>
      <t xml:space="preserve"> </t>
    </r>
    <r>
      <rPr>
        <b/>
        <sz val="14"/>
        <rFont val="Times New Roman"/>
        <family val="1"/>
      </rPr>
      <t xml:space="preserve">na programe 077 </t>
    </r>
  </si>
  <si>
    <r>
      <t>Tabuľka č. 2: Príjmy verejnej vysokej školy v roku 2023</t>
    </r>
    <r>
      <rPr>
        <b/>
        <sz val="14"/>
        <color rgb="FFFF0000"/>
        <rFont val="Times New Roman"/>
        <family val="1"/>
        <charset val="238"/>
      </rPr>
      <t xml:space="preserve"> </t>
    </r>
    <r>
      <rPr>
        <b/>
        <sz val="14"/>
        <rFont val="Times New Roman"/>
        <family val="1"/>
        <charset val="238"/>
      </rPr>
      <t>majúce charakter dotácie okrem príjmov z dotácií 
 z  kapitoly MŠVVaŠ SR a okrem prostriedkov EÚ (štrukturálnych  fondov)</t>
    </r>
  </si>
  <si>
    <t>Tabuľka č. 3: Výnosy verejnej vysokej školy v rokoch 2022 a 2023</t>
  </si>
  <si>
    <t>Rozdiel 2023-2022</t>
  </si>
  <si>
    <r>
      <t>Tabuľka č. 4: Výnosy verejnej vysokej školy zo školného a z poplatkov spojených so štúdiom  
v rokoch 2022</t>
    </r>
    <r>
      <rPr>
        <b/>
        <sz val="14"/>
        <color rgb="FFFF0000"/>
        <rFont val="Times New Roman"/>
        <family val="1"/>
        <charset val="238"/>
      </rPr>
      <t xml:space="preserve"> </t>
    </r>
    <r>
      <rPr>
        <b/>
        <sz val="14"/>
        <rFont val="Times New Roman"/>
        <family val="1"/>
        <charset val="238"/>
      </rPr>
      <t>a 2023</t>
    </r>
    <r>
      <rPr>
        <b/>
        <sz val="14"/>
        <color rgb="FFFF0000"/>
        <rFont val="Times New Roman"/>
        <family val="1"/>
        <charset val="238"/>
      </rPr>
      <t xml:space="preserve"> </t>
    </r>
  </si>
  <si>
    <t>Tabuľka č. 5: Náklady verejnej vysokej školy v rokoch 2022 a 2023</t>
  </si>
  <si>
    <t>Tabuľka č. 6: Zamestnanci a náklady na mzdy verejnej vysokej školy v roku 2023</t>
  </si>
  <si>
    <t>Priemerný evidenčný prepočítaný počet zamestnancov za rok 2023</t>
  </si>
  <si>
    <t>Tabuľka č. 6a: Zamestnanci a náklady na mzdy verejnej vysokej školy v roku 2023 - len ženy a výpočet priemerného platu mužov</t>
  </si>
  <si>
    <r>
      <t xml:space="preserve">Priemerný evidenčný prepočítaný počet </t>
    </r>
    <r>
      <rPr>
        <b/>
        <sz val="12"/>
        <rFont val="Times New Roman"/>
        <family val="1"/>
        <charset val="238"/>
      </rPr>
      <t>žien</t>
    </r>
    <r>
      <rPr>
        <b/>
        <sz val="12"/>
        <rFont val="Times New Roman"/>
        <family val="1"/>
      </rPr>
      <t xml:space="preserve"> za rok 2023</t>
    </r>
  </si>
  <si>
    <t>Tabuľka č. 7: Náklady verejnej vysokej školy na štipendiá doktorandov v dennej forme štúdia v roku 2023</t>
  </si>
  <si>
    <t>Počet osobomesiacov interných doktorandov spolu za 2023</t>
  </si>
  <si>
    <t>Tabuľka č. 8: Údaje o systéme sociálnej podpory - časť sociálne štipendiá (§ 96 zákona) 
za roky 2022 a 2023</t>
  </si>
  <si>
    <t>Tabuľka č. 8a: Údaje o systéme sociálnej podpory - časť tehotenské štipendiá (§ 96b zákona) 
za roky 2022 a 2023</t>
  </si>
  <si>
    <r>
      <t>Tabuľka č. 9: Údaje o systéme sociálnej podpory - časť výnosy a náklady</t>
    </r>
    <r>
      <rPr>
        <b/>
        <vertAlign val="superscript"/>
        <sz val="14"/>
        <rFont val="Times New Roman"/>
        <family val="1"/>
        <charset val="238"/>
      </rPr>
      <t>1)</t>
    </r>
    <r>
      <rPr>
        <b/>
        <sz val="14"/>
        <rFont val="Times New Roman"/>
        <family val="1"/>
      </rPr>
      <t xml:space="preserve"> študentských domovov 
(bez zmluvných zariadení) za roky 2022 a 2023</t>
    </r>
  </si>
  <si>
    <r>
      <t>Tabuľka č. 10: Údaje o systéme sociálnej podpory  - časť výnosy a náklady</t>
    </r>
    <r>
      <rPr>
        <b/>
        <vertAlign val="superscript"/>
        <sz val="14"/>
        <rFont val="Times New Roman"/>
        <family val="1"/>
      </rPr>
      <t>1)</t>
    </r>
    <r>
      <rPr>
        <b/>
        <sz val="14"/>
        <rFont val="Times New Roman"/>
        <family val="1"/>
      </rPr>
      <t xml:space="preserve"> študentských jedální 
za roky 2022 a 2023</t>
    </r>
  </si>
  <si>
    <t>Tabuľka č. 11: Zdroje verejnej vysokej školy na obstaranie a technické zhodnotenie dlhodobého majetku v rokoch 2022 a 2023</t>
  </si>
  <si>
    <t>Tabuľka č. 12: Výdavky verejnej vysokej školy na obstaranie a technické zhodnotenie dlhodobého majetku v roku 2023</t>
  </si>
  <si>
    <r>
      <t>Čerpanie kapitálovej dotácie v roku 2023</t>
    </r>
    <r>
      <rPr>
        <b/>
        <sz val="11"/>
        <color theme="1"/>
        <rFont val="Times New Roman"/>
        <family val="1"/>
      </rPr>
      <t xml:space="preserve">
zo štátneho rozpočtu (111)</t>
    </r>
  </si>
  <si>
    <r>
      <t xml:space="preserve">Čerpanie kapitálovej dotácie v roku 2023
</t>
    </r>
    <r>
      <rPr>
        <b/>
        <sz val="11"/>
        <color theme="1"/>
        <rFont val="Times New Roman"/>
        <family val="1"/>
      </rPr>
      <t>z prostriedkov EÚ (štrukturálnych fondov)</t>
    </r>
  </si>
  <si>
    <t xml:space="preserve">Čerpanie bežnej dotácie v roku 2023 prostredníctvom fondu reprodukcie </t>
  </si>
  <si>
    <t>Tabuľka č. 13: Stav a vývoj finančných fondov verejnej vysokej školy v rokoch 2022 a 2023</t>
  </si>
  <si>
    <t>Tabuľka č. 14: Príjmy verejnej vysokej školy z prostriedkov Plánu obnovy a odolnosti z kapitoly MŠVVaŠ SR a z iných kapitol v roku 2023</t>
  </si>
  <si>
    <t>Dotácie spolu bežné a kapitálové v roku 2023</t>
  </si>
  <si>
    <t>Tabuľka č. 15: Príjmy verejnej vysokej školy v roku 2023 z rozvojových projektov na zmiernenie negatívnych dôsledkov vojny na Ukrajine</t>
  </si>
  <si>
    <t>Dotácie spolu v roku 2023</t>
  </si>
  <si>
    <t>Tabuľka č. 16: Štruktúra a stav finančných prostriedkov na bankových účtoch verejnej vysokej školy
   k 31. decembru 2023</t>
  </si>
  <si>
    <t>Stav účtu k 31.12.2023</t>
  </si>
  <si>
    <r>
      <t>Tabuľka č. 18: Príjmy z dotácií verejnej vysokej škole zo štátneho rozpočtu z kapitoly MŠVVaŠ SR 
poskytnuté mimo programu 077 a mimo príjmov z prostriedkov EÚ (zo štrukturálnych fondov) v roku 2023</t>
    </r>
    <r>
      <rPr>
        <sz val="14"/>
        <rFont val="Times New Roman"/>
        <family val="1"/>
      </rPr>
      <t xml:space="preserve">
</t>
    </r>
  </si>
  <si>
    <t xml:space="preserve">Tabuľka č. 19: Štipendiá z vlastných zdrojov podľa § 97 zákona v rokoch 2022 a 2023 </t>
  </si>
  <si>
    <t xml:space="preserve">Tabuľka č. 20: Motivačné štipendiá  v rokoch 2022 a 2023 (v zmysle § 96a zákona )  </t>
  </si>
  <si>
    <t>Tabuľka č. 20b: Štipendiá z rozvojových projektov (RP) a iných zdrojov určené na zmiernenie negatívnych dôsledkov vojny na Ukrajine za rok 2023</t>
  </si>
  <si>
    <r>
      <t xml:space="preserve">Tabuľka č. 21: Štruktúra účtu 384 </t>
    </r>
    <r>
      <rPr>
        <b/>
        <i/>
        <sz val="14"/>
        <rFont val="Times New Roman"/>
        <family val="1"/>
        <charset val="238"/>
      </rPr>
      <t xml:space="preserve">- </t>
    </r>
    <r>
      <rPr>
        <b/>
        <sz val="14"/>
        <rFont val="Times New Roman"/>
        <family val="1"/>
        <charset val="238"/>
      </rPr>
      <t>výnosy budúcich období</t>
    </r>
    <r>
      <rPr>
        <b/>
        <i/>
        <sz val="14"/>
        <rFont val="Times New Roman"/>
        <family val="1"/>
        <charset val="238"/>
      </rPr>
      <t xml:space="preserve"> </t>
    </r>
    <r>
      <rPr>
        <b/>
        <sz val="14"/>
        <rFont val="Times New Roman"/>
        <family val="1"/>
        <charset val="238"/>
      </rPr>
      <t>v rokoch 2022 a 2023</t>
    </r>
  </si>
  <si>
    <t>Stav k 31.12.2022</t>
  </si>
  <si>
    <t>Stav k 31.12.2023</t>
  </si>
  <si>
    <t xml:space="preserve">Tabuľka č. 22: Výnosy verejnej vysokej školy v roku 2023 v oblasti sociálnej podpory študentov </t>
  </si>
  <si>
    <t>Výnosy
v hlavnej činnosti
2022</t>
  </si>
  <si>
    <t>Výnosy
hlavnej činnosti
2023</t>
  </si>
  <si>
    <t xml:space="preserve">Tabuľka č .23:  Náklady verejnej vysokej školy v roku 2023 v oblasti sociálnej podpory študentov </t>
  </si>
  <si>
    <t>Náklady
hlavnej činnosti
2023</t>
  </si>
  <si>
    <t>Tabuľka č. 24: Príjmy a výdavky VVŠ určené na rozvojové projekty na podprograme 077 13 - Rozvoj vysokého školstva do roku 2022 a za roky 2022 a 2023</t>
  </si>
  <si>
    <t>príjmy z 077 13 do roku 2022 spolu</t>
  </si>
  <si>
    <t>výdavky z 077 13 do roku 2022 spolu</t>
  </si>
  <si>
    <t>zostatok nevyčerpanej dotácie z 077 13 do roku 2022 spolu</t>
  </si>
  <si>
    <t>zostatok nevyčerpanej dotácie z 077 13 v roku 2022</t>
  </si>
  <si>
    <t>príjmy z 077 13 v roku 2023</t>
  </si>
  <si>
    <t>výdavky z 077 13 v roku 2023</t>
  </si>
  <si>
    <t>zostatok nevyčerpanej dotácie z predchádzajúceho roka, t. j. k 31.12.2023.</t>
  </si>
  <si>
    <t xml:space="preserve">pozn.: aktívne projekty, ktoré boli aktívne v roku 2023, príp. sa čerpali finačné zdroje v roku 2023 </t>
  </si>
  <si>
    <t>uvádzajú sa iné štipendiá vyplatené z POO</t>
  </si>
  <si>
    <t>Príjem z dotácie poskytnutej na štipendiá z POO v rámci zmluvy k 31.12. - mimo komponent 10</t>
  </si>
  <si>
    <r>
      <t>Počet študentov poberajúcich štipendiá z POO v osobomesiacoch</t>
    </r>
    <r>
      <rPr>
        <b/>
        <sz val="9"/>
        <rFont val="Times New Roman"/>
        <family val="1"/>
        <charset val="238"/>
      </rPr>
      <t xml:space="preserve"> </t>
    </r>
    <r>
      <rPr>
        <b/>
        <vertAlign val="superscript"/>
        <sz val="14"/>
        <rFont val="Times New Roman"/>
        <family val="1"/>
        <charset val="238"/>
      </rPr>
      <t>1)</t>
    </r>
  </si>
  <si>
    <t xml:space="preserve">Výdavky na štipendiá z POO za kalendárny rok </t>
  </si>
  <si>
    <t>Tabuľka č. 20a: Štipendiá z Plánu obnovy a odolnosti - POO 
za rok 2023</t>
  </si>
  <si>
    <t>uvádzajú sa štipendiá vyplatené z POO, kód v CRŠ: 27 - zahraniční študenti</t>
  </si>
  <si>
    <r>
      <t>- počet vydaných jedál študentom vo vlastných zariadeniach do 30.6.2022</t>
    </r>
    <r>
      <rPr>
        <vertAlign val="superscript"/>
        <sz val="12"/>
        <color rgb="FFFF0000"/>
        <rFont val="Times New Roman"/>
        <family val="1"/>
      </rPr>
      <t xml:space="preserve"> 3)</t>
    </r>
  </si>
  <si>
    <r>
      <t>- počet vydaných jedál študentom vo vlastných zariadeniach od 1.7.2022</t>
    </r>
    <r>
      <rPr>
        <vertAlign val="superscript"/>
        <sz val="12"/>
        <color rgb="FFFF0000"/>
        <rFont val="Times New Roman"/>
        <family val="1"/>
      </rPr>
      <t xml:space="preserve"> 3)</t>
    </r>
  </si>
  <si>
    <r>
      <t>- počet vydaných jedál študentom v zmluvných zariadeniach do 30.6.2022</t>
    </r>
    <r>
      <rPr>
        <vertAlign val="superscript"/>
        <sz val="12"/>
        <color rgb="FFFF0000"/>
        <rFont val="Times New Roman"/>
        <family val="1"/>
      </rPr>
      <t xml:space="preserve"> 4)</t>
    </r>
  </si>
  <si>
    <r>
      <t>- počet vydaných jedál študentom v zmluvných zariadeniach od 1.7.2022</t>
    </r>
    <r>
      <rPr>
        <vertAlign val="superscript"/>
        <sz val="12"/>
        <color rgb="FFFF0000"/>
        <rFont val="Times New Roman"/>
        <family val="1"/>
      </rPr>
      <t xml:space="preserve"> 4)</t>
    </r>
  </si>
  <si>
    <t xml:space="preserve">1) V stĺpcoch B, D, F a H sa uvádza prepočítaný počet študentov určený ako počet osobomesiacov, počas ktorých bolo poskytované štipendium z POO. </t>
  </si>
  <si>
    <t xml:space="preserve">2) V stĺpcoch B, D, F a H sa uvádza celkový (fyzický) počet študentov, ktorým bolo v príslušnom kalendárnom roku poskytnuté štipendium z POO bez ohľadu na počet mesiacov. </t>
  </si>
  <si>
    <t>uvádzajú sa štipendiá vyplatené z POO, kód v CRŠ: 24 - talentovaní študenti</t>
  </si>
  <si>
    <t>uvádzajú sa štipendiá vyplatené z POO, kód v CRŠ: 25 - znevýhodnení študenti</t>
  </si>
  <si>
    <t>uvádzajú sa štipendiá vyplatené zo ŠR - rozvojové projekty, kód v CRŠ: 26</t>
  </si>
  <si>
    <t>Príjmy VVŠ z kapitoly MŠVVaŠ SR</t>
  </si>
  <si>
    <t>Príjmy VVŠ z iných kapitol ako MŠVVaŠ SR</t>
  </si>
  <si>
    <t>časové rozlíšenie</t>
  </si>
  <si>
    <t xml:space="preserve">Nevyčerpaná dotácia (+) / nedoplatok dotácie (-) k 31. 12. predchádzajúceho roka      </t>
  </si>
  <si>
    <t xml:space="preserve">Nevyčerpaná dotácia na štipendiá z RP (+) / nedoplatok dotácie (-) k 31. 12. predchádzajúceho roka      </t>
  </si>
  <si>
    <r>
      <t xml:space="preserve">Príjem z dotácie poskytnutej na štipendiá z POO v rámci zmluvy z kapitoly MŠVVaŠ k 31.12. - </t>
    </r>
    <r>
      <rPr>
        <b/>
        <sz val="12"/>
        <color rgb="FFFF0000"/>
        <rFont val="Times New Roman"/>
        <family val="1"/>
        <charset val="238"/>
      </rPr>
      <t>komponent 10</t>
    </r>
  </si>
  <si>
    <t>- tvorba fondu z odpisov (účet 413 116 , účet 413 916)</t>
  </si>
  <si>
    <t>zostatkový účet VVŠ</t>
  </si>
  <si>
    <t>Tabuľka č. 17: Príjmy verejnej vysokej školy z prostriedkov EÚ a z prostriedkov na ich spolufinancovanie 
zo štátneho rozpočtu v roku 2023</t>
  </si>
  <si>
    <t>Výdavky - vrátenie príjmov zo zostatku dotácie min. rokov</t>
  </si>
  <si>
    <r>
      <t>Nevyčerpaná dotácia (+) / nedoplatok dotácie (-) k 31. 12. bežného roka</t>
    </r>
    <r>
      <rPr>
        <sz val="12"/>
        <rFont val="Times New Roman"/>
        <family val="1"/>
        <charset val="238"/>
      </rPr>
      <t xml:space="preserve"> [R3+R4-R6-R7]; [R3+R5-R6-R7]  pre SG a SH        </t>
    </r>
    <r>
      <rPr>
        <b/>
        <sz val="12"/>
        <rFont val="Times New Roman"/>
        <family val="1"/>
        <charset val="238"/>
      </rPr>
      <t xml:space="preserve">               </t>
    </r>
  </si>
  <si>
    <t>Časové rozlíšenie -  štipendiá za rok 2023, vyplatené VVŠ v roku 2024</t>
  </si>
  <si>
    <t>Časové rozlíšenie - štipendiá za rok 2022,  vyplatené VVŠ v roku 2023</t>
  </si>
  <si>
    <t xml:space="preserve">Výdavky na štipendiá z RP určené na zmiernenie negatívnych dôsledkov vojny na Ukrajine za kalendárny rok </t>
  </si>
  <si>
    <r>
      <t>Preplatok dotácie (+) / nedoplatok dotácie (-) k 31. 12. bežného roka</t>
    </r>
    <r>
      <rPr>
        <sz val="12"/>
        <rFont val="Times New Roman"/>
        <family val="1"/>
        <charset val="238"/>
      </rPr>
      <t xml:space="preserve"> [R3+R4-R5-R6]          </t>
    </r>
    <r>
      <rPr>
        <b/>
        <sz val="12"/>
        <rFont val="Times New Roman"/>
        <family val="1"/>
        <charset val="238"/>
      </rPr>
      <t xml:space="preserve">               </t>
    </r>
  </si>
  <si>
    <r>
      <t xml:space="preserve">Priemerné štipendium na 1 študenta na mesiac </t>
    </r>
    <r>
      <rPr>
        <sz val="12"/>
        <rFont val="Times New Roman"/>
        <family val="1"/>
        <charset val="238"/>
      </rPr>
      <t xml:space="preserve"> [R5_SA/R1_SB resp. R5_SC/R1_SD] </t>
    </r>
  </si>
  <si>
    <t>Zúčtovanie zákonných opravných položiek (659)</t>
  </si>
  <si>
    <t>Zákonné poplatky</t>
  </si>
  <si>
    <t>Tržby z predaja DNM a DHM</t>
  </si>
  <si>
    <t>Prijaté príspevky od právnických osôb</t>
  </si>
  <si>
    <r>
      <t xml:space="preserve">- príspevok na úhradu výdavkov zahraničných študentov DZS (účet 648 016) </t>
    </r>
    <r>
      <rPr>
        <vertAlign val="superscript"/>
        <sz val="12"/>
        <rFont val="Times New Roman"/>
        <family val="1"/>
        <charset val="238"/>
      </rPr>
      <t/>
    </r>
  </si>
  <si>
    <t>- poplatky za ďalšie vzdelávanie (účet 648 007)</t>
  </si>
  <si>
    <t>- poplatky za kvalifikačné skúšky (účet 648 008)</t>
  </si>
  <si>
    <t>- poplatky za doplňujúce skúšky (účet 648 009)</t>
  </si>
  <si>
    <t>- vložné na konferencie, semináre organizované fakultou (účet 648 018)</t>
  </si>
  <si>
    <t>- samoplatci - doplnkové pedagogické štúdium pre absolventov (účet 648 019)</t>
  </si>
  <si>
    <t>- poplatky za habilitačné konanie (§76 ods. 9) (účet 648 022)</t>
  </si>
  <si>
    <r>
      <t>Výnosy zo školného</t>
    </r>
    <r>
      <rPr>
        <sz val="12"/>
        <color indexed="8"/>
        <rFont val="Times New Roman"/>
        <family val="1"/>
      </rPr>
      <t xml:space="preserve"> [SUM (R2:R11)]</t>
    </r>
  </si>
  <si>
    <t>Výnosy zo školného (účet 648) [SUM(R21:R31)]</t>
  </si>
  <si>
    <r>
      <t>Iné ostatné výnosy (účet 646, 649)</t>
    </r>
    <r>
      <rPr>
        <b/>
        <sz val="14"/>
        <rFont val="Times New Roman"/>
        <family val="1"/>
        <charset val="238"/>
      </rPr>
      <t xml:space="preserve"> </t>
    </r>
    <r>
      <rPr>
        <b/>
        <sz val="12"/>
        <rFont val="Times New Roman"/>
        <family val="1"/>
        <charset val="238"/>
      </rPr>
      <t>[SUM(</t>
    </r>
    <r>
      <rPr>
        <b/>
        <sz val="12"/>
        <color rgb="FFFF0000"/>
        <rFont val="Times New Roman"/>
        <family val="1"/>
        <charset val="238"/>
      </rPr>
      <t>R42:R51</t>
    </r>
    <r>
      <rPr>
        <b/>
        <sz val="12"/>
        <rFont val="Times New Roman"/>
        <family val="1"/>
        <charset val="238"/>
      </rPr>
      <t>)]</t>
    </r>
  </si>
  <si>
    <r>
      <t>Výnosy z použitia fondov (účet 656) [SUM(</t>
    </r>
    <r>
      <rPr>
        <b/>
        <sz val="12"/>
        <color rgb="FFFF0000"/>
        <rFont val="Times New Roman"/>
        <family val="1"/>
        <charset val="238"/>
      </rPr>
      <t>R58:R62</t>
    </r>
    <r>
      <rPr>
        <b/>
        <sz val="12"/>
        <color theme="1"/>
        <rFont val="Times New Roman"/>
        <family val="1"/>
        <charset val="238"/>
      </rPr>
      <t xml:space="preserve">)]  </t>
    </r>
    <r>
      <rPr>
        <b/>
        <vertAlign val="superscript"/>
        <sz val="12"/>
        <color theme="1"/>
        <rFont val="Times New Roman"/>
        <family val="1"/>
        <charset val="238"/>
      </rPr>
      <t xml:space="preserve"> 1)</t>
    </r>
  </si>
  <si>
    <r>
      <t xml:space="preserve">- čistiace, hygienické a dezinfekčné potreby (účty 501 008, 501 020, </t>
    </r>
    <r>
      <rPr>
        <sz val="12"/>
        <color rgb="FFFF0000"/>
        <rFont val="Times New Roman"/>
        <family val="1"/>
        <charset val="238"/>
      </rPr>
      <t>501 058</t>
    </r>
    <r>
      <rPr>
        <sz val="12"/>
        <color theme="1"/>
        <rFont val="Times New Roman"/>
        <family val="1"/>
      </rPr>
      <t>)</t>
    </r>
  </si>
  <si>
    <r>
      <t xml:space="preserve">- ostatný materiál (účty 501 099, 501 030, </t>
    </r>
    <r>
      <rPr>
        <sz val="12"/>
        <color rgb="FFFF0000"/>
        <rFont val="Times New Roman"/>
        <family val="1"/>
        <charset val="238"/>
      </rPr>
      <t>501 515</t>
    </r>
    <r>
      <rPr>
        <sz val="12"/>
        <color theme="1"/>
        <rFont val="Times New Roman"/>
        <family val="1"/>
      </rPr>
      <t>, 501 516, 501 519, 501 599)</t>
    </r>
  </si>
  <si>
    <r>
      <t xml:space="preserve">    - </t>
    </r>
    <r>
      <rPr>
        <sz val="12"/>
        <color rgb="FFFF0000"/>
        <rFont val="Times New Roman"/>
        <family val="1"/>
        <charset val="238"/>
      </rPr>
      <t>zamestnanci mimo pracovný pomer (účet 521 014)</t>
    </r>
  </si>
  <si>
    <r>
      <t xml:space="preserve"> - OON </t>
    </r>
    <r>
      <rPr>
        <sz val="12"/>
        <color theme="1"/>
        <rFont val="Times New Roman"/>
        <family val="1"/>
      </rPr>
      <t>[SUM(</t>
    </r>
    <r>
      <rPr>
        <sz val="12"/>
        <color rgb="FFFF0000"/>
        <rFont val="Times New Roman"/>
        <family val="1"/>
        <charset val="238"/>
      </rPr>
      <t>R58:R61</t>
    </r>
    <r>
      <rPr>
        <sz val="12"/>
        <color theme="1"/>
        <rFont val="Times New Roman"/>
        <family val="1"/>
      </rPr>
      <t>)]</t>
    </r>
  </si>
  <si>
    <r>
      <t xml:space="preserve">- ostatné iné náklady (účty 549 011, 549 013, 549 021, 549 098-099, </t>
    </r>
    <r>
      <rPr>
        <sz val="12"/>
        <color rgb="FFFF0000"/>
        <rFont val="Times New Roman"/>
        <family val="1"/>
        <charset val="238"/>
      </rPr>
      <t>549 512</t>
    </r>
    <r>
      <rPr>
        <sz val="12"/>
        <color theme="1"/>
        <rFont val="Times New Roman"/>
        <family val="1"/>
      </rPr>
      <t>)</t>
    </r>
  </si>
  <si>
    <r>
      <t xml:space="preserve">- náklady na tvorbu ostatných fondov (účty 556 510, 556 520, </t>
    </r>
    <r>
      <rPr>
        <sz val="12"/>
        <color rgb="FFFF0000"/>
        <rFont val="Times New Roman"/>
        <family val="1"/>
        <charset val="238"/>
      </rPr>
      <t>556 600</t>
    </r>
    <r>
      <rPr>
        <sz val="12"/>
        <color theme="1"/>
        <rFont val="Times New Roman"/>
        <family val="1"/>
      </rPr>
      <t xml:space="preserve">) </t>
    </r>
  </si>
  <si>
    <r>
      <t xml:space="preserve">- iné analyticky sledované výnosy (účty 602 002-007, </t>
    </r>
    <r>
      <rPr>
        <sz val="12"/>
        <color rgb="FFFF0000"/>
        <rFont val="Times New Roman"/>
        <family val="1"/>
        <charset val="238"/>
      </rPr>
      <t>602</t>
    </r>
    <r>
      <rPr>
        <sz val="12"/>
        <color theme="1"/>
        <rFont val="Times New Roman"/>
        <family val="1"/>
      </rPr>
      <t xml:space="preserve"> 011-</t>
    </r>
    <r>
      <rPr>
        <sz val="12"/>
        <color rgb="FFFF0000"/>
        <rFont val="Times New Roman"/>
        <family val="1"/>
        <charset val="238"/>
      </rPr>
      <t>021</t>
    </r>
    <r>
      <rPr>
        <sz val="12"/>
        <color theme="1"/>
        <rFont val="Times New Roman"/>
        <family val="1"/>
      </rPr>
      <t xml:space="preserve">, 602 099, 602 199, </t>
    </r>
    <r>
      <rPr>
        <sz val="12"/>
        <color rgb="FFFF0000"/>
        <rFont val="Times New Roman"/>
        <family val="1"/>
        <charset val="238"/>
      </rPr>
      <t>602 801-602 806</t>
    </r>
    <r>
      <rPr>
        <sz val="12"/>
        <color theme="1"/>
        <rFont val="Times New Roman"/>
        <family val="1"/>
      </rPr>
      <t>)</t>
    </r>
  </si>
  <si>
    <r>
      <t xml:space="preserve"> '- ostatné výnosy (účty 649 001-8, 649 012, </t>
    </r>
    <r>
      <rPr>
        <sz val="12"/>
        <color rgb="FFFF0000"/>
        <rFont val="Times New Roman"/>
        <family val="1"/>
        <charset val="238"/>
      </rPr>
      <t>649</t>
    </r>
    <r>
      <rPr>
        <sz val="12"/>
        <rFont val="Times New Roman"/>
        <family val="1"/>
        <charset val="238"/>
      </rPr>
      <t xml:space="preserve"> 019-</t>
    </r>
    <r>
      <rPr>
        <sz val="12"/>
        <color rgb="FFFF0000"/>
        <rFont val="Times New Roman"/>
        <family val="1"/>
        <charset val="238"/>
      </rPr>
      <t>027</t>
    </r>
    <r>
      <rPr>
        <sz val="12"/>
        <rFont val="Times New Roman"/>
        <family val="1"/>
        <charset val="238"/>
      </rPr>
      <t>, 649 098, 649 099, 649 113)</t>
    </r>
  </si>
  <si>
    <r>
      <t xml:space="preserve">- ostatných fondov (účty 656 510, 656 520, </t>
    </r>
    <r>
      <rPr>
        <sz val="12"/>
        <color rgb="FFFF0000"/>
        <rFont val="Times New Roman"/>
        <family val="1"/>
        <charset val="238"/>
      </rPr>
      <t>656 600</t>
    </r>
    <r>
      <rPr>
        <sz val="12"/>
        <rFont val="Times New Roman"/>
        <family val="1"/>
        <charset val="238"/>
      </rPr>
      <t>)</t>
    </r>
  </si>
  <si>
    <r>
      <t xml:space="preserve">Zákonné sociálne náklady (účet 527) </t>
    </r>
    <r>
      <rPr>
        <sz val="12"/>
        <color theme="1"/>
        <rFont val="Times New Roman"/>
        <family val="1"/>
      </rPr>
      <t>[SUM(</t>
    </r>
    <r>
      <rPr>
        <sz val="12"/>
        <color rgb="FFFF0000"/>
        <rFont val="Times New Roman"/>
        <family val="1"/>
        <charset val="238"/>
      </rPr>
      <t>R65:R70</t>
    </r>
    <r>
      <rPr>
        <sz val="12"/>
        <color theme="1"/>
        <rFont val="Times New Roman"/>
        <family val="1"/>
      </rPr>
      <t>)]</t>
    </r>
  </si>
  <si>
    <r>
      <t>Ostatné náklady (účtová skupina 54)</t>
    </r>
    <r>
      <rPr>
        <sz val="12"/>
        <color theme="1"/>
        <rFont val="Times New Roman"/>
        <family val="1"/>
      </rPr>
      <t xml:space="preserve"> [</t>
    </r>
    <r>
      <rPr>
        <sz val="12"/>
        <color rgb="FFFF0000"/>
        <rFont val="Times New Roman"/>
        <family val="1"/>
        <charset val="238"/>
      </rPr>
      <t>R76+ R77</t>
    </r>
    <r>
      <rPr>
        <sz val="12"/>
        <color theme="1"/>
        <rFont val="Times New Roman"/>
        <family val="1"/>
      </rPr>
      <t>]</t>
    </r>
  </si>
  <si>
    <r>
      <t>- Iné ostatné  náklady (účet 549) [SUM(</t>
    </r>
    <r>
      <rPr>
        <b/>
        <sz val="12"/>
        <color rgb="FFFF0000"/>
        <rFont val="Times New Roman"/>
        <family val="1"/>
        <charset val="238"/>
      </rPr>
      <t>R78:R84</t>
    </r>
    <r>
      <rPr>
        <b/>
        <sz val="12"/>
        <color theme="1"/>
        <rFont val="Times New Roman"/>
        <family val="1"/>
      </rPr>
      <t>)]</t>
    </r>
  </si>
  <si>
    <r>
      <t xml:space="preserve">Odpisy, predaný majetok a opravné položky (účtová skupina 55: 551 až 558) </t>
    </r>
    <r>
      <rPr>
        <sz val="12"/>
        <color theme="1"/>
        <rFont val="Times New Roman"/>
        <family val="1"/>
      </rPr>
      <t>[SUM(</t>
    </r>
    <r>
      <rPr>
        <sz val="12"/>
        <color rgb="FFFF0000"/>
        <rFont val="Times New Roman"/>
        <family val="1"/>
        <charset val="238"/>
      </rPr>
      <t>R86:R93</t>
    </r>
    <r>
      <rPr>
        <sz val="12"/>
        <color theme="1"/>
        <rFont val="Times New Roman"/>
        <family val="1"/>
      </rPr>
      <t>)]</t>
    </r>
  </si>
  <si>
    <r>
      <t xml:space="preserve">v </t>
    </r>
    <r>
      <rPr>
        <i/>
        <sz val="12"/>
        <color rgb="FFFF0000"/>
        <rFont val="Times New Roman"/>
        <family val="1"/>
        <charset val="238"/>
      </rPr>
      <t>R91</t>
    </r>
    <r>
      <rPr>
        <i/>
        <sz val="12"/>
        <color theme="1"/>
        <rFont val="Times New Roman"/>
        <family val="1"/>
      </rPr>
      <t xml:space="preserve"> ide o náklady na tvorbu FR z predaja a likvidácie majetku = T11R5=T13R5</t>
    </r>
  </si>
  <si>
    <r>
      <t xml:space="preserve">1) V </t>
    </r>
    <r>
      <rPr>
        <sz val="12"/>
        <color rgb="FFFF0000"/>
        <rFont val="Times New Roman"/>
        <family val="1"/>
        <charset val="238"/>
      </rPr>
      <t>R58-62</t>
    </r>
    <r>
      <rPr>
        <sz val="12"/>
        <rFont val="Times New Roman"/>
        <family val="1"/>
      </rPr>
      <t xml:space="preserve"> sa uvedú výnosy účtované v súvislosti s použitím  príslušného fondu.  </t>
    </r>
  </si>
  <si>
    <r>
      <t xml:space="preserve">Spolu </t>
    </r>
    <r>
      <rPr>
        <sz val="12"/>
        <color theme="1"/>
        <rFont val="Times New Roman"/>
        <family val="1"/>
      </rPr>
      <t>[R1+R14+R21+R22+R27+R35+R38+R39+R55+SUM (</t>
    </r>
    <r>
      <rPr>
        <sz val="12"/>
        <color rgb="FFFF0000"/>
        <rFont val="Times New Roman"/>
        <family val="1"/>
        <charset val="238"/>
      </rPr>
      <t>R62:R63</t>
    </r>
    <r>
      <rPr>
        <sz val="12"/>
        <color theme="1"/>
        <rFont val="Times New Roman"/>
        <family val="1"/>
      </rPr>
      <t>)</t>
    </r>
    <r>
      <rPr>
        <sz val="12"/>
        <color rgb="FFFF0000"/>
        <rFont val="Times New Roman"/>
        <family val="1"/>
        <charset val="238"/>
      </rPr>
      <t>+R64</t>
    </r>
    <r>
      <rPr>
        <sz val="12"/>
        <color theme="1"/>
        <rFont val="Times New Roman"/>
        <family val="1"/>
      </rPr>
      <t>+SUM (</t>
    </r>
    <r>
      <rPr>
        <sz val="12"/>
        <color rgb="FFFF0000"/>
        <rFont val="Times New Roman"/>
        <family val="1"/>
        <charset val="238"/>
      </rPr>
      <t>R71:R74</t>
    </r>
    <r>
      <rPr>
        <sz val="12"/>
        <color theme="1"/>
        <rFont val="Times New Roman"/>
        <family val="1"/>
      </rPr>
      <t>)</t>
    </r>
    <r>
      <rPr>
        <sz val="12"/>
        <color rgb="FFFF0000"/>
        <rFont val="Times New Roman"/>
        <family val="1"/>
        <charset val="238"/>
      </rPr>
      <t>+R75+R77+R85+R94+R95+R96</t>
    </r>
    <r>
      <rPr>
        <sz val="12"/>
        <color theme="1"/>
        <rFont val="Times New Roman"/>
        <family val="1"/>
      </rPr>
      <t>]</t>
    </r>
  </si>
  <si>
    <r>
      <t xml:space="preserve">- počítačové siete a prenosy údajov (účet 518 007, </t>
    </r>
    <r>
      <rPr>
        <sz val="12"/>
        <color rgb="FFFF0000"/>
        <rFont val="Times New Roman"/>
        <family val="1"/>
        <charset val="238"/>
      </rPr>
      <t>518 057</t>
    </r>
    <r>
      <rPr>
        <sz val="12"/>
        <color theme="1"/>
        <rFont val="Times New Roman"/>
        <family val="1"/>
      </rPr>
      <t>)</t>
    </r>
  </si>
  <si>
    <r>
      <t xml:space="preserve"> '- iné analyticky sledované náklady (účty 518 003, 518 013, 518 015-018, 518 020-030, 518 031-034, 518 036-038, </t>
    </r>
    <r>
      <rPr>
        <sz val="12"/>
        <color rgb="FFFF0000"/>
        <rFont val="Times New Roman"/>
        <family val="1"/>
        <charset val="238"/>
      </rPr>
      <t>518</t>
    </r>
    <r>
      <rPr>
        <sz val="12"/>
        <color theme="1"/>
        <rFont val="Times New Roman"/>
        <family val="1"/>
      </rPr>
      <t xml:space="preserve"> 040-</t>
    </r>
    <r>
      <rPr>
        <sz val="12"/>
        <color rgb="FFFF0000"/>
        <rFont val="Times New Roman"/>
        <family val="1"/>
        <charset val="238"/>
      </rPr>
      <t>042</t>
    </r>
    <r>
      <rPr>
        <sz val="12"/>
        <color theme="1"/>
        <rFont val="Times New Roman"/>
        <family val="1"/>
      </rPr>
      <t xml:space="preserve">, 518 052, 518 007, 518 057, 518 089, 518 099, 518 529-530, 518-599) </t>
    </r>
  </si>
  <si>
    <r>
      <t>Výnosy z poplatkov spojených so štúdiom</t>
    </r>
    <r>
      <rPr>
        <sz val="12"/>
        <rFont val="Times New Roman"/>
        <family val="1"/>
      </rPr>
      <t xml:space="preserve"> [SUM (</t>
    </r>
    <r>
      <rPr>
        <sz val="12"/>
        <color rgb="FFFF0000"/>
        <rFont val="Times New Roman"/>
        <family val="1"/>
        <charset val="238"/>
      </rPr>
      <t>R13:R18</t>
    </r>
    <r>
      <rPr>
        <sz val="12"/>
        <rFont val="Times New Roman"/>
        <family val="1"/>
      </rPr>
      <t>)]</t>
    </r>
  </si>
  <si>
    <r>
      <t>Výnosy z poplatkov spojených so štúdiom (účet 648) [SUM(</t>
    </r>
    <r>
      <rPr>
        <b/>
        <sz val="12"/>
        <color rgb="FFFF0000"/>
        <rFont val="Times New Roman"/>
        <family val="1"/>
        <charset val="238"/>
      </rPr>
      <t>R33:R38</t>
    </r>
    <r>
      <rPr>
        <b/>
        <sz val="12"/>
        <rFont val="Times New Roman"/>
        <family val="1"/>
      </rPr>
      <t xml:space="preserve">)] </t>
    </r>
  </si>
  <si>
    <t>- výnosy účtu 648 (účet 648 099)</t>
  </si>
  <si>
    <r>
      <t xml:space="preserve">Spolu </t>
    </r>
    <r>
      <rPr>
        <sz val="11"/>
        <color rgb="FFFF0000"/>
        <rFont val="Times New Roman"/>
        <family val="1"/>
        <charset val="238"/>
      </rPr>
      <t>[R1+R6+SUM(R17:R18)+R19+R20+R32+R39+R40 +R41+SUM(R52:R56)+R57+SUM(R63:R71)]</t>
    </r>
  </si>
  <si>
    <t>MZ SR projekt 07B0104 Rezident</t>
  </si>
  <si>
    <t>Min. zahraničných vecí SR FF,G-22-105/0001-00</t>
  </si>
  <si>
    <t>1c</t>
  </si>
  <si>
    <t>Sanet,G-19-190/0001-00</t>
  </si>
  <si>
    <t>1d</t>
  </si>
  <si>
    <t>Strakova SKEBA,G-23-190/0001-00</t>
  </si>
  <si>
    <t>1e</t>
  </si>
  <si>
    <t>APVV v spolupráci</t>
  </si>
  <si>
    <t xml:space="preserve"> Vyšehradský fond</t>
  </si>
  <si>
    <t>SK NIC Sokol</t>
  </si>
  <si>
    <t>3c</t>
  </si>
  <si>
    <t>BZ,UK,Rektorát, Prír.f. príspevky</t>
  </si>
  <si>
    <t>3d</t>
  </si>
  <si>
    <t>Príspevky pre TIP</t>
  </si>
  <si>
    <t>3e</t>
  </si>
  <si>
    <t>FoPa, Fin.mechanizmus.06P0B0601</t>
  </si>
  <si>
    <t>3f</t>
  </si>
  <si>
    <t>InStyle Vozáriková</t>
  </si>
  <si>
    <t>3g</t>
  </si>
  <si>
    <t>JUHAPHARM Martinková</t>
  </si>
  <si>
    <t>3h</t>
  </si>
  <si>
    <t>Summer school</t>
  </si>
  <si>
    <t>EFFUSe,  Spol.sekret.Budapešť,0DV060201,1AJ1</t>
  </si>
  <si>
    <t>H2020 River</t>
  </si>
  <si>
    <t>4c</t>
  </si>
  <si>
    <t>Projekt IMMERSE, Z-21-101/0002-08</t>
  </si>
  <si>
    <t>4d</t>
  </si>
  <si>
    <t>Response, Z-20-101/0001-08</t>
  </si>
  <si>
    <t>4e</t>
  </si>
  <si>
    <t>Konferencia XFEL,Z-22-190/0004-10</t>
  </si>
  <si>
    <t>4f</t>
  </si>
  <si>
    <t>Erasmus, Sokrates, SAAIC</t>
  </si>
  <si>
    <t>4g</t>
  </si>
  <si>
    <t>IMPRESA,Z-20-105/0001-10</t>
  </si>
  <si>
    <t>4h</t>
  </si>
  <si>
    <t>InnoChange, Z-21-190/0002-08</t>
  </si>
  <si>
    <t>4ch</t>
  </si>
  <si>
    <t>RARE, Spol.sekret.Budapešť, 0DV080901</t>
  </si>
  <si>
    <t>4i</t>
  </si>
  <si>
    <t>SCIROCCO Exchange, Z-23-101/0003-00</t>
  </si>
  <si>
    <t>4j</t>
  </si>
  <si>
    <t>ESA Contract, Z-23-102/0001-08</t>
  </si>
  <si>
    <t>4k</t>
  </si>
  <si>
    <t>HEU MSCA SAV PF,z-23-102/0002-08</t>
  </si>
  <si>
    <t>4l</t>
  </si>
  <si>
    <t>Digital Soccer, Z-23-190/0001-08</t>
  </si>
  <si>
    <t>Rare má BD 893,59 vtab 17, zdroj 1AJ2poskytnutú z MIRRI SR</t>
  </si>
  <si>
    <t>Botanická záhrada</t>
  </si>
  <si>
    <t>Zahraniční lektori</t>
  </si>
  <si>
    <t>077150303</t>
  </si>
  <si>
    <t>1AA1,1AA2,1AJ1,1AJ2,1AZ1,3AA1,3AA2</t>
  </si>
  <si>
    <t>42,43,46</t>
  </si>
  <si>
    <t>131K,131L,131M,11GR,13GR,71</t>
  </si>
  <si>
    <t>1P01</t>
  </si>
  <si>
    <t>3P01</t>
  </si>
  <si>
    <t>Nedostali sme fin. prostriedky v roku 2023</t>
  </si>
  <si>
    <t xml:space="preserve">Názov verejnej vysokej školy: UPJŠ v Košiciach
Názov fakulty: </t>
  </si>
  <si>
    <r>
      <t xml:space="preserve">Účty v Štátnej pokladnici spolu [SUM(R2:R16)] </t>
    </r>
    <r>
      <rPr>
        <b/>
        <sz val="12"/>
        <color rgb="FFFF0000"/>
        <rFont val="Times New Roman"/>
        <family val="1"/>
        <charset val="238"/>
      </rPr>
      <t>tu by mal byť text R2:R17</t>
    </r>
  </si>
  <si>
    <t>do vzorca som doplnila C7 a C22, oproti pôvodnému vzorcu, ktorý ste tam mali.+text v stlpci Ar1</t>
  </si>
  <si>
    <t xml:space="preserve">SK1681800000007000633256
SK4881800000007000241770
SK6581800000007000241949
SK6881800000007000152655
SK7081800000007000241762
SK7481800000007000241690
SK9581800000007000241797
</t>
  </si>
  <si>
    <t xml:space="preserve">SK1081800000007000137500
SK1381800000007000137543
SK3581800000007000137535
SK3881800000007000633248
SK5781800000007000137527
SK7981800000007000137519
</t>
  </si>
  <si>
    <t>SK3681800000007000436471</t>
  </si>
  <si>
    <t xml:space="preserve">SK0581800000007000643833
SK0681800000007000679705
SK0781800000007000682015
SK1481800000007000535904
SK1581800000007000677021
SK1781800000007000634208
SK1881800000007000653978
SK2181800000007000691560
SK2481800000007000686171
SK2481800000007000689372
SK2881800000007000652828
SK3081800000007000373335
SK3181800000007000678964
SK3381800000007000658170
SK3881800000007000440315
SK4381800000007000559535
SK4481800000007000429052
SK4481800000007000540893
SK4781800000007000689831
SK5581800000007000687262
SK5981800000007000656538
SK5981800000007000682146
SK6081800000007000656423
SK6881800000007000547833
SK7681800000007000684459
SK7781800000007000634195
SK7881800000007000661337
SK8881800000007000636422
SK9281800000007000634216
SK9481800000007000657266
SK9781800000007000660801
</t>
  </si>
  <si>
    <t>SK9181800000007000078424</t>
  </si>
  <si>
    <t>Rozdiel 0,01€ oproti ŠP z dôvodu rozdielnach kurzov USD/EUR Sap a ŠP</t>
  </si>
  <si>
    <t xml:space="preserve">SK4581800000007000078379
SK4781800000007000078440
SK6581800000007000078504
SK8081800000007000252349
SK8381800000007000086037
</t>
  </si>
  <si>
    <t>SK0881800000007000086029
SK2181800000007000078520
SK8681800000007000074343
SK9181800000007000633264
SK9481800000007000078467
SK9881800000007000078395</t>
  </si>
  <si>
    <t xml:space="preserve">SK1181800000007000074335
SK1681800000007000078416
SK3981800000007000086053
SK5081800000007000078483
SK6281800000007000633301
SK6881800000007000078547
</t>
  </si>
  <si>
    <t>SK1581800000007000467307</t>
  </si>
  <si>
    <t xml:space="preserve">SK0281800000007000633993
SK0281800000007000666197
SK0581800000007000497848
SK0781800000007000368026
SK0781800000007000528755
SK0781800000007000659608
SK1081800000007000300363
SK1181800000007000572430
SK1281800000007000664562
SK1981800000007000078459
SK1981800000007000633299
SK2381800000007000078387
SK2881800000007000078491
SK3381800000007000658752
SK3681800000007000086010
SK4181800000007000565003
SK4181800000007000570435
SK4381800000007000078512
SK4381800000007000593776
SK4381800000007000689321
SK4481800000007000354847
SK4481800000007000645265
SK4781800000007000429677
SK4781800000007000633280
SK5481800000007000099751
SK5881800000007000086002
SK5881800000007000252357
SK5981800000007000620551
SK6081800000007000558938
SK6381800000007000682074
SK6481800000007000074351
SK6481800000007000677400
SK6981800000007000078432
SK7181800000007000677080
SK7381800000007000078360
SK7481800000007000664028
SK7481800000007000671594
SK7781800000007000470362
SK7881800000007000373829
SK7981800000007000358776
SK8081800000007000572449
SK8381800000007000647279
SK8681800000007000677101
SK8981800000007000074386
SK8981800000007000333667
SK9581800000007000467710
SK9881800000007000464261
</t>
  </si>
  <si>
    <t>sumu z tohto riadku som doplnila do vzorca riadku 1</t>
  </si>
  <si>
    <t>čiastka  je hotovosť v pokladni na podnikateľskej činnosti v Danišovciach</t>
  </si>
  <si>
    <t>zdroj 1AJ2; 3AJ2 MH SR</t>
  </si>
  <si>
    <t>zdroj 1AZ1-MŽP SR/SIEA</t>
  </si>
  <si>
    <t>zdroj 1AA1- MH SR</t>
  </si>
  <si>
    <t>23c</t>
  </si>
  <si>
    <t>zdroj 1AA2- MH SR</t>
  </si>
  <si>
    <t>BD</t>
  </si>
  <si>
    <t>KD</t>
  </si>
  <si>
    <t xml:space="preserve">Dotácia spolu </t>
  </si>
  <si>
    <t>EU</t>
  </si>
  <si>
    <t>spolufin</t>
  </si>
  <si>
    <t>spolufKD</t>
  </si>
  <si>
    <t>spoluf.</t>
  </si>
  <si>
    <t>1AA1,3AA1</t>
  </si>
  <si>
    <t>1AA2,3AA2</t>
  </si>
  <si>
    <t>MŠVVaŠ</t>
  </si>
  <si>
    <t>iné kapitoly</t>
  </si>
  <si>
    <t>spolu zdroje</t>
  </si>
  <si>
    <t>komentárk riadku 4</t>
  </si>
  <si>
    <t>č.zmluvy741/2022: 276 000,- eur +č.zmluvy0122/2023: 249 000,- eur</t>
  </si>
  <si>
    <t>č.zmluvy741/2022:33 000,- eur +č.zmluvy0122/2023:114 000,- eur</t>
  </si>
  <si>
    <t>č.zmluvy679/2023:4 000,- eur</t>
  </si>
  <si>
    <r>
      <t>445800-12000=</t>
    </r>
    <r>
      <rPr>
        <b/>
        <sz val="12"/>
        <rFont val="Times New Roman"/>
        <family val="1"/>
        <charset val="238"/>
      </rPr>
      <t>433 800,- eur/Nedočer.dot. SAP</t>
    </r>
  </si>
  <si>
    <r>
      <t>138000-3000=</t>
    </r>
    <r>
      <rPr>
        <b/>
        <sz val="12"/>
        <rFont val="Times New Roman"/>
        <family val="1"/>
        <charset val="238"/>
      </rPr>
      <t>135 000,- eur/Nedočer.dot.SAP</t>
    </r>
  </si>
  <si>
    <t>077150206 = CRŠ 24</t>
  </si>
  <si>
    <t>077150207 = CRŠ 25</t>
  </si>
  <si>
    <t>Neobdržali sme fin. prostriedky v roku 2023</t>
  </si>
  <si>
    <t>stratégia ľudsakých zdrojov vo výskume na UPJŠ /0771351 Ručinská/</t>
  </si>
  <si>
    <t>Integrácia košických univerzít v oblasti transferu technológií /CassTech 0771353/</t>
  </si>
  <si>
    <t>Materská škola pri UPJS /0771354/</t>
  </si>
  <si>
    <t>One. Point / 0771355/</t>
  </si>
  <si>
    <t>Zmiernenei negatívnych dôsledkov vojnového konfliktu na Ukrajine zdorj 11UA/0771356/</t>
  </si>
  <si>
    <t>I-I Projekt: Integrácia a interkulturalita na UPJŠ/0771357/</t>
  </si>
  <si>
    <t>HRS4R na UPJS 2023-2026 /Strat.LZ 0771358/</t>
  </si>
  <si>
    <t>7500,- eru vrátené MŠVVaŠ SR 28.03.2023zahrnuté do ročného zuč. so ŠR za 2022</t>
  </si>
  <si>
    <r>
      <rPr>
        <b/>
        <sz val="12"/>
        <rFont val="Times New Roman"/>
        <family val="1"/>
        <charset val="238"/>
      </rPr>
      <t>riadok 8 nesedí na Sap</t>
    </r>
    <r>
      <rPr>
        <sz val="12"/>
        <rFont val="Times New Roman"/>
        <family val="1"/>
      </rPr>
      <t xml:space="preserve">:  </t>
    </r>
    <r>
      <rPr>
        <b/>
        <sz val="12"/>
        <rFont val="Times New Roman"/>
        <family val="1"/>
        <charset val="238"/>
      </rPr>
      <t>Nevyčerpaná dotácia</t>
    </r>
    <r>
      <rPr>
        <sz val="12"/>
        <rFont val="Times New Roman"/>
        <family val="1"/>
      </rPr>
      <t>, lebo v skutočnosti k zmluve č.741/2022 v roku 2023 neprišli finanačné prostriedky v zazmluvnenenj výške, ale pre talentovaných</t>
    </r>
    <r>
      <rPr>
        <b/>
        <sz val="12"/>
        <rFont val="Times New Roman"/>
        <family val="1"/>
        <charset val="238"/>
      </rPr>
      <t>: 264 000,- eur</t>
    </r>
    <r>
      <rPr>
        <sz val="12"/>
        <rFont val="Times New Roman"/>
        <family val="1"/>
      </rPr>
      <t xml:space="preserve"> oproti 276000,- eur a pre znevýhodnených</t>
    </r>
    <r>
      <rPr>
        <b/>
        <sz val="12"/>
        <rFont val="Times New Roman"/>
        <family val="1"/>
        <charset val="238"/>
      </rPr>
      <t xml:space="preserve"> :30 000,- eur</t>
    </r>
    <r>
      <rPr>
        <sz val="12"/>
        <rFont val="Times New Roman"/>
        <family val="1"/>
      </rPr>
      <t xml:space="preserve"> oproti 33000,- eur</t>
    </r>
  </si>
  <si>
    <t>zdroj 3P01, MIRRI SR, ÚV SA</t>
  </si>
  <si>
    <t>077150301</t>
  </si>
  <si>
    <t>tento riadok sa zmenil zR13:R19</t>
  </si>
  <si>
    <t>tento riadok sa zmenil z R33:R40</t>
  </si>
  <si>
    <t>vrátky 131K</t>
  </si>
  <si>
    <t>Rozdiel T23_R24_SA a T5_R82_SA je aj suma 3337,90 € kde sú zaúčtované štipendiá doktorandov z vlastných zdrojov na účtoch 549016 a 549017, ktoré tvorili aj čerpali Štipendijný fond cez účty 556 a 656</t>
  </si>
  <si>
    <t xml:space="preserve"> Rozdiel medzi údajom v T6_R18_SH a údajmi v T5_R56_(SC+SD)tvorí rozdiel výšky tvorby krátkodobej rezervy na mzdy na nevyčerpanú dovolenku za rok 2023 a čerpanou rezervou z roku 2022 v celkovej čiastke 270 448,58 €</t>
  </si>
  <si>
    <t>aj z T2_R4a,R4e_SB</t>
  </si>
  <si>
    <t>EAIE Rotterdam 2023z MŠVVaŠ G-23-190/0001-00,111,312001 ako nealok z MŠVVaŠ SR</t>
  </si>
  <si>
    <t>3ch</t>
  </si>
  <si>
    <t>R4 SA+SCzazmluvnené fin prostriedky, nie skutočný príjem dotácie, ktorý bol 513000,- eur CRŠ24 a 144 000,- eur CRŠ25</t>
  </si>
  <si>
    <t>zo sumy 16150,- nebol tvorený štipendijný fond, nakoľko je to program 06P0L0101</t>
  </si>
  <si>
    <t>T21_R1_SG=v tom vratka KD - 8146,03€</t>
  </si>
  <si>
    <t>štipendijný fond je tvorený z dotácie na účte HK 413 iba z ŠPP: 077150101-077150299,</t>
  </si>
  <si>
    <r>
      <t>ŠF je nižší o</t>
    </r>
    <r>
      <rPr>
        <b/>
        <sz val="12"/>
        <color rgb="FF0000FF"/>
        <rFont val="Times New Roman"/>
        <family val="1"/>
      </rPr>
      <t xml:space="preserve"> 31150,-</t>
    </r>
    <r>
      <rPr>
        <sz val="12"/>
        <color rgb="FF0000FF"/>
        <rFont val="Times New Roman"/>
        <family val="1"/>
      </rPr>
      <t xml:space="preserve"> : </t>
    </r>
    <r>
      <rPr>
        <b/>
        <sz val="12"/>
        <color rgb="FF0000FF"/>
        <rFont val="Times New Roman"/>
        <family val="1"/>
      </rPr>
      <t>15000,- eur,</t>
    </r>
    <r>
      <rPr>
        <sz val="12"/>
        <color rgb="FF0000FF"/>
        <rFont val="Times New Roman"/>
        <family val="1"/>
      </rPr>
      <t xml:space="preserve"> súvzťažnosť je na zazmluvnené dotácie zPOO, nie na skutočne prijaté.Suma </t>
    </r>
    <r>
      <rPr>
        <b/>
        <sz val="12"/>
        <color rgb="FF0000FF"/>
        <rFont val="Times New Roman"/>
        <family val="1"/>
      </rPr>
      <t xml:space="preserve">16150,- eur </t>
    </r>
    <r>
      <rPr>
        <sz val="12"/>
        <color rgb="FF0000FF"/>
        <rFont val="Times New Roman"/>
        <family val="1"/>
      </rPr>
      <t>by nemala byť zahrnutá do súvzťažnosti, nakoľko sa z nej netvorí štip.fond./vysvetlené v Tab.20a/</t>
    </r>
  </si>
  <si>
    <t>Rozdiel T13_R4_SD a T5_R87_SCD je v sume 7884,24 € nakoľko ide o zostatkovú cenu predaného majetku  vedenom na účte HK 552</t>
  </si>
  <si>
    <r>
      <t>0781301-02 učitelia,</t>
    </r>
    <r>
      <rPr>
        <b/>
        <sz val="12"/>
        <rFont val="Times New Roman"/>
        <family val="1"/>
        <charset val="238"/>
      </rPr>
      <t xml:space="preserve"> MŠVVaŠ SR</t>
    </r>
  </si>
  <si>
    <r>
      <t xml:space="preserve">077150206-08, </t>
    </r>
    <r>
      <rPr>
        <b/>
        <sz val="12"/>
        <rFont val="Times New Roman"/>
        <family val="1"/>
        <charset val="238"/>
      </rPr>
      <t>MŠVVaŠ SR</t>
    </r>
  </si>
  <si>
    <r>
      <t xml:space="preserve">0ET0B0301 EDCASS Digit., </t>
    </r>
    <r>
      <rPr>
        <b/>
        <sz val="12"/>
        <rFont val="Times New Roman"/>
        <family val="1"/>
        <charset val="238"/>
      </rPr>
      <t>MIRRI SR</t>
    </r>
  </si>
  <si>
    <r>
      <t xml:space="preserve">06P0L0101-08, </t>
    </r>
    <r>
      <rPr>
        <b/>
        <sz val="12"/>
        <rFont val="Times New Roman"/>
        <family val="1"/>
        <charset val="238"/>
      </rPr>
      <t>ÚV SR/VAIA</t>
    </r>
  </si>
  <si>
    <t>údaje výkaz zo Sapu</t>
  </si>
  <si>
    <t>výkaz zo Sapu</t>
  </si>
  <si>
    <t xml:space="preserve">Názov verejnej vysokej školy: UPJŠ v Košiciach   
Názov fakulty:  </t>
  </si>
  <si>
    <t xml:space="preserve">Názov verejnej vysokej školy:  UPJŠ v Košiciach  
Názov fakulty: </t>
  </si>
  <si>
    <t xml:space="preserve">Názov verejnej vysokej školy:  UPJŠ v Košiciach  
Názov fakulty:   </t>
  </si>
  <si>
    <t xml:space="preserve">Názov verejnej vysokej školy: UPJŠ v Košiciach 
Názov fakulty:  </t>
  </si>
  <si>
    <t xml:space="preserve">Názov verejnej vysokej školy:  UPJŠ v Košiciach 
Názov fakulty:  </t>
  </si>
  <si>
    <t xml:space="preserve">Názov verejnej vysokej školy:UPJŠ v Košiciach   
Názov fakulty:  </t>
  </si>
  <si>
    <t>Názov verejnej vysokej školy: UPJŠ v Košiciach 
Názov fakulty:</t>
  </si>
  <si>
    <t xml:space="preserve">Názov verejnej vysokej školy: UPJŠ v Košiciach </t>
  </si>
  <si>
    <t xml:space="preserve">Názov verejnej vysokej školy:  UPJŠ v Košiciach </t>
  </si>
  <si>
    <t xml:space="preserve">Názov verejnej vysokej školy: UPJŠ v Košiciach  
Názov fakulty:  </t>
  </si>
  <si>
    <t xml:space="preserve">Názov verejnej vysokej školy: UPJŠ v Košiciach    
Názov fakulty:  </t>
  </si>
  <si>
    <t xml:space="preserve">Názov verejnej vysokej školy:UPJŠ v Košiciach    
Názov fakulty:  </t>
  </si>
  <si>
    <t xml:space="preserve">OK, Šim. </t>
  </si>
  <si>
    <t>OK</t>
  </si>
  <si>
    <t>OK, Osifová</t>
  </si>
  <si>
    <t>CVTI</t>
  </si>
  <si>
    <t>prosím zdôvodniť</t>
  </si>
  <si>
    <t>rozdiel 50 ks</t>
  </si>
  <si>
    <t>CVTI uvádza údaj 309 272</t>
  </si>
  <si>
    <t>nevieme odkontrolovať</t>
  </si>
  <si>
    <t>OK-vie</t>
  </si>
  <si>
    <t>Ok - LucSti</t>
  </si>
  <si>
    <t>čiast. NOK - LucSti</t>
  </si>
  <si>
    <t>Nesedí posledná súvsťažnosť</t>
  </si>
  <si>
    <t>Ok, Osifová</t>
  </si>
  <si>
    <t>rozdiel v počte vydaných jedál o 50 ks zdôvodnený emailom zo dňa 19.04.2024</t>
  </si>
  <si>
    <t>Ok</t>
  </si>
  <si>
    <t>Hor, ok</t>
  </si>
  <si>
    <t>ok</t>
  </si>
  <si>
    <t>ok, Hor</t>
  </si>
  <si>
    <t>N ok</t>
  </si>
  <si>
    <t>čiast. Pob.</t>
  </si>
  <si>
    <t xml:space="preserve">nesedí na účtovnú závierku </t>
  </si>
  <si>
    <t>chýba komentár k súvzťažnosti medzi T5 a T6</t>
  </si>
  <si>
    <t>ok Pob.</t>
  </si>
  <si>
    <t>chybná Pob.</t>
  </si>
  <si>
    <t>nesedí suvzťažnosť</t>
  </si>
  <si>
    <r>
      <t>čerpanie fondu R11SF je nižší o 9690,- eur.Tvoria ho sumy z tab. 20a stlpec G</t>
    </r>
    <r>
      <rPr>
        <b/>
        <sz val="12"/>
        <color rgb="FF0000FF"/>
        <rFont val="Times New Roman"/>
        <family val="1"/>
        <charset val="238"/>
      </rPr>
      <t xml:space="preserve"> +12112,50+807,50-3230=9 690 eur</t>
    </r>
    <r>
      <rPr>
        <sz val="12"/>
        <color rgb="FF0000FF"/>
        <rFont val="Times New Roman"/>
        <family val="1"/>
      </rPr>
      <t xml:space="preserve">, je to program 06P0L0101, na ktorý sme netvorili štipen. </t>
    </r>
  </si>
  <si>
    <t xml:space="preserve">čerpanie fondu R11SF je nižší o 9690,- eur.Tvoria ho sumy z tab. 20a stlpec G +12112,50+807,50-3230=9 690 eur, je to program 06P0L0101, na ktorý sme netvorili štipen. </t>
  </si>
  <si>
    <r>
      <t>400955+63827+34200+143370+328200+349200+41100+0+12112,5+126000+48600+1600+807,5-108000-13200-0-3230=</t>
    </r>
    <r>
      <rPr>
        <b/>
        <sz val="12"/>
        <rFont val="Times New Roman"/>
        <family val="1"/>
        <charset val="238"/>
      </rPr>
      <t>1 425 542</t>
    </r>
  </si>
  <si>
    <t>T13_R11SF=1415852</t>
  </si>
  <si>
    <r>
      <t>čerpanie fondu R11SF je nižší o 9690,- eur.Tvoria ho sumy z tab. 20a stlpec G +12112,50+807,50-3230=</t>
    </r>
    <r>
      <rPr>
        <b/>
        <sz val="12"/>
        <rFont val="Times New Roman"/>
        <family val="1"/>
        <charset val="238"/>
      </rPr>
      <t>9 690 eur</t>
    </r>
    <r>
      <rPr>
        <sz val="12"/>
        <rFont val="Times New Roman"/>
        <family val="1"/>
      </rPr>
      <t xml:space="preserve">, je to program 06P0L0101, na ktorý sme netvorili štipen. </t>
    </r>
  </si>
  <si>
    <r>
      <t>T13_R11_SF = T8_R1_SC+T19_R1_SC+T8a_R1_SC+T20_R3_SC+SD+T20a_R6 SA+SC+SE+</t>
    </r>
    <r>
      <rPr>
        <b/>
        <sz val="12"/>
        <rFont val="Times New Roman"/>
        <family val="1"/>
        <charset val="238"/>
      </rPr>
      <t>SG</t>
    </r>
    <r>
      <rPr>
        <sz val="12"/>
        <rFont val="Times New Roman"/>
        <family val="1"/>
      </rPr>
      <t>+T20a_R9_SA+SC+SE</t>
    </r>
    <r>
      <rPr>
        <b/>
        <sz val="12"/>
        <rFont val="Times New Roman"/>
        <family val="1"/>
        <charset val="238"/>
      </rPr>
      <t>+SG</t>
    </r>
    <r>
      <rPr>
        <sz val="12"/>
        <rFont val="Times New Roman"/>
        <family val="1"/>
      </rPr>
      <t>-T20a_R10_SA+SC+SE+</t>
    </r>
    <r>
      <rPr>
        <b/>
        <sz val="12"/>
        <rFont val="Times New Roman"/>
        <family val="1"/>
        <charset val="238"/>
      </rPr>
      <t>SG</t>
    </r>
    <r>
      <rPr>
        <sz val="12"/>
        <rFont val="Times New Roman"/>
        <family val="1"/>
      </rPr>
      <t>+T20b_R5_SA+SC+T20b_R8_SA+SC-T20b_R9_SA+SC</t>
    </r>
  </si>
  <si>
    <r>
      <t xml:space="preserve">Rozdiel= </t>
    </r>
    <r>
      <rPr>
        <b/>
        <sz val="12"/>
        <rFont val="Times New Roman"/>
        <family val="1"/>
        <charset val="238"/>
      </rPr>
      <t>9 690</t>
    </r>
    <r>
      <rPr>
        <sz val="12"/>
        <rFont val="Times New Roman"/>
        <family val="1"/>
      </rPr>
      <t>,- eur sa týka T20a SG +R6+R9-R10</t>
    </r>
  </si>
  <si>
    <r>
      <t xml:space="preserve">Rozdiel= </t>
    </r>
    <r>
      <rPr>
        <b/>
        <sz val="12"/>
        <rFont val="Times New Roman"/>
        <family val="1"/>
        <charset val="238"/>
      </rPr>
      <t>9 690,-</t>
    </r>
    <r>
      <rPr>
        <sz val="12"/>
        <rFont val="Times New Roman"/>
        <family val="1"/>
      </rPr>
      <t xml:space="preserve"> eur sa týka T20a SG +R6+R9-R10</t>
    </r>
  </si>
  <si>
    <r>
      <t>T13_R11SF=</t>
    </r>
    <r>
      <rPr>
        <b/>
        <sz val="12"/>
        <rFont val="Times New Roman"/>
        <family val="1"/>
        <charset val="238"/>
      </rPr>
      <t>1415852</t>
    </r>
  </si>
  <si>
    <t>komentár I.Raková</t>
  </si>
  <si>
    <t>suma 12 112,50 eur sa nezapočítava do čerpania štip. fondu, lebo je to program 06P0L0101, pričom v suvzťažnostiach r.85 a r. 93 vo vzoci je táto suma prirátaná.</t>
  </si>
  <si>
    <t>suma 807,50 eur sa nezapočítava do čerpania štip. fondu, lebo je to program 06P0L0101, pričom v suvzťažnostiach r.85 a r. 93 vo vzoci je táto suma prirátaná.</t>
  </si>
  <si>
    <t>suma 3 230 eur sa neodpočítava do čerpania štip. fondu, lebo je to program 06P0L0101, pričom v suvzťažnostiach r.85 a r. 93 vo vzoci je táto suma odrátaná.</t>
  </si>
  <si>
    <t>komentár  k súvzťažnosti doplnila I. Raková</t>
  </si>
  <si>
    <t>opravené</t>
  </si>
  <si>
    <t>štatistický údaj bol chybne zadaný z úrovne ŠJ o 50 ks.</t>
  </si>
  <si>
    <t>ŠJ potvrdzuje správnosť 309 322 ks.</t>
  </si>
  <si>
    <t>Vo výkaze ziskov a strát sú v riadku č.058 účtu HK 649 zahrnuté aj Vnútroorganizačné prevody výnosov vykazované samostatne v T3_R70</t>
  </si>
  <si>
    <t>Vo výkaze ziskov a strát sú v riadku č.024 účtu HK 549 zahrnuté aj Vnútroorganizačné prevody nákladov vykazované samostatne v T5_R95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</si>
</sst>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S_k_-;\-* #,##0.00\ _S_k_-;_-* &quot;-&quot;??\ _S_k_-;_-@_-"/>
    <numFmt numFmtId="165" formatCode="#,##0_ ;[Red]\-#,##0\ "/>
    <numFmt numFmtId="166" formatCode="#,##0.00_ ;[Red]\-#,##0.00\ "/>
  </numFmts>
  <fonts count="110" x14ac:knownFonts="1">
    <font>
      <sz val="10"/>
      <name val="Arial"/>
      <charset val="238"/>
    </font>
    <font>
      <sz val="10"/>
      <name val="Arial"/>
      <family val="2"/>
      <charset val="238"/>
    </font>
    <font>
      <b/>
      <sz val="12"/>
      <name val="Times New Roman"/>
      <family val="1"/>
    </font>
    <font>
      <sz val="12"/>
      <name val="Times New Roman"/>
      <family val="1"/>
    </font>
    <font>
      <b/>
      <sz val="14"/>
      <name val="Times New Roman"/>
      <family val="1"/>
    </font>
    <font>
      <sz val="8"/>
      <name val="Arial"/>
      <family val="2"/>
      <charset val="238"/>
    </font>
    <font>
      <b/>
      <sz val="12"/>
      <name val="Times New Roman"/>
      <family val="1"/>
      <charset val="238"/>
    </font>
    <font>
      <sz val="12"/>
      <name val="Times New Roman"/>
      <family val="1"/>
      <charset val="238"/>
    </font>
    <font>
      <sz val="12"/>
      <color indexed="10"/>
      <name val="Times New Roman"/>
      <family val="1"/>
    </font>
    <font>
      <i/>
      <sz val="12"/>
      <name val="Times New Roman"/>
      <family val="1"/>
      <charset val="238"/>
    </font>
    <font>
      <b/>
      <sz val="14"/>
      <name val="Times New Roman"/>
      <family val="1"/>
      <charset val="238"/>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8"/>
      <name val="Arial"/>
      <family val="2"/>
      <charset val="238"/>
    </font>
    <font>
      <sz val="10"/>
      <name val="Arial"/>
      <family val="2"/>
      <charset val="238"/>
    </font>
    <font>
      <sz val="10"/>
      <color indexed="39"/>
      <name val="Arial"/>
      <family val="2"/>
    </font>
    <font>
      <sz val="19"/>
      <color indexed="48"/>
      <name val="Arial"/>
      <family val="2"/>
      <charset val="238"/>
    </font>
    <font>
      <sz val="10"/>
      <color indexed="10"/>
      <name val="Arial"/>
      <family val="2"/>
    </font>
    <font>
      <sz val="10"/>
      <name val="arial ce"/>
      <charset val="238"/>
    </font>
    <font>
      <sz val="8"/>
      <name val="arial ce"/>
      <charset val="238"/>
    </font>
    <font>
      <sz val="11"/>
      <name val="Times New Roman"/>
      <family val="1"/>
      <charset val="238"/>
    </font>
    <font>
      <b/>
      <vertAlign val="superscript"/>
      <sz val="12"/>
      <name val="Times New Roman"/>
      <family val="1"/>
      <charset val="238"/>
    </font>
    <font>
      <b/>
      <vertAlign val="superscript"/>
      <sz val="14"/>
      <name val="Times New Roman"/>
      <family val="1"/>
      <charset val="238"/>
    </font>
    <font>
      <vertAlign val="superscript"/>
      <sz val="12"/>
      <name val="Times New Roman"/>
      <family val="1"/>
      <charset val="238"/>
    </font>
    <font>
      <b/>
      <i/>
      <sz val="14"/>
      <name val="Times New Roman"/>
      <family val="1"/>
      <charset val="238"/>
    </font>
    <font>
      <sz val="10"/>
      <name val="Times New Roman"/>
      <family val="1"/>
      <charset val="238"/>
    </font>
    <font>
      <sz val="10"/>
      <name val="Times New Roman"/>
      <family val="1"/>
    </font>
    <font>
      <sz val="10"/>
      <color indexed="10"/>
      <name val="Arial"/>
      <family val="2"/>
      <charset val="238"/>
    </font>
    <font>
      <b/>
      <vertAlign val="superscript"/>
      <sz val="14"/>
      <name val="Times New Roman"/>
      <family val="1"/>
    </font>
    <font>
      <vertAlign val="superscript"/>
      <sz val="12"/>
      <name val="Times New Roman"/>
      <family val="1"/>
    </font>
    <font>
      <b/>
      <sz val="9"/>
      <name val="Times New Roman"/>
      <family val="1"/>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sz val="12"/>
      <name val="Times New Roman"/>
      <family val="1"/>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name val="Times New Roman"/>
      <family val="1"/>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1"/>
      <name val="Times New Roman"/>
      <family val="1"/>
      <charset val="238"/>
    </font>
    <font>
      <sz val="12"/>
      <color indexed="8"/>
      <name val="Times New Roman"/>
      <family val="1"/>
      <charset val="238"/>
    </font>
    <font>
      <b/>
      <sz val="12"/>
      <color indexed="8"/>
      <name val="Times New Roman"/>
      <family val="1"/>
      <charset val="238"/>
    </font>
    <font>
      <sz val="11"/>
      <name val="Times New Roman"/>
      <family val="1"/>
      <charset val="238"/>
    </font>
    <font>
      <b/>
      <sz val="10"/>
      <name val="Times New Roman"/>
      <family val="1"/>
      <charset val="238"/>
    </font>
    <font>
      <strike/>
      <sz val="12"/>
      <name val="Times New Roman"/>
      <family val="1"/>
      <charset val="238"/>
    </font>
    <font>
      <strike/>
      <sz val="12"/>
      <name val="Times New Roman"/>
      <family val="1"/>
    </font>
    <font>
      <sz val="11"/>
      <name val="Times New Roman"/>
      <family val="1"/>
    </font>
    <font>
      <b/>
      <sz val="10"/>
      <name val="Arial"/>
      <family val="2"/>
      <charset val="238"/>
    </font>
    <font>
      <sz val="14"/>
      <name val="Times New Roman"/>
      <family val="1"/>
    </font>
    <font>
      <sz val="12"/>
      <color indexed="8"/>
      <name val="Times New Roman"/>
      <family val="1"/>
    </font>
    <font>
      <b/>
      <sz val="11"/>
      <name val="Times New Roman"/>
      <family val="1"/>
    </font>
    <font>
      <b/>
      <sz val="10"/>
      <color indexed="8"/>
      <name val="Times New Roman"/>
      <family val="1"/>
      <charset val="238"/>
    </font>
    <font>
      <sz val="12"/>
      <color theme="1"/>
      <name val="Times New Roman"/>
      <family val="2"/>
      <charset val="238"/>
    </font>
    <font>
      <b/>
      <sz val="12"/>
      <color theme="1"/>
      <name val="Times New Roman"/>
      <family val="1"/>
      <charset val="238"/>
    </font>
    <font>
      <sz val="12"/>
      <color rgb="FFFF0000"/>
      <name val="Times New Roman"/>
      <family val="1"/>
      <charset val="238"/>
    </font>
    <font>
      <sz val="12"/>
      <color theme="1"/>
      <name val="Times New Roman"/>
      <family val="1"/>
      <charset val="238"/>
    </font>
    <font>
      <sz val="12"/>
      <color rgb="FFFF0000"/>
      <name val="Times New Roman"/>
      <family val="1"/>
    </font>
    <font>
      <b/>
      <sz val="12"/>
      <color theme="1"/>
      <name val="Times New Roman"/>
      <family val="1"/>
    </font>
    <font>
      <sz val="12"/>
      <color theme="1"/>
      <name val="Times New Roman"/>
      <family val="1"/>
    </font>
    <font>
      <b/>
      <sz val="12"/>
      <color rgb="FF000000"/>
      <name val="Times New Roman"/>
      <family val="1"/>
    </font>
    <font>
      <b/>
      <sz val="11"/>
      <color theme="1"/>
      <name val="Times New Roman"/>
      <family val="1"/>
    </font>
    <font>
      <sz val="11"/>
      <color theme="1"/>
      <name val="Times New Roman"/>
      <family val="1"/>
    </font>
    <font>
      <b/>
      <sz val="12"/>
      <color rgb="FFFF0000"/>
      <name val="Times New Roman"/>
      <family val="1"/>
      <charset val="238"/>
    </font>
    <font>
      <b/>
      <sz val="14"/>
      <color rgb="FFFF0000"/>
      <name val="Times New Roman"/>
      <family val="1"/>
      <charset val="238"/>
    </font>
    <font>
      <vertAlign val="superscript"/>
      <sz val="11"/>
      <name val="Times New Roman"/>
      <family val="1"/>
      <charset val="238"/>
    </font>
    <font>
      <sz val="12"/>
      <color rgb="FF0000FF"/>
      <name val="Times New Roman"/>
      <family val="1"/>
    </font>
    <font>
      <sz val="12"/>
      <color rgb="FF0000FF"/>
      <name val="Times New Roman"/>
      <family val="1"/>
      <charset val="238"/>
    </font>
    <font>
      <b/>
      <sz val="14"/>
      <color theme="1"/>
      <name val="Times New Roman"/>
      <family val="1"/>
      <charset val="238"/>
    </font>
    <font>
      <i/>
      <sz val="12"/>
      <color theme="1"/>
      <name val="Times New Roman"/>
      <family val="1"/>
      <charset val="238"/>
    </font>
    <font>
      <sz val="11"/>
      <color theme="1"/>
      <name val="Times New Roman"/>
      <family val="1"/>
      <charset val="238"/>
    </font>
    <font>
      <b/>
      <sz val="12"/>
      <color rgb="FF0000FF"/>
      <name val="Times New Roman"/>
      <family val="1"/>
      <charset val="238"/>
    </font>
    <font>
      <i/>
      <sz val="12"/>
      <color theme="1"/>
      <name val="Times New Roman"/>
      <family val="1"/>
    </font>
    <font>
      <sz val="11"/>
      <color rgb="FFFF0000"/>
      <name val="Times New Roman"/>
      <family val="1"/>
    </font>
    <font>
      <sz val="11"/>
      <color rgb="FF0000FF"/>
      <name val="Times New Roman"/>
      <family val="1"/>
    </font>
    <font>
      <vertAlign val="superscript"/>
      <sz val="12"/>
      <color theme="1"/>
      <name val="Times New Roman"/>
      <family val="1"/>
      <charset val="238"/>
    </font>
    <font>
      <b/>
      <vertAlign val="superscript"/>
      <sz val="12"/>
      <color theme="1"/>
      <name val="Times New Roman"/>
      <family val="1"/>
      <charset val="238"/>
    </font>
    <font>
      <i/>
      <sz val="11"/>
      <color theme="1"/>
      <name val="Times New Roman"/>
      <family val="1"/>
      <charset val="238"/>
    </font>
    <font>
      <b/>
      <i/>
      <sz val="11"/>
      <color theme="1"/>
      <name val="Times New Roman"/>
      <family val="1"/>
      <charset val="238"/>
    </font>
    <font>
      <b/>
      <sz val="11"/>
      <color theme="1"/>
      <name val="Times New Roman"/>
      <family val="1"/>
      <charset val="238"/>
    </font>
    <font>
      <sz val="11"/>
      <color rgb="FF000000"/>
      <name val="Times New Roman"/>
      <family val="1"/>
      <charset val="238"/>
    </font>
    <font>
      <sz val="11"/>
      <color indexed="8"/>
      <name val="Times New Roman"/>
      <family val="1"/>
      <charset val="238"/>
    </font>
    <font>
      <b/>
      <sz val="11"/>
      <color indexed="8"/>
      <name val="Times New Roman"/>
      <family val="1"/>
      <charset val="238"/>
    </font>
    <font>
      <sz val="11"/>
      <color rgb="FFFF0000"/>
      <name val="Times New Roman"/>
      <family val="1"/>
      <charset val="238"/>
    </font>
    <font>
      <b/>
      <sz val="11"/>
      <color rgb="FFFF0000"/>
      <name val="Times New Roman"/>
      <family val="1"/>
      <charset val="238"/>
    </font>
    <font>
      <b/>
      <sz val="11"/>
      <color rgb="FF0000FF"/>
      <name val="Times New Roman"/>
      <family val="1"/>
      <charset val="238"/>
    </font>
    <font>
      <sz val="12"/>
      <color rgb="FFFF0000"/>
      <name val="Calibri"/>
      <family val="2"/>
      <charset val="238"/>
    </font>
    <font>
      <b/>
      <sz val="12"/>
      <color rgb="FF00B050"/>
      <name val="Times New Roman"/>
      <family val="1"/>
      <charset val="238"/>
    </font>
    <font>
      <b/>
      <sz val="12"/>
      <color rgb="FFFF0000"/>
      <name val="Times New Roman"/>
      <family val="1"/>
    </font>
    <font>
      <b/>
      <sz val="12"/>
      <color rgb="FFFF0000"/>
      <name val="Calibri"/>
      <family val="2"/>
      <charset val="238"/>
    </font>
    <font>
      <b/>
      <sz val="10"/>
      <name val="Times New Roman"/>
      <family val="1"/>
    </font>
    <font>
      <sz val="12"/>
      <name val="Calibri"/>
      <family val="2"/>
      <charset val="238"/>
    </font>
    <font>
      <vertAlign val="superscript"/>
      <sz val="12"/>
      <color rgb="FFFF0000"/>
      <name val="Times New Roman"/>
      <family val="1"/>
    </font>
    <font>
      <i/>
      <sz val="12"/>
      <color rgb="FFFF0000"/>
      <name val="Times New Roman"/>
      <family val="1"/>
      <charset val="238"/>
    </font>
    <font>
      <sz val="12"/>
      <color theme="1"/>
      <name val="Calibri"/>
      <family val="2"/>
      <charset val="238"/>
    </font>
    <font>
      <sz val="11"/>
      <color rgb="FF006100"/>
      <name val="Calibri"/>
      <family val="2"/>
      <charset val="238"/>
      <scheme val="minor"/>
    </font>
    <font>
      <b/>
      <sz val="12"/>
      <color rgb="FF0000FF"/>
      <name val="Times New Roman"/>
      <family val="1"/>
    </font>
    <font>
      <sz val="10"/>
      <color theme="1"/>
      <name val="Times New Roman"/>
      <family val="1"/>
      <charset val="238"/>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CCFFCC"/>
        <bgColor rgb="FF000000"/>
      </patternFill>
    </fill>
    <fill>
      <patternFill patternType="solid">
        <fgColor rgb="FFFFFF99"/>
        <bgColor rgb="FF000000"/>
      </patternFill>
    </fill>
    <fill>
      <patternFill patternType="solid">
        <fgColor rgb="FFFFFFFF"/>
        <bgColor rgb="FF000000"/>
      </patternFill>
    </fill>
    <fill>
      <patternFill patternType="solid">
        <fgColor rgb="FFFFFF00"/>
        <bgColor indexed="64"/>
      </patternFill>
    </fill>
    <fill>
      <patternFill patternType="solid">
        <fgColor theme="5" tint="0.59999389629810485"/>
        <bgColor indexed="64"/>
      </patternFill>
    </fill>
    <fill>
      <patternFill patternType="solid">
        <fgColor rgb="FFFF0000"/>
        <bgColor indexed="64"/>
      </patternFill>
    </fill>
    <fill>
      <patternFill patternType="solid">
        <fgColor theme="8" tint="0.79998168889431442"/>
        <bgColor indexed="64"/>
      </patternFill>
    </fill>
    <fill>
      <patternFill patternType="solid">
        <fgColor rgb="FF66FF9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C6EFCE"/>
      </patternFill>
    </fill>
  </fills>
  <borders count="87">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s>
  <cellStyleXfs count="93">
    <xf numFmtId="0" fontId="0"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35" fillId="3" borderId="0" applyNumberFormat="0" applyBorder="0" applyAlignment="0" applyProtection="0"/>
    <xf numFmtId="0" fontId="36" fillId="20" borderId="1" applyNumberFormat="0" applyAlignment="0" applyProtection="0"/>
    <xf numFmtId="164" fontId="1" fillId="0" borderId="0" applyFont="0" applyFill="0" applyBorder="0" applyAlignment="0" applyProtection="0"/>
    <xf numFmtId="164" fontId="16" fillId="0" borderId="0" applyFont="0" applyFill="0" applyBorder="0" applyAlignment="0" applyProtection="0"/>
    <xf numFmtId="0" fontId="38" fillId="0" borderId="0" applyNumberFormat="0" applyFill="0" applyBorder="0" applyAlignment="0" applyProtection="0"/>
    <xf numFmtId="0" fontId="39" fillId="4" borderId="0" applyNumberFormat="0" applyBorder="0" applyAlignment="0" applyProtection="0"/>
    <xf numFmtId="0" fontId="40" fillId="0" borderId="2" applyNumberFormat="0" applyFill="0" applyAlignment="0" applyProtection="0"/>
    <xf numFmtId="0" fontId="41" fillId="0" borderId="3" applyNumberFormat="0" applyFill="0" applyAlignment="0" applyProtection="0"/>
    <xf numFmtId="0" fontId="42" fillId="0" borderId="4" applyNumberFormat="0" applyFill="0" applyAlignment="0" applyProtection="0"/>
    <xf numFmtId="0" fontId="42" fillId="0" borderId="0" applyNumberFormat="0" applyFill="0" applyBorder="0" applyAlignment="0" applyProtection="0"/>
    <xf numFmtId="0" fontId="43" fillId="21" borderId="5" applyNumberFormat="0" applyAlignment="0" applyProtection="0"/>
    <xf numFmtId="0" fontId="44" fillId="7" borderId="1" applyNumberFormat="0" applyAlignment="0" applyProtection="0"/>
    <xf numFmtId="0" fontId="45" fillId="0" borderId="6" applyNumberFormat="0" applyFill="0" applyAlignment="0" applyProtection="0"/>
    <xf numFmtId="0" fontId="46" fillId="22" borderId="0" applyNumberFormat="0" applyBorder="0" applyAlignment="0" applyProtection="0"/>
    <xf numFmtId="0" fontId="16" fillId="0" borderId="0"/>
    <xf numFmtId="0" fontId="65" fillId="0" borderId="0"/>
    <xf numFmtId="0" fontId="16" fillId="0" borderId="0"/>
    <xf numFmtId="0" fontId="16" fillId="0" borderId="0"/>
    <xf numFmtId="0" fontId="55" fillId="0" borderId="0"/>
    <xf numFmtId="0" fontId="20" fillId="0" borderId="0"/>
    <xf numFmtId="0" fontId="47" fillId="0" borderId="0"/>
    <xf numFmtId="0" fontId="37" fillId="23" borderId="7" applyNumberFormat="0" applyFont="0" applyAlignment="0" applyProtection="0"/>
    <xf numFmtId="0" fontId="48" fillId="20" borderId="8" applyNumberFormat="0" applyAlignment="0" applyProtection="0"/>
    <xf numFmtId="4" fontId="11" fillId="22" borderId="9" applyNumberFormat="0" applyProtection="0">
      <alignment vertical="center"/>
    </xf>
    <xf numFmtId="4" fontId="12" fillId="24" borderId="9" applyNumberFormat="0" applyProtection="0">
      <alignment vertical="center"/>
    </xf>
    <xf numFmtId="4" fontId="11" fillId="24" borderId="9" applyNumberFormat="0" applyProtection="0">
      <alignment horizontal="left" vertical="center" indent="1"/>
    </xf>
    <xf numFmtId="0" fontId="11" fillId="24" borderId="9" applyNumberFormat="0" applyProtection="0">
      <alignment horizontal="left" vertical="top" indent="1"/>
    </xf>
    <xf numFmtId="4" fontId="13" fillId="3" borderId="9" applyNumberFormat="0" applyProtection="0">
      <alignment horizontal="right" vertical="center"/>
    </xf>
    <xf numFmtId="4" fontId="13" fillId="9" borderId="9" applyNumberFormat="0" applyProtection="0">
      <alignment horizontal="right" vertical="center"/>
    </xf>
    <xf numFmtId="4" fontId="13" fillId="17" borderId="9" applyNumberFormat="0" applyProtection="0">
      <alignment horizontal="right" vertical="center"/>
    </xf>
    <xf numFmtId="4" fontId="13" fillId="11" borderId="9" applyNumberFormat="0" applyProtection="0">
      <alignment horizontal="right" vertical="center"/>
    </xf>
    <xf numFmtId="4" fontId="13" fillId="15" borderId="9" applyNumberFormat="0" applyProtection="0">
      <alignment horizontal="right" vertical="center"/>
    </xf>
    <xf numFmtId="4" fontId="13" fillId="19" borderId="9" applyNumberFormat="0" applyProtection="0">
      <alignment horizontal="right" vertical="center"/>
    </xf>
    <xf numFmtId="4" fontId="13" fillId="18" borderId="9" applyNumberFormat="0" applyProtection="0">
      <alignment horizontal="right" vertical="center"/>
    </xf>
    <xf numFmtId="4" fontId="13" fillId="25" borderId="9" applyNumberFormat="0" applyProtection="0">
      <alignment horizontal="right" vertical="center"/>
    </xf>
    <xf numFmtId="4" fontId="13" fillId="10" borderId="9" applyNumberFormat="0" applyProtection="0">
      <alignment horizontal="right" vertical="center"/>
    </xf>
    <xf numFmtId="4" fontId="11" fillId="26" borderId="10" applyNumberFormat="0" applyProtection="0">
      <alignment horizontal="left" vertical="center" indent="1"/>
    </xf>
    <xf numFmtId="4" fontId="13" fillId="27" borderId="0" applyNumberFormat="0" applyProtection="0">
      <alignment horizontal="left" vertical="center" indent="1"/>
    </xf>
    <xf numFmtId="4" fontId="14" fillId="28" borderId="0" applyNumberFormat="0" applyProtection="0">
      <alignment horizontal="left" vertical="center" indent="1"/>
    </xf>
    <xf numFmtId="4" fontId="13" fillId="29" borderId="9" applyNumberFormat="0" applyProtection="0">
      <alignment horizontal="right" vertical="center"/>
    </xf>
    <xf numFmtId="4" fontId="15" fillId="27" borderId="0" applyNumberFormat="0" applyProtection="0">
      <alignment horizontal="left" vertical="center" indent="1"/>
    </xf>
    <xf numFmtId="4" fontId="15" fillId="30" borderId="0" applyNumberFormat="0" applyProtection="0">
      <alignment horizontal="left" vertical="center" indent="1"/>
    </xf>
    <xf numFmtId="0" fontId="16" fillId="28" borderId="9" applyNumberFormat="0" applyProtection="0">
      <alignment horizontal="left" vertical="center" indent="1"/>
    </xf>
    <xf numFmtId="0" fontId="16" fillId="28" borderId="9" applyNumberFormat="0" applyProtection="0">
      <alignment horizontal="left" vertical="top" indent="1"/>
    </xf>
    <xf numFmtId="0" fontId="16" fillId="30" borderId="9" applyNumberFormat="0" applyProtection="0">
      <alignment horizontal="left" vertical="center" indent="1"/>
    </xf>
    <xf numFmtId="0" fontId="16" fillId="30" borderId="9" applyNumberFormat="0" applyProtection="0">
      <alignment horizontal="left" vertical="top" indent="1"/>
    </xf>
    <xf numFmtId="0" fontId="16" fillId="31" borderId="9" applyNumberFormat="0" applyProtection="0">
      <alignment horizontal="left" vertical="center" indent="1"/>
    </xf>
    <xf numFmtId="0" fontId="16" fillId="31" borderId="9" applyNumberFormat="0" applyProtection="0">
      <alignment horizontal="left" vertical="top" indent="1"/>
    </xf>
    <xf numFmtId="0" fontId="16" fillId="32" borderId="9" applyNumberFormat="0" applyProtection="0">
      <alignment horizontal="left" vertical="center" indent="1"/>
    </xf>
    <xf numFmtId="0" fontId="16" fillId="32" borderId="9" applyNumberFormat="0" applyProtection="0">
      <alignment horizontal="left" vertical="top" indent="1"/>
    </xf>
    <xf numFmtId="4" fontId="11" fillId="30" borderId="0" applyNumberFormat="0" applyProtection="0">
      <alignment horizontal="left" vertical="center" indent="1"/>
    </xf>
    <xf numFmtId="4" fontId="13" fillId="33" borderId="9" applyNumberFormat="0" applyProtection="0">
      <alignment vertical="center"/>
    </xf>
    <xf numFmtId="4" fontId="17" fillId="33" borderId="9" applyNumberFormat="0" applyProtection="0">
      <alignment vertical="center"/>
    </xf>
    <xf numFmtId="4" fontId="13" fillId="33" borderId="9" applyNumberFormat="0" applyProtection="0">
      <alignment horizontal="left" vertical="center" indent="1"/>
    </xf>
    <xf numFmtId="0" fontId="13" fillId="33" borderId="9" applyNumberFormat="0" applyProtection="0">
      <alignment horizontal="left" vertical="top" indent="1"/>
    </xf>
    <xf numFmtId="4" fontId="13" fillId="27" borderId="9" applyNumberFormat="0" applyProtection="0">
      <alignment horizontal="right" vertical="center"/>
    </xf>
    <xf numFmtId="4" fontId="17" fillId="27" borderId="9" applyNumberFormat="0" applyProtection="0">
      <alignment horizontal="right" vertical="center"/>
    </xf>
    <xf numFmtId="4" fontId="13" fillId="29" borderId="9" applyNumberFormat="0" applyProtection="0">
      <alignment horizontal="left" vertical="center" indent="1"/>
    </xf>
    <xf numFmtId="0" fontId="13" fillId="30" borderId="9" applyNumberFormat="0" applyProtection="0">
      <alignment horizontal="left" vertical="top" indent="1"/>
    </xf>
    <xf numFmtId="4" fontId="18" fillId="34" borderId="0" applyNumberFormat="0" applyProtection="0">
      <alignment horizontal="left" vertical="center" indent="1"/>
    </xf>
    <xf numFmtId="4" fontId="19" fillId="27" borderId="9" applyNumberFormat="0" applyProtection="0">
      <alignment horizontal="right" vertical="center"/>
    </xf>
    <xf numFmtId="0" fontId="49" fillId="0" borderId="0" applyNumberFormat="0" applyFill="0" applyBorder="0" applyAlignment="0" applyProtection="0"/>
    <xf numFmtId="0" fontId="50" fillId="0" borderId="11" applyNumberFormat="0" applyFill="0" applyAlignment="0" applyProtection="0"/>
    <xf numFmtId="0" fontId="51" fillId="0" borderId="0" applyNumberFormat="0" applyFill="0" applyBorder="0" applyAlignment="0" applyProtection="0"/>
    <xf numFmtId="0" fontId="1" fillId="0" borderId="0"/>
    <xf numFmtId="0" fontId="1" fillId="0" borderId="0"/>
    <xf numFmtId="0" fontId="22" fillId="0" borderId="0"/>
    <xf numFmtId="0" fontId="107" fillId="51" borderId="0" applyNumberFormat="0" applyBorder="0" applyAlignment="0" applyProtection="0"/>
  </cellStyleXfs>
  <cellXfs count="1074">
    <xf numFmtId="0" fontId="0" fillId="0" borderId="0" xfId="0"/>
    <xf numFmtId="0" fontId="3" fillId="0" borderId="0" xfId="0" applyFont="1"/>
    <xf numFmtId="0" fontId="3" fillId="0" borderId="0" xfId="0" applyFont="1" applyBorder="1"/>
    <xf numFmtId="0" fontId="3" fillId="0" borderId="0" xfId="0" applyFont="1" applyAlignment="1">
      <alignment horizontal="center" vertical="center"/>
    </xf>
    <xf numFmtId="0" fontId="2" fillId="0" borderId="0" xfId="0" applyFont="1" applyBorder="1" applyAlignment="1">
      <alignment horizontal="center" vertical="center"/>
    </xf>
    <xf numFmtId="49" fontId="3" fillId="0" borderId="0" xfId="0" applyNumberFormat="1" applyFont="1"/>
    <xf numFmtId="49" fontId="3" fillId="0" borderId="0" xfId="0" applyNumberFormat="1" applyFont="1" applyBorder="1"/>
    <xf numFmtId="49" fontId="3" fillId="0" borderId="0" xfId="0" applyNumberFormat="1" applyFont="1" applyAlignment="1">
      <alignment horizontal="left" vertical="center"/>
    </xf>
    <xf numFmtId="0" fontId="2"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Border="1" applyAlignment="1">
      <alignment horizontal="center" vertical="center" wrapText="1"/>
    </xf>
    <xf numFmtId="49" fontId="3" fillId="0" borderId="0" xfId="0" applyNumberFormat="1"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Fill="1" applyBorder="1" applyAlignment="1">
      <alignment horizontal="center" vertical="center" wrapText="1"/>
    </xf>
    <xf numFmtId="0" fontId="3" fillId="0" borderId="0" xfId="0" applyFont="1" applyFill="1"/>
    <xf numFmtId="49" fontId="3" fillId="0" borderId="0" xfId="0" applyNumberFormat="1" applyFont="1" applyAlignment="1">
      <alignment horizontal="left" vertical="center" wrapText="1" indent="1"/>
    </xf>
    <xf numFmtId="3" fontId="2" fillId="24" borderId="13" xfId="0" applyNumberFormat="1" applyFont="1" applyFill="1" applyBorder="1" applyAlignment="1">
      <alignment horizontal="right" vertical="center" wrapText="1" indent="1"/>
    </xf>
    <xf numFmtId="3" fontId="2" fillId="24" borderId="14" xfId="0" applyNumberFormat="1" applyFont="1" applyFill="1" applyBorder="1" applyAlignment="1">
      <alignment horizontal="right" vertical="center" wrapText="1" indent="1"/>
    </xf>
    <xf numFmtId="3" fontId="3" fillId="35" borderId="13" xfId="0" applyNumberFormat="1" applyFont="1" applyFill="1" applyBorder="1" applyAlignment="1">
      <alignment horizontal="right" vertical="center" wrapText="1" indent="1"/>
    </xf>
    <xf numFmtId="3" fontId="2" fillId="24" borderId="18" xfId="0" applyNumberFormat="1" applyFont="1" applyFill="1" applyBorder="1" applyAlignment="1">
      <alignment horizontal="right" vertical="center" wrapText="1" indent="1"/>
    </xf>
    <xf numFmtId="0" fontId="2" fillId="0" borderId="13" xfId="0" applyFont="1" applyBorder="1" applyAlignment="1">
      <alignment horizontal="left" vertical="top" wrapText="1" indent="1"/>
    </xf>
    <xf numFmtId="0" fontId="3" fillId="0" borderId="13" xfId="0" applyFont="1" applyBorder="1" applyAlignment="1">
      <alignment horizontal="left" vertical="top" wrapText="1" indent="1"/>
    </xf>
    <xf numFmtId="0" fontId="2" fillId="0" borderId="17" xfId="0" applyFont="1" applyBorder="1" applyAlignment="1">
      <alignment horizontal="left" wrapText="1" indent="1"/>
    </xf>
    <xf numFmtId="0" fontId="3" fillId="0" borderId="0" xfId="0" applyFont="1" applyAlignment="1">
      <alignment horizontal="left" indent="1"/>
    </xf>
    <xf numFmtId="3" fontId="6" fillId="24" borderId="13" xfId="0" applyNumberFormat="1" applyFont="1" applyFill="1" applyBorder="1" applyAlignment="1">
      <alignment horizontal="right" vertical="center" wrapText="1" indent="1"/>
    </xf>
    <xf numFmtId="3" fontId="6" fillId="24" borderId="17" xfId="0" applyNumberFormat="1" applyFont="1" applyFill="1" applyBorder="1" applyAlignment="1">
      <alignment horizontal="right" vertical="center" wrapText="1" indent="1"/>
    </xf>
    <xf numFmtId="3" fontId="3" fillId="0" borderId="13" xfId="0" applyNumberFormat="1" applyFont="1" applyFill="1" applyBorder="1" applyAlignment="1">
      <alignment horizontal="right" vertical="center" wrapText="1" indent="1"/>
    </xf>
    <xf numFmtId="0" fontId="6" fillId="24" borderId="14" xfId="0" applyFont="1" applyFill="1" applyBorder="1" applyAlignment="1">
      <alignment horizontal="right" vertical="center" wrapText="1" indent="1"/>
    </xf>
    <xf numFmtId="0" fontId="7" fillId="0" borderId="0" xfId="0" applyFont="1" applyAlignment="1">
      <alignment horizontal="left" vertical="center" wrapText="1" indent="1"/>
    </xf>
    <xf numFmtId="49" fontId="3" fillId="0" borderId="0" xfId="0" applyNumberFormat="1" applyFont="1" applyAlignment="1">
      <alignment vertical="center" wrapText="1"/>
    </xf>
    <xf numFmtId="3" fontId="7" fillId="0" borderId="0" xfId="44" applyNumberFormat="1" applyFont="1" applyBorder="1" applyAlignment="1">
      <alignment vertical="center" wrapText="1"/>
    </xf>
    <xf numFmtId="0" fontId="7" fillId="24" borderId="18" xfId="0" applyFont="1" applyFill="1" applyBorder="1" applyAlignment="1">
      <alignment horizontal="right" vertical="center" wrapText="1" indent="1"/>
    </xf>
    <xf numFmtId="3" fontId="6" fillId="35" borderId="14" xfId="0" applyNumberFormat="1" applyFont="1" applyFill="1" applyBorder="1" applyAlignment="1">
      <alignment horizontal="right" vertical="center" wrapText="1" indent="1"/>
    </xf>
    <xf numFmtId="0" fontId="0" fillId="0" borderId="0" xfId="0" applyBorder="1"/>
    <xf numFmtId="0" fontId="6" fillId="0" borderId="13" xfId="0" applyFont="1" applyFill="1" applyBorder="1" applyAlignment="1">
      <alignment horizontal="left" vertical="center" wrapText="1" indent="1"/>
    </xf>
    <xf numFmtId="0" fontId="7" fillId="0" borderId="0" xfId="0" applyFont="1"/>
    <xf numFmtId="3" fontId="7" fillId="0" borderId="16" xfId="44"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3" fillId="0" borderId="0" xfId="0" applyFont="1" applyFill="1" applyAlignment="1">
      <alignment vertical="center" wrapText="1"/>
    </xf>
    <xf numFmtId="0" fontId="0" fillId="0" borderId="0" xfId="0" applyFill="1"/>
    <xf numFmtId="0" fontId="7" fillId="35" borderId="14" xfId="0" applyFont="1" applyFill="1" applyBorder="1" applyAlignment="1">
      <alignment horizontal="left" vertical="center" wrapText="1" indent="1"/>
    </xf>
    <xf numFmtId="49" fontId="8" fillId="0" borderId="0" xfId="0" applyNumberFormat="1" applyFont="1" applyAlignment="1">
      <alignment horizontal="left" vertical="center" wrapText="1" indent="1"/>
    </xf>
    <xf numFmtId="0" fontId="0" fillId="0" borderId="0" xfId="0" applyAlignment="1">
      <alignment wrapText="1"/>
    </xf>
    <xf numFmtId="1" fontId="6" fillId="24" borderId="13" xfId="0" applyNumberFormat="1" applyFont="1" applyFill="1" applyBorder="1" applyAlignment="1">
      <alignment horizontal="right" vertical="center" wrapText="1" indent="1"/>
    </xf>
    <xf numFmtId="0" fontId="7" fillId="0" borderId="15" xfId="0" applyFont="1" applyFill="1" applyBorder="1" applyAlignment="1">
      <alignment horizontal="center" vertical="center" wrapText="1"/>
    </xf>
    <xf numFmtId="3" fontId="2" fillId="0" borderId="14" xfId="0" applyNumberFormat="1" applyFont="1" applyFill="1" applyBorder="1" applyAlignment="1">
      <alignment horizontal="right" vertical="center" wrapText="1" indent="1"/>
    </xf>
    <xf numFmtId="0" fontId="3" fillId="0" borderId="0" xfId="0" applyFont="1" applyAlignment="1">
      <alignment horizontal="justify"/>
    </xf>
    <xf numFmtId="0" fontId="3" fillId="0" borderId="16" xfId="0" applyFont="1" applyFill="1" applyBorder="1" applyAlignment="1">
      <alignment horizontal="center" vertical="center"/>
    </xf>
    <xf numFmtId="49" fontId="3" fillId="0" borderId="0" xfId="0" applyNumberFormat="1" applyFont="1" applyAlignment="1">
      <alignment horizontal="left" wrapText="1" indent="1"/>
    </xf>
    <xf numFmtId="0" fontId="3" fillId="0" borderId="0" xfId="0" applyFont="1" applyAlignment="1">
      <alignment vertical="center"/>
    </xf>
    <xf numFmtId="0" fontId="22" fillId="0" borderId="0" xfId="0" applyFont="1" applyBorder="1" applyAlignment="1">
      <alignment vertical="center"/>
    </xf>
    <xf numFmtId="0" fontId="22" fillId="35" borderId="14" xfId="0" applyFont="1" applyFill="1" applyBorder="1" applyAlignment="1">
      <alignment horizontal="left" vertical="center" wrapText="1" indent="1"/>
    </xf>
    <xf numFmtId="0" fontId="7" fillId="35" borderId="26" xfId="0" applyFont="1" applyFill="1" applyBorder="1" applyAlignment="1">
      <alignment horizontal="left" vertical="center" wrapText="1" indent="1"/>
    </xf>
    <xf numFmtId="0" fontId="7" fillId="0" borderId="13" xfId="0" applyFont="1" applyBorder="1" applyAlignment="1">
      <alignment horizontal="left" vertical="top" wrapText="1" indent="1"/>
    </xf>
    <xf numFmtId="3" fontId="6" fillId="24" borderId="14" xfId="0" applyNumberFormat="1" applyFont="1" applyFill="1" applyBorder="1" applyAlignment="1">
      <alignment horizontal="right" vertical="center" wrapText="1" indent="1"/>
    </xf>
    <xf numFmtId="3" fontId="7" fillId="35" borderId="13" xfId="0" applyNumberFormat="1" applyFont="1" applyFill="1" applyBorder="1" applyAlignment="1">
      <alignment horizontal="right" vertical="center" wrapText="1" indent="1"/>
    </xf>
    <xf numFmtId="3" fontId="3" fillId="35" borderId="19" xfId="0" applyNumberFormat="1" applyFont="1" applyFill="1" applyBorder="1" applyAlignment="1">
      <alignment horizontal="right" vertical="center" wrapText="1" indent="1"/>
    </xf>
    <xf numFmtId="3" fontId="6" fillId="24" borderId="19" xfId="0" applyNumberFormat="1" applyFont="1" applyFill="1" applyBorder="1" applyAlignment="1">
      <alignment horizontal="right" vertical="center" wrapText="1" indent="1"/>
    </xf>
    <xf numFmtId="3" fontId="2" fillId="24" borderId="17" xfId="0" applyNumberFormat="1" applyFont="1" applyFill="1" applyBorder="1" applyAlignment="1">
      <alignment horizontal="right" vertical="center" wrapText="1" indent="1"/>
    </xf>
    <xf numFmtId="1" fontId="3" fillId="35" borderId="13" xfId="0" applyNumberFormat="1" applyFont="1" applyFill="1" applyBorder="1" applyAlignment="1">
      <alignment horizontal="right" vertical="center" wrapText="1" indent="1"/>
    </xf>
    <xf numFmtId="3" fontId="3" fillId="35" borderId="13" xfId="0" applyNumberFormat="1" applyFont="1" applyFill="1" applyBorder="1" applyAlignment="1">
      <alignment vertical="center" wrapText="1"/>
    </xf>
    <xf numFmtId="3" fontId="6" fillId="35" borderId="20" xfId="0" applyNumberFormat="1" applyFont="1" applyFill="1" applyBorder="1" applyAlignment="1">
      <alignment horizontal="right" vertical="center" wrapText="1" indent="1"/>
    </xf>
    <xf numFmtId="3" fontId="7" fillId="0" borderId="13"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3" fontId="6" fillId="24" borderId="27" xfId="0" applyNumberFormat="1" applyFont="1" applyFill="1" applyBorder="1" applyAlignment="1">
      <alignment horizontal="right" vertical="center" wrapText="1" indent="1"/>
    </xf>
    <xf numFmtId="3" fontId="6" fillId="35" borderId="27" xfId="0" applyNumberFormat="1" applyFont="1" applyFill="1" applyBorder="1" applyAlignment="1">
      <alignment horizontal="right" vertical="center" wrapText="1" indent="1"/>
    </xf>
    <xf numFmtId="3" fontId="7" fillId="0" borderId="17" xfId="0" applyNumberFormat="1" applyFont="1" applyBorder="1" applyAlignment="1">
      <alignment horizontal="center" vertical="center" wrapText="1"/>
    </xf>
    <xf numFmtId="3" fontId="7" fillId="0" borderId="18" xfId="0" applyNumberFormat="1" applyFont="1" applyBorder="1" applyAlignment="1">
      <alignment horizontal="center" vertical="center" wrapText="1"/>
    </xf>
    <xf numFmtId="3" fontId="7" fillId="35" borderId="19" xfId="0" applyNumberFormat="1" applyFont="1" applyFill="1" applyBorder="1" applyAlignment="1">
      <alignment horizontal="right" vertical="center" wrapText="1" indent="1"/>
    </xf>
    <xf numFmtId="1" fontId="3" fillId="35" borderId="14" xfId="0" applyNumberFormat="1" applyFont="1" applyFill="1" applyBorder="1" applyAlignment="1">
      <alignment horizontal="right" vertical="center" wrapText="1" indent="1"/>
    </xf>
    <xf numFmtId="1" fontId="3" fillId="35" borderId="19" xfId="0" applyNumberFormat="1" applyFont="1" applyFill="1" applyBorder="1" applyAlignment="1">
      <alignment horizontal="right" vertical="center" wrapText="1" indent="1"/>
    </xf>
    <xf numFmtId="1" fontId="3" fillId="35" borderId="26" xfId="0" applyNumberFormat="1" applyFont="1" applyFill="1" applyBorder="1" applyAlignment="1">
      <alignment horizontal="right" vertical="center" wrapText="1" indent="1"/>
    </xf>
    <xf numFmtId="1" fontId="3" fillId="35" borderId="17" xfId="0" applyNumberFormat="1" applyFont="1" applyFill="1" applyBorder="1" applyAlignment="1">
      <alignment horizontal="right" vertical="center" wrapText="1" indent="1"/>
    </xf>
    <xf numFmtId="1" fontId="3" fillId="35" borderId="18" xfId="0" applyNumberFormat="1" applyFont="1" applyFill="1" applyBorder="1" applyAlignment="1">
      <alignment horizontal="right" vertical="center" wrapText="1" indent="1"/>
    </xf>
    <xf numFmtId="0" fontId="65" fillId="0" borderId="0" xfId="40"/>
    <xf numFmtId="0" fontId="7" fillId="0" borderId="0" xfId="43" applyFont="1" applyAlignment="1">
      <alignment vertical="center" wrapText="1"/>
    </xf>
    <xf numFmtId="0" fontId="0" fillId="0" borderId="0" xfId="0" applyNumberFormat="1" applyAlignment="1">
      <alignment vertical="center" wrapText="1"/>
    </xf>
    <xf numFmtId="166" fontId="54" fillId="37" borderId="13" xfId="75" quotePrefix="1" applyNumberFormat="1" applyFont="1" applyFill="1" applyBorder="1" applyAlignment="1" applyProtection="1">
      <alignment horizontal="left" vertical="center" wrapText="1" indent="1"/>
      <protection locked="0"/>
    </xf>
    <xf numFmtId="166" fontId="53" fillId="37" borderId="13" xfId="83" quotePrefix="1" applyNumberFormat="1" applyFont="1" applyFill="1" applyBorder="1" applyAlignment="1" applyProtection="1">
      <alignment horizontal="left" vertical="center" wrapText="1" indent="1"/>
      <protection locked="0"/>
    </xf>
    <xf numFmtId="166" fontId="53" fillId="37" borderId="13" xfId="82" quotePrefix="1" applyNumberFormat="1" applyFont="1" applyFill="1" applyBorder="1" applyProtection="1">
      <alignment horizontal="left" vertical="center" indent="1"/>
      <protection locked="0"/>
    </xf>
    <xf numFmtId="0" fontId="7" fillId="0" borderId="13" xfId="0" applyFont="1" applyBorder="1"/>
    <xf numFmtId="166" fontId="54" fillId="37" borderId="13" xfId="50" quotePrefix="1" applyNumberFormat="1" applyFont="1" applyFill="1" applyBorder="1">
      <alignment horizontal="left" vertical="center" indent="1"/>
    </xf>
    <xf numFmtId="166" fontId="54" fillId="37" borderId="13" xfId="50" applyNumberFormat="1" applyFont="1" applyFill="1" applyBorder="1">
      <alignment horizontal="left" vertical="center" indent="1"/>
    </xf>
    <xf numFmtId="166" fontId="53" fillId="37" borderId="13" xfId="82" applyNumberFormat="1" applyFont="1" applyFill="1" applyBorder="1" applyAlignment="1" applyProtection="1">
      <alignment vertical="center"/>
      <protection locked="0"/>
    </xf>
    <xf numFmtId="166" fontId="54" fillId="37" borderId="13" xfId="82" quotePrefix="1" applyNumberFormat="1" applyFont="1" applyFill="1" applyBorder="1" applyProtection="1">
      <alignment horizontal="left" vertical="center" indent="1"/>
      <protection locked="0"/>
    </xf>
    <xf numFmtId="166" fontId="53" fillId="37" borderId="13" xfId="83" applyNumberFormat="1" applyFont="1" applyFill="1" applyBorder="1" applyAlignment="1" applyProtection="1">
      <alignment horizontal="left" vertical="center" wrapText="1" indent="1"/>
      <protection locked="0"/>
    </xf>
    <xf numFmtId="3" fontId="7" fillId="35" borderId="13" xfId="43" applyNumberFormat="1" applyFont="1" applyFill="1" applyBorder="1" applyAlignment="1">
      <alignment horizontal="right" vertical="center" wrapText="1" indent="1"/>
    </xf>
    <xf numFmtId="3" fontId="2" fillId="24" borderId="31" xfId="0" applyNumberFormat="1" applyFont="1" applyFill="1" applyBorder="1" applyAlignment="1">
      <alignment horizontal="right" vertical="center" wrapText="1" indent="1"/>
    </xf>
    <xf numFmtId="3" fontId="7" fillId="35" borderId="19" xfId="43" applyNumberFormat="1" applyFont="1" applyFill="1" applyBorder="1" applyAlignment="1">
      <alignment horizontal="right" vertical="center" wrapText="1" indent="1"/>
    </xf>
    <xf numFmtId="3" fontId="2" fillId="24" borderId="37" xfId="0" applyNumberFormat="1" applyFont="1" applyFill="1" applyBorder="1" applyAlignment="1">
      <alignment horizontal="right" vertical="center" wrapText="1" indent="1"/>
    </xf>
    <xf numFmtId="3" fontId="7" fillId="35" borderId="37" xfId="43" applyNumberFormat="1" applyFont="1" applyFill="1" applyBorder="1" applyAlignment="1">
      <alignment horizontal="right" vertical="center" wrapText="1" indent="1"/>
    </xf>
    <xf numFmtId="3" fontId="7" fillId="35" borderId="20" xfId="43" applyNumberFormat="1" applyFont="1" applyFill="1" applyBorder="1" applyAlignment="1">
      <alignment horizontal="right" vertical="center" wrapText="1" indent="1"/>
    </xf>
    <xf numFmtId="3" fontId="7" fillId="35" borderId="35" xfId="43" applyNumberFormat="1" applyFont="1" applyFill="1" applyBorder="1" applyAlignment="1">
      <alignment horizontal="right" vertical="center" wrapText="1" indent="1"/>
    </xf>
    <xf numFmtId="3" fontId="2" fillId="24" borderId="20" xfId="0" applyNumberFormat="1" applyFont="1" applyFill="1" applyBorder="1" applyAlignment="1">
      <alignment horizontal="right" vertical="center" wrapText="1" indent="1"/>
    </xf>
    <xf numFmtId="3" fontId="2" fillId="24" borderId="45" xfId="0" applyNumberFormat="1" applyFont="1" applyFill="1" applyBorder="1" applyAlignment="1">
      <alignment horizontal="right" vertical="center" wrapText="1" indent="1"/>
    </xf>
    <xf numFmtId="166" fontId="3" fillId="0" borderId="0" xfId="0" applyNumberFormat="1" applyFont="1" applyBorder="1"/>
    <xf numFmtId="166" fontId="3" fillId="0" borderId="0" xfId="0" applyNumberFormat="1" applyFont="1" applyBorder="1" applyAlignment="1">
      <alignment wrapText="1"/>
    </xf>
    <xf numFmtId="0" fontId="27" fillId="0" borderId="0" xfId="0" applyFont="1" applyBorder="1" applyAlignment="1">
      <alignment horizontal="left"/>
    </xf>
    <xf numFmtId="0" fontId="27" fillId="0" borderId="0" xfId="0" applyFont="1" applyBorder="1" applyAlignment="1">
      <alignment horizontal="left" vertical="center"/>
    </xf>
    <xf numFmtId="0" fontId="69" fillId="0" borderId="0" xfId="0" applyFont="1"/>
    <xf numFmtId="0" fontId="58" fillId="0" borderId="0" xfId="0" applyFont="1" applyFill="1" applyAlignment="1">
      <alignment horizontal="left" vertical="center" indent="1"/>
    </xf>
    <xf numFmtId="4" fontId="3" fillId="35" borderId="17" xfId="0" applyNumberFormat="1" applyFont="1" applyFill="1" applyBorder="1" applyAlignment="1">
      <alignment horizontal="right" vertical="center" wrapText="1" indent="1"/>
    </xf>
    <xf numFmtId="4" fontId="6" fillId="24" borderId="17" xfId="44" applyNumberFormat="1" applyFont="1" applyFill="1" applyBorder="1" applyAlignment="1">
      <alignment horizontal="right" vertical="center" wrapText="1" indent="1"/>
    </xf>
    <xf numFmtId="4" fontId="6" fillId="24" borderId="18" xfId="44" applyNumberFormat="1" applyFont="1" applyFill="1" applyBorder="1" applyAlignment="1">
      <alignment horizontal="right" vertical="center" wrapText="1" indent="1"/>
    </xf>
    <xf numFmtId="0" fontId="9" fillId="0" borderId="0" xfId="0" applyFont="1" applyAlignment="1">
      <alignment horizontal="center" vertical="center"/>
    </xf>
    <xf numFmtId="0" fontId="9" fillId="0" borderId="0" xfId="0" applyFont="1"/>
    <xf numFmtId="3" fontId="2" fillId="24" borderId="50" xfId="0" applyNumberFormat="1" applyFont="1" applyFill="1" applyBorder="1" applyAlignment="1">
      <alignment horizontal="right" vertical="center" wrapText="1" indent="1"/>
    </xf>
    <xf numFmtId="0" fontId="3" fillId="0" borderId="0" xfId="0" applyFont="1" applyFill="1" applyBorder="1"/>
    <xf numFmtId="0" fontId="3" fillId="0" borderId="0" xfId="0" applyFont="1" applyFill="1" applyBorder="1" applyAlignment="1">
      <alignment vertical="center"/>
    </xf>
    <xf numFmtId="0" fontId="3" fillId="0" borderId="16" xfId="0" applyFont="1" applyFill="1" applyBorder="1" applyAlignment="1">
      <alignment horizontal="center" vertical="center" wrapText="1"/>
    </xf>
    <xf numFmtId="49" fontId="3" fillId="0" borderId="0" xfId="0" applyNumberFormat="1" applyFont="1" applyFill="1" applyBorder="1" applyAlignment="1">
      <alignment horizontal="left" indent="1"/>
    </xf>
    <xf numFmtId="0" fontId="22" fillId="0" borderId="0" xfId="0" applyFont="1" applyFill="1" applyBorder="1" applyAlignment="1">
      <alignment vertical="center"/>
    </xf>
    <xf numFmtId="0" fontId="3" fillId="0" borderId="0" xfId="39" applyFont="1"/>
    <xf numFmtId="0" fontId="3" fillId="0" borderId="15" xfId="39" applyFont="1" applyBorder="1" applyAlignment="1">
      <alignment horizontal="center" vertical="center" wrapText="1"/>
    </xf>
    <xf numFmtId="3" fontId="6" fillId="24" borderId="13" xfId="39" applyNumberFormat="1" applyFont="1" applyFill="1" applyBorder="1" applyAlignment="1">
      <alignment horizontal="right" vertical="center" wrapText="1" indent="1"/>
    </xf>
    <xf numFmtId="3" fontId="3" fillId="35" borderId="13" xfId="39" applyNumberFormat="1" applyFont="1" applyFill="1" applyBorder="1" applyAlignment="1">
      <alignment horizontal="right" vertical="center" wrapText="1" indent="1"/>
    </xf>
    <xf numFmtId="3" fontId="3" fillId="24" borderId="13" xfId="39" applyNumberFormat="1" applyFont="1" applyFill="1" applyBorder="1" applyAlignment="1">
      <alignment horizontal="right" vertical="center" wrapText="1" indent="1"/>
    </xf>
    <xf numFmtId="3" fontId="6" fillId="35" borderId="13" xfId="39" applyNumberFormat="1" applyFont="1" applyFill="1" applyBorder="1" applyAlignment="1">
      <alignment horizontal="right" vertical="center" wrapText="1" indent="1"/>
    </xf>
    <xf numFmtId="3" fontId="3" fillId="0" borderId="13" xfId="39" applyNumberFormat="1" applyFont="1" applyFill="1" applyBorder="1" applyAlignment="1">
      <alignment horizontal="right" vertical="center" wrapText="1" indent="1"/>
    </xf>
    <xf numFmtId="0" fontId="3" fillId="0" borderId="0" xfId="39" applyFont="1" applyFill="1" applyBorder="1" applyAlignment="1">
      <alignment horizontal="center" vertical="center" wrapText="1"/>
    </xf>
    <xf numFmtId="49" fontId="2" fillId="0" borderId="0" xfId="39" applyNumberFormat="1" applyFont="1" applyFill="1" applyBorder="1" applyAlignment="1">
      <alignment horizontal="left" vertical="top" wrapText="1" indent="1"/>
    </xf>
    <xf numFmtId="3" fontId="6" fillId="0" borderId="0" xfId="39" applyNumberFormat="1" applyFont="1" applyFill="1" applyBorder="1" applyAlignment="1">
      <alignment horizontal="right" vertical="center" wrapText="1" indent="1"/>
    </xf>
    <xf numFmtId="0" fontId="7" fillId="0" borderId="0" xfId="39" applyFont="1"/>
    <xf numFmtId="49" fontId="3" fillId="0" borderId="0" xfId="39" applyNumberFormat="1" applyFont="1"/>
    <xf numFmtId="0" fontId="3" fillId="0" borderId="15" xfId="42" applyFont="1" applyBorder="1" applyAlignment="1">
      <alignment horizontal="center" vertical="center" wrapText="1"/>
    </xf>
    <xf numFmtId="0" fontId="3" fillId="0" borderId="16" xfId="42" applyFont="1" applyBorder="1" applyAlignment="1">
      <alignment horizontal="center" vertical="center" wrapText="1"/>
    </xf>
    <xf numFmtId="3" fontId="6" fillId="24" borderId="38" xfId="39" applyNumberFormat="1" applyFont="1" applyFill="1" applyBorder="1" applyAlignment="1">
      <alignment horizontal="right" vertical="center" wrapText="1" indent="1"/>
    </xf>
    <xf numFmtId="3" fontId="3" fillId="35" borderId="38" xfId="39" applyNumberFormat="1" applyFont="1" applyFill="1" applyBorder="1" applyAlignment="1">
      <alignment horizontal="right" vertical="center" wrapText="1" indent="1"/>
    </xf>
    <xf numFmtId="3" fontId="3" fillId="24" borderId="38" xfId="39" applyNumberFormat="1" applyFont="1" applyFill="1" applyBorder="1" applyAlignment="1">
      <alignment horizontal="right" vertical="center" wrapText="1" indent="1"/>
    </xf>
    <xf numFmtId="3" fontId="6" fillId="35" borderId="38" xfId="39" applyNumberFormat="1" applyFont="1" applyFill="1" applyBorder="1" applyAlignment="1">
      <alignment horizontal="right" vertical="center" wrapText="1" indent="1"/>
    </xf>
    <xf numFmtId="3" fontId="3" fillId="0" borderId="38" xfId="39" applyNumberFormat="1" applyFont="1" applyFill="1" applyBorder="1" applyAlignment="1">
      <alignment horizontal="right" vertical="center" wrapText="1" indent="1"/>
    </xf>
    <xf numFmtId="3" fontId="7" fillId="35" borderId="38" xfId="39" applyNumberFormat="1" applyFont="1" applyFill="1" applyBorder="1" applyAlignment="1">
      <alignment horizontal="right" vertical="center" wrapText="1" indent="1"/>
    </xf>
    <xf numFmtId="0" fontId="68" fillId="0" borderId="16" xfId="40" applyFont="1" applyBorder="1" applyAlignment="1">
      <alignment horizontal="center" vertical="center"/>
    </xf>
    <xf numFmtId="0" fontId="3" fillId="0" borderId="15" xfId="0" applyFont="1" applyBorder="1" applyAlignment="1">
      <alignment horizontal="center" vertical="top"/>
    </xf>
    <xf numFmtId="0" fontId="3" fillId="0" borderId="0" xfId="0" applyFont="1" applyAlignment="1">
      <alignment horizontal="left" vertical="center"/>
    </xf>
    <xf numFmtId="0" fontId="3" fillId="0" borderId="15" xfId="39" applyFont="1" applyFill="1" applyBorder="1" applyAlignment="1">
      <alignment horizontal="center" vertical="center" wrapText="1"/>
    </xf>
    <xf numFmtId="0" fontId="3" fillId="0" borderId="16" xfId="39" applyFont="1" applyFill="1" applyBorder="1" applyAlignment="1">
      <alignment horizontal="center" vertical="center" wrapText="1"/>
    </xf>
    <xf numFmtId="0" fontId="3" fillId="0" borderId="0" xfId="39" applyFont="1" applyAlignment="1">
      <alignment vertical="center" wrapText="1"/>
    </xf>
    <xf numFmtId="0" fontId="3" fillId="0" borderId="0" xfId="39" applyFont="1" applyBorder="1" applyAlignment="1">
      <alignment horizontal="center" vertical="center" wrapText="1"/>
    </xf>
    <xf numFmtId="0" fontId="6" fillId="0" borderId="0" xfId="39" applyFont="1" applyBorder="1" applyAlignment="1">
      <alignment horizontal="left" vertical="center" wrapText="1" indent="1"/>
    </xf>
    <xf numFmtId="49" fontId="31" fillId="0" borderId="0" xfId="39" applyNumberFormat="1" applyFont="1"/>
    <xf numFmtId="49" fontId="67" fillId="0" borderId="0" xfId="0" applyNumberFormat="1" applyFont="1" applyAlignment="1">
      <alignment horizontal="left" vertical="center"/>
    </xf>
    <xf numFmtId="3" fontId="3" fillId="35" borderId="13" xfId="0" applyNumberFormat="1" applyFont="1" applyFill="1" applyBorder="1" applyAlignment="1">
      <alignment horizontal="center" vertical="center" wrapText="1"/>
    </xf>
    <xf numFmtId="3" fontId="57" fillId="0" borderId="0" xfId="0" applyNumberFormat="1" applyFont="1"/>
    <xf numFmtId="3" fontId="2" fillId="24" borderId="53" xfId="0" applyNumberFormat="1" applyFont="1" applyFill="1" applyBorder="1" applyAlignment="1">
      <alignment horizontal="right" vertical="center" wrapText="1" indent="1"/>
    </xf>
    <xf numFmtId="3" fontId="2" fillId="24" borderId="65" xfId="0" applyNumberFormat="1" applyFont="1" applyFill="1" applyBorder="1" applyAlignment="1">
      <alignment horizontal="right" vertical="center" wrapText="1" indent="1"/>
    </xf>
    <xf numFmtId="3" fontId="2" fillId="24" borderId="55" xfId="0" applyNumberFormat="1" applyFont="1" applyFill="1" applyBorder="1" applyAlignment="1">
      <alignment horizontal="right" vertical="center" wrapText="1" indent="1"/>
    </xf>
    <xf numFmtId="3" fontId="2" fillId="24" borderId="43" xfId="0" applyNumberFormat="1" applyFont="1" applyFill="1" applyBorder="1" applyAlignment="1">
      <alignment horizontal="right" vertical="center" wrapText="1" indent="1"/>
    </xf>
    <xf numFmtId="3" fontId="2" fillId="24" borderId="44" xfId="0" applyNumberFormat="1" applyFont="1" applyFill="1" applyBorder="1" applyAlignment="1">
      <alignment horizontal="right" vertical="center" wrapText="1" indent="1"/>
    </xf>
    <xf numFmtId="3" fontId="2" fillId="24" borderId="64" xfId="0" applyNumberFormat="1" applyFont="1" applyFill="1" applyBorder="1" applyAlignment="1">
      <alignment horizontal="right" vertical="center" wrapText="1" indent="1"/>
    </xf>
    <xf numFmtId="49" fontId="7" fillId="0" borderId="0" xfId="0" applyNumberFormat="1" applyFont="1" applyAlignment="1">
      <alignment horizontal="left" vertical="center"/>
    </xf>
    <xf numFmtId="0" fontId="2" fillId="0" borderId="15" xfId="0" applyFont="1" applyBorder="1" applyAlignment="1">
      <alignment horizontal="center" vertical="center" wrapText="1"/>
    </xf>
    <xf numFmtId="0" fontId="3" fillId="0" borderId="0" xfId="0" applyFont="1" applyAlignment="1"/>
    <xf numFmtId="0" fontId="3" fillId="0" borderId="0" xfId="0" applyFont="1" applyAlignment="1">
      <alignment vertical="top" wrapText="1"/>
    </xf>
    <xf numFmtId="0" fontId="3" fillId="0" borderId="72" xfId="0" applyFont="1" applyFill="1" applyBorder="1" applyAlignment="1">
      <alignment horizontal="center" vertical="center" wrapText="1"/>
    </xf>
    <xf numFmtId="0" fontId="6" fillId="0" borderId="72" xfId="0" applyFont="1" applyFill="1" applyBorder="1" applyAlignment="1">
      <alignment horizontal="left" vertical="center" wrapText="1" indent="1"/>
    </xf>
    <xf numFmtId="0" fontId="6" fillId="0" borderId="72" xfId="0" applyFont="1" applyFill="1" applyBorder="1" applyAlignment="1">
      <alignment horizontal="center" vertical="center" wrapText="1"/>
    </xf>
    <xf numFmtId="0" fontId="3" fillId="0" borderId="72" xfId="0" applyFont="1" applyFill="1" applyBorder="1" applyAlignment="1">
      <alignment horizontal="right" vertical="center" wrapText="1" indent="1"/>
    </xf>
    <xf numFmtId="0" fontId="69" fillId="0" borderId="0" xfId="39" applyFont="1" applyAlignment="1">
      <alignment vertical="center" wrapText="1"/>
    </xf>
    <xf numFmtId="0" fontId="3" fillId="38" borderId="0" xfId="0" applyFont="1" applyFill="1"/>
    <xf numFmtId="0" fontId="1" fillId="0" borderId="0" xfId="0" applyFont="1"/>
    <xf numFmtId="0" fontId="78" fillId="0" borderId="0" xfId="0" applyFont="1"/>
    <xf numFmtId="3" fontId="22" fillId="0" borderId="0" xfId="44" applyNumberFormat="1" applyFont="1" applyBorder="1" applyAlignment="1">
      <alignment vertical="center"/>
    </xf>
    <xf numFmtId="4" fontId="6" fillId="24" borderId="17" xfId="0" applyNumberFormat="1" applyFont="1" applyFill="1" applyBorder="1" applyAlignment="1">
      <alignment horizontal="right" vertical="center" wrapText="1" indent="1"/>
    </xf>
    <xf numFmtId="3" fontId="6" fillId="24" borderId="14" xfId="39" applyNumberFormat="1" applyFont="1" applyFill="1" applyBorder="1" applyAlignment="1">
      <alignment horizontal="right" vertical="center" wrapText="1" indent="1"/>
    </xf>
    <xf numFmtId="0" fontId="3" fillId="0" borderId="16" xfId="39" applyFont="1" applyBorder="1" applyAlignment="1">
      <alignment horizontal="center" vertical="center" wrapText="1"/>
    </xf>
    <xf numFmtId="0" fontId="68" fillId="0" borderId="22" xfId="40" applyFont="1" applyBorder="1" applyAlignment="1">
      <alignment horizontal="center" vertical="center"/>
    </xf>
    <xf numFmtId="0" fontId="68" fillId="0" borderId="78" xfId="40" applyFont="1" applyBorder="1" applyAlignment="1">
      <alignment horizontal="center" vertical="center"/>
    </xf>
    <xf numFmtId="3" fontId="6" fillId="35" borderId="79" xfId="0" applyNumberFormat="1" applyFont="1" applyFill="1" applyBorder="1" applyAlignment="1">
      <alignment horizontal="right" vertical="center" wrapText="1" indent="1"/>
    </xf>
    <xf numFmtId="165" fontId="6" fillId="24" borderId="80" xfId="0" applyNumberFormat="1" applyFont="1" applyFill="1" applyBorder="1" applyAlignment="1">
      <alignment horizontal="right" vertical="center" wrapText="1" indent="1"/>
    </xf>
    <xf numFmtId="166" fontId="6" fillId="24" borderId="73" xfId="0" applyNumberFormat="1" applyFont="1" applyFill="1" applyBorder="1" applyAlignment="1">
      <alignment horizontal="right" vertical="center" wrapText="1" indent="1"/>
    </xf>
    <xf numFmtId="3" fontId="6" fillId="35" borderId="82" xfId="0" applyNumberFormat="1" applyFont="1" applyFill="1" applyBorder="1" applyAlignment="1">
      <alignment horizontal="right" vertical="center" wrapText="1" indent="1"/>
    </xf>
    <xf numFmtId="165" fontId="6" fillId="24" borderId="81" xfId="0" applyNumberFormat="1" applyFont="1" applyFill="1" applyBorder="1" applyAlignment="1">
      <alignment horizontal="right" vertical="center" wrapText="1" indent="1"/>
    </xf>
    <xf numFmtId="166" fontId="6" fillId="24" borderId="51" xfId="0" applyNumberFormat="1" applyFont="1" applyFill="1" applyBorder="1" applyAlignment="1">
      <alignment horizontal="right" vertical="center" wrapText="1" indent="1"/>
    </xf>
    <xf numFmtId="0" fontId="3" fillId="0" borderId="0" xfId="39" applyFont="1" applyBorder="1" applyAlignment="1">
      <alignment vertical="center" wrapText="1"/>
    </xf>
    <xf numFmtId="0" fontId="3" fillId="0" borderId="21" xfId="42" applyFont="1" applyBorder="1" applyAlignment="1">
      <alignment horizontal="center" vertical="center" wrapText="1"/>
    </xf>
    <xf numFmtId="1" fontId="6" fillId="24" borderId="14" xfId="0" applyNumberFormat="1" applyFont="1" applyFill="1" applyBorder="1" applyAlignment="1">
      <alignment horizontal="right" vertical="center" wrapText="1" indent="1"/>
    </xf>
    <xf numFmtId="0" fontId="71" fillId="0" borderId="0" xfId="0" applyFont="1" applyAlignment="1">
      <alignment vertical="center" wrapText="1"/>
    </xf>
    <xf numFmtId="0" fontId="70" fillId="0" borderId="0" xfId="0" applyFont="1" applyAlignment="1">
      <alignment horizontal="center" vertical="center"/>
    </xf>
    <xf numFmtId="0" fontId="6" fillId="0" borderId="29" xfId="43" applyNumberFormat="1" applyFont="1" applyFill="1" applyBorder="1" applyAlignment="1">
      <alignment horizontal="center" vertical="center" wrapText="1"/>
    </xf>
    <xf numFmtId="0" fontId="6" fillId="0" borderId="30" xfId="43" applyNumberFormat="1" applyFont="1" applyFill="1" applyBorder="1" applyAlignment="1">
      <alignment horizontal="center" vertical="center" wrapText="1"/>
    </xf>
    <xf numFmtId="0" fontId="6" fillId="0" borderId="83" xfId="43" applyNumberFormat="1" applyFont="1" applyFill="1" applyBorder="1" applyAlignment="1">
      <alignment horizontal="center" vertical="center" wrapText="1"/>
    </xf>
    <xf numFmtId="3" fontId="3" fillId="0" borderId="0" xfId="0" applyNumberFormat="1" applyFont="1" applyFill="1" applyBorder="1"/>
    <xf numFmtId="4" fontId="7" fillId="0" borderId="0" xfId="44" applyNumberFormat="1" applyFont="1" applyBorder="1" applyAlignment="1">
      <alignment vertical="center" wrapText="1"/>
    </xf>
    <xf numFmtId="0" fontId="83" fillId="0" borderId="0" xfId="0" applyFont="1" applyBorder="1" applyAlignment="1">
      <alignment horizontal="right"/>
    </xf>
    <xf numFmtId="49" fontId="78" fillId="0" borderId="0" xfId="0" applyNumberFormat="1" applyFont="1" applyBorder="1"/>
    <xf numFmtId="0" fontId="71" fillId="0" borderId="0" xfId="0" applyFont="1" applyBorder="1" applyAlignment="1">
      <alignment horizontal="right"/>
    </xf>
    <xf numFmtId="0" fontId="66" fillId="0" borderId="63" xfId="0" applyFont="1" applyBorder="1" applyAlignment="1">
      <alignment horizontal="left" vertical="center"/>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75" fillId="0" borderId="0" xfId="0" applyFont="1" applyFill="1" applyAlignment="1">
      <alignment horizontal="left" vertical="center" wrapText="1"/>
    </xf>
    <xf numFmtId="0" fontId="92" fillId="0" borderId="0" xfId="0" applyFont="1" applyAlignment="1">
      <alignment vertical="center"/>
    </xf>
    <xf numFmtId="0" fontId="22" fillId="0" borderId="0" xfId="0" applyFont="1" applyAlignment="1">
      <alignment vertical="center" wrapText="1"/>
    </xf>
    <xf numFmtId="49" fontId="22" fillId="0" borderId="0" xfId="0" applyNumberFormat="1" applyFont="1" applyAlignment="1">
      <alignment horizontal="left" vertical="center" wrapText="1" indent="1"/>
    </xf>
    <xf numFmtId="0" fontId="7" fillId="0" borderId="21" xfId="0" applyFont="1" applyBorder="1" applyAlignment="1">
      <alignment horizontal="center" vertical="center" wrapText="1"/>
    </xf>
    <xf numFmtId="0" fontId="83" fillId="0" borderId="0" xfId="89" applyFont="1"/>
    <xf numFmtId="0" fontId="83" fillId="0" borderId="0" xfId="0" applyFont="1"/>
    <xf numFmtId="0" fontId="85" fillId="0" borderId="0" xfId="89" applyFont="1"/>
    <xf numFmtId="0" fontId="3" fillId="0" borderId="0" xfId="89" applyFont="1"/>
    <xf numFmtId="0" fontId="59" fillId="0" borderId="0" xfId="89" applyFont="1"/>
    <xf numFmtId="0" fontId="3" fillId="0" borderId="15" xfId="89" applyFont="1" applyBorder="1" applyAlignment="1">
      <alignment horizontal="center" vertical="center"/>
    </xf>
    <xf numFmtId="0" fontId="97" fillId="0" borderId="0" xfId="89" applyFont="1"/>
    <xf numFmtId="0" fontId="59" fillId="0" borderId="0" xfId="89" applyFont="1" applyAlignment="1">
      <alignment vertical="center"/>
    </xf>
    <xf numFmtId="0" fontId="3" fillId="0" borderId="0" xfId="89" applyFont="1" applyAlignment="1">
      <alignment vertical="center"/>
    </xf>
    <xf numFmtId="0" fontId="85" fillId="0" borderId="0" xfId="89" applyFont="1" applyFill="1"/>
    <xf numFmtId="0" fontId="69" fillId="0" borderId="0" xfId="89" applyFont="1" applyFill="1"/>
    <xf numFmtId="0" fontId="69" fillId="0" borderId="0" xfId="89" applyFont="1"/>
    <xf numFmtId="0" fontId="86" fillId="0" borderId="0" xfId="89" applyFont="1"/>
    <xf numFmtId="0" fontId="3" fillId="0" borderId="12" xfId="89" applyFont="1" applyBorder="1" applyAlignment="1">
      <alignment horizontal="center" vertical="center"/>
    </xf>
    <xf numFmtId="0" fontId="59" fillId="38" borderId="0" xfId="89" applyFont="1" applyFill="1"/>
    <xf numFmtId="0" fontId="9" fillId="0" borderId="15" xfId="89" applyFont="1" applyBorder="1" applyAlignment="1">
      <alignment horizontal="center" vertical="center"/>
    </xf>
    <xf numFmtId="0" fontId="3" fillId="0" borderId="0" xfId="89" applyFont="1" applyAlignment="1">
      <alignment horizontal="center" vertical="center"/>
    </xf>
    <xf numFmtId="49" fontId="3" fillId="0" borderId="0" xfId="89" applyNumberFormat="1" applyFont="1" applyAlignment="1">
      <alignment horizontal="left" wrapText="1"/>
    </xf>
    <xf numFmtId="0" fontId="98" fillId="0" borderId="0" xfId="0" applyFont="1" applyAlignment="1">
      <alignment horizontal="left" vertical="center"/>
    </xf>
    <xf numFmtId="0" fontId="67" fillId="0" borderId="0" xfId="89" applyFont="1"/>
    <xf numFmtId="3" fontId="7" fillId="35" borderId="13" xfId="0" applyNumberFormat="1" applyFont="1" applyFill="1" applyBorder="1" applyAlignment="1">
      <alignment horizontal="center" vertical="center" wrapText="1"/>
    </xf>
    <xf numFmtId="49" fontId="69" fillId="0" borderId="0" xfId="0" applyNumberFormat="1" applyFont="1" applyBorder="1"/>
    <xf numFmtId="0" fontId="3" fillId="0" borderId="0" xfId="0" applyFont="1" applyBorder="1" applyAlignment="1">
      <alignment horizontal="left" vertical="center" wrapText="1" indent="3"/>
    </xf>
    <xf numFmtId="49" fontId="3" fillId="0" borderId="0" xfId="0" applyNumberFormat="1" applyFont="1" applyBorder="1" applyAlignment="1">
      <alignment horizontal="left" vertical="center" wrapText="1" indent="1"/>
    </xf>
    <xf numFmtId="0" fontId="3" fillId="0" borderId="0" xfId="0" applyFont="1" applyBorder="1" applyAlignment="1">
      <alignment horizontal="right" vertical="center" wrapText="1"/>
    </xf>
    <xf numFmtId="49" fontId="3" fillId="0" borderId="0" xfId="0" applyNumberFormat="1" applyFont="1" applyBorder="1" applyAlignment="1">
      <alignment vertical="center"/>
    </xf>
    <xf numFmtId="3" fontId="3" fillId="35" borderId="17" xfId="42" applyNumberFormat="1" applyFont="1" applyFill="1" applyBorder="1" applyAlignment="1">
      <alignment horizontal="right" vertical="center" wrapText="1" indent="1"/>
    </xf>
    <xf numFmtId="3" fontId="2" fillId="24" borderId="18" xfId="42" applyNumberFormat="1" applyFont="1" applyFill="1" applyBorder="1" applyAlignment="1">
      <alignment horizontal="right" vertical="center" wrapText="1" indent="1"/>
    </xf>
    <xf numFmtId="0" fontId="75" fillId="0" borderId="0" xfId="0" applyFont="1" applyAlignment="1">
      <alignment horizontal="left" indent="1"/>
    </xf>
    <xf numFmtId="0" fontId="7" fillId="0" borderId="13" xfId="0" applyNumberFormat="1" applyFont="1" applyBorder="1" applyAlignment="1">
      <alignment horizontal="left" vertical="center" wrapText="1" indent="1"/>
    </xf>
    <xf numFmtId="0" fontId="3" fillId="0" borderId="16" xfId="89" applyFont="1" applyBorder="1" applyAlignment="1">
      <alignment horizontal="center" vertical="center"/>
    </xf>
    <xf numFmtId="0" fontId="2" fillId="0" borderId="13" xfId="0" applyNumberFormat="1" applyFont="1" applyBorder="1" applyAlignment="1">
      <alignment horizontal="center" vertical="center" wrapText="1"/>
    </xf>
    <xf numFmtId="0" fontId="2" fillId="0" borderId="13" xfId="0" applyNumberFormat="1" applyFont="1" applyBorder="1" applyAlignment="1">
      <alignment horizontal="left" vertical="center" wrapText="1" indent="1"/>
    </xf>
    <xf numFmtId="0" fontId="3" fillId="0" borderId="13" xfId="0" applyNumberFormat="1" applyFont="1" applyBorder="1" applyAlignment="1">
      <alignment horizontal="left" vertical="center" wrapText="1" indent="1"/>
    </xf>
    <xf numFmtId="0" fontId="2" fillId="0" borderId="17" xfId="0" applyNumberFormat="1" applyFont="1" applyBorder="1" applyAlignment="1">
      <alignment horizontal="left" vertical="center" wrapText="1" indent="1"/>
    </xf>
    <xf numFmtId="0" fontId="2" fillId="0" borderId="13" xfId="0" applyNumberFormat="1" applyFont="1" applyFill="1" applyBorder="1" applyAlignment="1">
      <alignment horizontal="left" vertical="center" wrapText="1" indent="1"/>
    </xf>
    <xf numFmtId="0" fontId="71" fillId="0" borderId="13" xfId="0" applyNumberFormat="1" applyFont="1" applyFill="1" applyBorder="1" applyAlignment="1">
      <alignment horizontal="left" vertical="center" wrapText="1" indent="1"/>
    </xf>
    <xf numFmtId="0" fontId="70" fillId="0" borderId="13" xfId="0" applyNumberFormat="1" applyFont="1" applyFill="1" applyBorder="1" applyAlignment="1">
      <alignment horizontal="left" vertical="center" wrapText="1" indent="1"/>
    </xf>
    <xf numFmtId="0" fontId="71" fillId="0" borderId="13" xfId="0" applyNumberFormat="1" applyFont="1" applyBorder="1" applyAlignment="1">
      <alignment horizontal="left" vertical="center" wrapText="1" indent="1"/>
    </xf>
    <xf numFmtId="0" fontId="66" fillId="0" borderId="13" xfId="0" applyNumberFormat="1" applyFont="1" applyFill="1" applyBorder="1" applyAlignment="1">
      <alignment horizontal="left" vertical="center" wrapText="1" indent="1"/>
    </xf>
    <xf numFmtId="0" fontId="68" fillId="0" borderId="13" xfId="0" applyNumberFormat="1" applyFont="1" applyBorder="1" applyAlignment="1">
      <alignment horizontal="left" vertical="center" wrapText="1" indent="1"/>
    </xf>
    <xf numFmtId="0" fontId="6" fillId="0" borderId="13" xfId="0" applyNumberFormat="1" applyFont="1" applyFill="1" applyBorder="1" applyAlignment="1">
      <alignment horizontal="left" vertical="center" wrapText="1" indent="1"/>
    </xf>
    <xf numFmtId="0" fontId="7" fillId="0" borderId="0" xfId="0" applyNumberFormat="1" applyFont="1" applyAlignment="1">
      <alignment horizontal="left" vertical="center" wrapText="1" indent="1"/>
    </xf>
    <xf numFmtId="0" fontId="6" fillId="0" borderId="13" xfId="0" applyNumberFormat="1" applyFont="1" applyFill="1" applyBorder="1" applyAlignment="1">
      <alignment horizontal="left" vertical="center" indent="1"/>
    </xf>
    <xf numFmtId="0" fontId="6" fillId="37" borderId="13" xfId="0" applyNumberFormat="1" applyFont="1" applyFill="1" applyBorder="1" applyAlignment="1">
      <alignment horizontal="left" vertical="center" indent="1"/>
    </xf>
    <xf numFmtId="0" fontId="7" fillId="0" borderId="19" xfId="0" applyNumberFormat="1" applyFont="1" applyFill="1" applyBorder="1" applyAlignment="1">
      <alignment horizontal="left" vertical="center" wrapText="1" indent="1"/>
    </xf>
    <xf numFmtId="0" fontId="3" fillId="0" borderId="0" xfId="0" applyNumberFormat="1" applyFont="1" applyAlignment="1">
      <alignment horizontal="left" vertical="center" wrapText="1"/>
    </xf>
    <xf numFmtId="0" fontId="2" fillId="0" borderId="15" xfId="0" applyNumberFormat="1" applyFont="1" applyBorder="1" applyAlignment="1">
      <alignment horizontal="center" vertical="center" wrapText="1"/>
    </xf>
    <xf numFmtId="0" fontId="6" fillId="0" borderId="14" xfId="0" applyNumberFormat="1" applyFont="1" applyBorder="1" applyAlignment="1">
      <alignment horizontal="center" vertical="center" wrapText="1"/>
    </xf>
    <xf numFmtId="0" fontId="3" fillId="0" borderId="0" xfId="0" applyNumberFormat="1" applyFont="1" applyAlignment="1">
      <alignment vertical="center" wrapText="1"/>
    </xf>
    <xf numFmtId="0" fontId="3" fillId="0" borderId="15" xfId="0" applyNumberFormat="1" applyFont="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3" fillId="0" borderId="0" xfId="0" applyNumberFormat="1" applyFont="1"/>
    <xf numFmtId="0" fontId="2" fillId="0" borderId="0" xfId="0" applyNumberFormat="1" applyFont="1"/>
    <xf numFmtId="0" fontId="2" fillId="0" borderId="14" xfId="0" applyNumberFormat="1" applyFont="1" applyBorder="1" applyAlignment="1">
      <alignment horizontal="center" vertical="center" wrapText="1"/>
    </xf>
    <xf numFmtId="0" fontId="69" fillId="0" borderId="0" xfId="0" applyNumberFormat="1" applyFont="1" applyAlignment="1">
      <alignment horizontal="center"/>
    </xf>
    <xf numFmtId="0" fontId="2" fillId="0" borderId="38" xfId="0" applyNumberFormat="1" applyFont="1" applyBorder="1" applyAlignment="1">
      <alignment horizontal="center" vertical="center" wrapText="1"/>
    </xf>
    <xf numFmtId="0" fontId="7" fillId="0" borderId="0" xfId="0" applyNumberFormat="1" applyFont="1"/>
    <xf numFmtId="0" fontId="2" fillId="0" borderId="17" xfId="0" applyNumberFormat="1" applyFont="1" applyFill="1" applyBorder="1" applyAlignment="1">
      <alignment horizontal="left" vertical="center" wrapText="1" indent="1"/>
    </xf>
    <xf numFmtId="0" fontId="3" fillId="0" borderId="0" xfId="89" applyNumberFormat="1" applyFont="1"/>
    <xf numFmtId="0" fontId="59" fillId="0" borderId="0" xfId="89" applyNumberFormat="1" applyFont="1"/>
    <xf numFmtId="0" fontId="63" fillId="0" borderId="0" xfId="89" applyNumberFormat="1" applyFont="1"/>
    <xf numFmtId="0" fontId="2" fillId="0" borderId="0" xfId="89" applyNumberFormat="1" applyFont="1"/>
    <xf numFmtId="0" fontId="2" fillId="0" borderId="13" xfId="89" applyNumberFormat="1" applyFont="1" applyBorder="1" applyAlignment="1">
      <alignment horizontal="center" vertical="center" wrapText="1"/>
    </xf>
    <xf numFmtId="0" fontId="2" fillId="0" borderId="14" xfId="89" applyNumberFormat="1" applyFont="1" applyBorder="1" applyAlignment="1">
      <alignment horizontal="center" vertical="center" wrapText="1"/>
    </xf>
    <xf numFmtId="0" fontId="3" fillId="0" borderId="15" xfId="89" applyNumberFormat="1" applyFont="1" applyBorder="1" applyAlignment="1">
      <alignment horizontal="center" vertical="center"/>
    </xf>
    <xf numFmtId="0" fontId="70" fillId="0" borderId="13" xfId="89" applyNumberFormat="1" applyFont="1" applyFill="1" applyBorder="1" applyAlignment="1">
      <alignment horizontal="left" vertical="top" wrapText="1"/>
    </xf>
    <xf numFmtId="0" fontId="6" fillId="0" borderId="13" xfId="89" applyNumberFormat="1" applyFont="1" applyFill="1" applyBorder="1" applyAlignment="1">
      <alignment horizontal="center" vertical="center" wrapText="1"/>
    </xf>
    <xf numFmtId="0" fontId="6" fillId="0" borderId="14" xfId="89" applyNumberFormat="1" applyFont="1" applyFill="1" applyBorder="1" applyAlignment="1">
      <alignment horizontal="center" vertical="center" wrapText="1"/>
    </xf>
    <xf numFmtId="0" fontId="70" fillId="0" borderId="13" xfId="89" applyNumberFormat="1" applyFont="1" applyFill="1" applyBorder="1" applyAlignment="1">
      <alignment horizontal="left" vertical="top" wrapText="1" indent="1"/>
    </xf>
    <xf numFmtId="0" fontId="71" fillId="0" borderId="13" xfId="89" applyNumberFormat="1" applyFont="1" applyBorder="1" applyAlignment="1">
      <alignment horizontal="left" vertical="top" wrapText="1" indent="1"/>
    </xf>
    <xf numFmtId="0" fontId="71" fillId="0" borderId="13" xfId="89" applyNumberFormat="1" applyFont="1" applyBorder="1" applyAlignment="1">
      <alignment horizontal="left" wrapText="1" indent="1"/>
    </xf>
    <xf numFmtId="0" fontId="71" fillId="0" borderId="13" xfId="89" applyNumberFormat="1" applyFont="1" applyBorder="1" applyAlignment="1">
      <alignment horizontal="left" vertical="center" wrapText="1" indent="1"/>
    </xf>
    <xf numFmtId="0" fontId="71" fillId="0" borderId="13" xfId="89" applyNumberFormat="1" applyFont="1" applyFill="1" applyBorder="1" applyAlignment="1">
      <alignment horizontal="left" vertical="top" wrapText="1" indent="1"/>
    </xf>
    <xf numFmtId="0" fontId="71" fillId="0" borderId="13" xfId="89" applyNumberFormat="1" applyFont="1" applyFill="1" applyBorder="1" applyAlignment="1">
      <alignment horizontal="left" wrapText="1" indent="1"/>
    </xf>
    <xf numFmtId="0" fontId="71" fillId="0" borderId="13" xfId="89" applyNumberFormat="1" applyFont="1" applyFill="1" applyBorder="1" applyAlignment="1">
      <alignment horizontal="left" vertical="center" wrapText="1"/>
    </xf>
    <xf numFmtId="0" fontId="71" fillId="0" borderId="13" xfId="89" applyNumberFormat="1" applyFont="1" applyFill="1" applyBorder="1" applyAlignment="1" applyProtection="1">
      <alignment horizontal="left" vertical="top" wrapText="1" indent="1"/>
      <protection locked="0"/>
    </xf>
    <xf numFmtId="0" fontId="71" fillId="0" borderId="13" xfId="89" applyNumberFormat="1" applyFont="1" applyFill="1" applyBorder="1" applyAlignment="1">
      <alignment horizontal="left" vertical="center" wrapText="1" indent="1"/>
    </xf>
    <xf numFmtId="0" fontId="70" fillId="0" borderId="17" xfId="89" applyNumberFormat="1" applyFont="1" applyFill="1" applyBorder="1" applyAlignment="1">
      <alignment horizontal="left" vertical="top" wrapText="1" indent="1"/>
    </xf>
    <xf numFmtId="0" fontId="71" fillId="0" borderId="0" xfId="89" applyNumberFormat="1" applyFont="1" applyAlignment="1">
      <alignment horizontal="left" wrapText="1"/>
    </xf>
    <xf numFmtId="0" fontId="84" fillId="0" borderId="13" xfId="89" applyNumberFormat="1" applyFont="1" applyFill="1" applyBorder="1" applyAlignment="1">
      <alignment horizontal="left" vertical="top" wrapText="1" indent="1"/>
    </xf>
    <xf numFmtId="0" fontId="3" fillId="44" borderId="0" xfId="0" applyNumberFormat="1" applyFont="1" applyFill="1" applyAlignment="1">
      <alignment vertical="center" wrapText="1"/>
    </xf>
    <xf numFmtId="0" fontId="71" fillId="0" borderId="0" xfId="0" applyNumberFormat="1" applyFont="1" applyAlignment="1">
      <alignment vertical="center" wrapText="1"/>
    </xf>
    <xf numFmtId="0" fontId="70" fillId="0" borderId="0" xfId="0" applyNumberFormat="1" applyFont="1" applyAlignment="1">
      <alignment vertical="center" wrapText="1"/>
    </xf>
    <xf numFmtId="0" fontId="2" fillId="0" borderId="0" xfId="0" applyNumberFormat="1" applyFont="1" applyAlignment="1">
      <alignment vertical="center" wrapText="1"/>
    </xf>
    <xf numFmtId="0" fontId="2" fillId="0" borderId="15"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0" borderId="57" xfId="0" applyNumberFormat="1" applyFont="1" applyBorder="1" applyAlignment="1">
      <alignment horizontal="center" vertical="center" wrapText="1"/>
    </xf>
    <xf numFmtId="0" fontId="2" fillId="0" borderId="0" xfId="0" applyNumberFormat="1" applyFont="1" applyBorder="1" applyAlignment="1">
      <alignment vertical="center" wrapText="1"/>
    </xf>
    <xf numFmtId="0" fontId="3" fillId="0" borderId="13" xfId="0" applyNumberFormat="1" applyFont="1" applyFill="1" applyBorder="1" applyAlignment="1">
      <alignment horizontal="left" vertical="center" wrapText="1" indent="1"/>
    </xf>
    <xf numFmtId="0" fontId="81" fillId="45" borderId="42" xfId="0" applyNumberFormat="1" applyFont="1" applyFill="1" applyBorder="1" applyAlignment="1">
      <alignment horizontal="center" vertical="center" wrapText="1"/>
    </xf>
    <xf numFmtId="0" fontId="71" fillId="44" borderId="0" xfId="0" applyNumberFormat="1" applyFont="1" applyFill="1" applyAlignment="1">
      <alignment vertical="center" wrapText="1"/>
    </xf>
    <xf numFmtId="0" fontId="6" fillId="0" borderId="13" xfId="0" applyNumberFormat="1" applyFont="1" applyBorder="1" applyAlignment="1">
      <alignment horizontal="center" vertical="center" wrapText="1"/>
    </xf>
    <xf numFmtId="0" fontId="2" fillId="0" borderId="12" xfId="0" applyNumberFormat="1" applyFont="1" applyBorder="1" applyAlignment="1">
      <alignment horizontal="center" vertical="center" wrapText="1"/>
    </xf>
    <xf numFmtId="0" fontId="81" fillId="45" borderId="57" xfId="0" applyNumberFormat="1" applyFont="1" applyFill="1" applyBorder="1" applyAlignment="1">
      <alignment horizontal="center" vertical="center" wrapText="1"/>
    </xf>
    <xf numFmtId="0" fontId="70" fillId="0" borderId="0" xfId="0" applyNumberFormat="1" applyFont="1" applyBorder="1" applyAlignment="1">
      <alignment vertical="center" wrapText="1"/>
    </xf>
    <xf numFmtId="0" fontId="3" fillId="0" borderId="0" xfId="0" applyNumberFormat="1" applyFont="1" applyAlignment="1">
      <alignment horizontal="center" vertical="center" wrapText="1"/>
    </xf>
    <xf numFmtId="0" fontId="92" fillId="0" borderId="0" xfId="0" applyNumberFormat="1" applyFont="1" applyAlignment="1">
      <alignment vertical="center"/>
    </xf>
    <xf numFmtId="0" fontId="22" fillId="0" borderId="0" xfId="0" applyNumberFormat="1" applyFont="1" applyAlignment="1">
      <alignment vertical="center" wrapText="1"/>
    </xf>
    <xf numFmtId="0" fontId="65" fillId="0" borderId="0" xfId="40" applyNumberFormat="1"/>
    <xf numFmtId="0" fontId="66" fillId="0" borderId="23" xfId="40" applyNumberFormat="1" applyFont="1" applyBorder="1" applyAlignment="1">
      <alignment horizontal="center" vertical="center" wrapText="1"/>
    </xf>
    <xf numFmtId="0" fontId="66" fillId="0" borderId="25" xfId="40" applyNumberFormat="1" applyFont="1" applyBorder="1" applyAlignment="1">
      <alignment horizontal="center" vertical="center"/>
    </xf>
    <xf numFmtId="0" fontId="66" fillId="0" borderId="25" xfId="40" applyNumberFormat="1" applyFont="1" applyBorder="1" applyAlignment="1">
      <alignment horizontal="center" vertical="center" wrapText="1"/>
    </xf>
    <xf numFmtId="0" fontId="66" fillId="0" borderId="24" xfId="40" applyNumberFormat="1" applyFont="1" applyBorder="1" applyAlignment="1">
      <alignment horizontal="center" vertical="center" wrapText="1"/>
    </xf>
    <xf numFmtId="0" fontId="66" fillId="0" borderId="15" xfId="40" applyNumberFormat="1" applyFont="1" applyBorder="1" applyAlignment="1">
      <alignment vertical="center"/>
    </xf>
    <xf numFmtId="0" fontId="66" fillId="0" borderId="13" xfId="40" applyNumberFormat="1" applyFont="1" applyBorder="1" applyAlignment="1">
      <alignment vertical="center"/>
    </xf>
    <xf numFmtId="0" fontId="66" fillId="0" borderId="13" xfId="40" applyNumberFormat="1" applyFont="1" applyBorder="1" applyAlignment="1">
      <alignment horizontal="center" vertical="center"/>
    </xf>
    <xf numFmtId="0" fontId="66" fillId="0" borderId="14" xfId="40" applyNumberFormat="1" applyFont="1" applyBorder="1" applyAlignment="1">
      <alignment horizontal="center" vertical="center"/>
    </xf>
    <xf numFmtId="0" fontId="66" fillId="0" borderId="79" xfId="40" applyNumberFormat="1" applyFont="1" applyBorder="1" applyAlignment="1">
      <alignment horizontal="left" vertical="center" indent="1"/>
    </xf>
    <xf numFmtId="0" fontId="66" fillId="0" borderId="29" xfId="40" applyNumberFormat="1" applyFont="1" applyBorder="1" applyAlignment="1">
      <alignment horizontal="left" vertical="center" indent="1"/>
    </xf>
    <xf numFmtId="0" fontId="66" fillId="0" borderId="17" xfId="40" applyNumberFormat="1" applyFont="1" applyBorder="1" applyAlignment="1">
      <alignment horizontal="left" vertical="center" indent="1"/>
    </xf>
    <xf numFmtId="0" fontId="7" fillId="0" borderId="0" xfId="40" applyNumberFormat="1" applyFont="1"/>
    <xf numFmtId="0" fontId="2" fillId="0" borderId="22" xfId="0" applyNumberFormat="1" applyFont="1" applyBorder="1" applyAlignment="1">
      <alignment vertical="center" wrapText="1"/>
    </xf>
    <xf numFmtId="0" fontId="6" fillId="0" borderId="13" xfId="0" applyNumberFormat="1" applyFont="1" applyBorder="1" applyAlignment="1">
      <alignment horizontal="left" vertical="center" wrapText="1"/>
    </xf>
    <xf numFmtId="0" fontId="6" fillId="0" borderId="13" xfId="0" applyNumberFormat="1" applyFont="1" applyBorder="1" applyAlignment="1">
      <alignment horizontal="left" vertical="center" wrapText="1" indent="1"/>
    </xf>
    <xf numFmtId="0" fontId="6" fillId="0" borderId="17" xfId="0" applyNumberFormat="1" applyFont="1" applyBorder="1" applyAlignment="1">
      <alignment horizontal="left" vertical="center" wrapText="1" indent="1"/>
    </xf>
    <xf numFmtId="0" fontId="6" fillId="0" borderId="13" xfId="0" applyNumberFormat="1" applyFont="1" applyFill="1" applyBorder="1" applyAlignment="1">
      <alignment horizontal="center" vertical="center" wrapText="1"/>
    </xf>
    <xf numFmtId="0" fontId="0" fillId="0" borderId="0" xfId="0" applyNumberFormat="1" applyBorder="1"/>
    <xf numFmtId="0" fontId="29" fillId="0" borderId="0" xfId="0" applyNumberFormat="1" applyFont="1" applyBorder="1"/>
    <xf numFmtId="0" fontId="2" fillId="0" borderId="13" xfId="0" applyNumberFormat="1" applyFont="1" applyBorder="1" applyAlignment="1">
      <alignment horizontal="left" vertical="center" wrapText="1"/>
    </xf>
    <xf numFmtId="0" fontId="6" fillId="0" borderId="17" xfId="0" applyNumberFormat="1" applyFont="1" applyFill="1" applyBorder="1" applyAlignment="1">
      <alignment horizontal="left" vertical="center" wrapText="1" indent="1"/>
    </xf>
    <xf numFmtId="0" fontId="6" fillId="0" borderId="14" xfId="0" applyNumberFormat="1" applyFont="1" applyFill="1" applyBorder="1" applyAlignment="1">
      <alignment horizontal="center" vertical="center" wrapText="1"/>
    </xf>
    <xf numFmtId="0" fontId="3" fillId="0" borderId="0" xfId="39" applyNumberFormat="1" applyFont="1"/>
    <xf numFmtId="0" fontId="2" fillId="0" borderId="15" xfId="39" applyNumberFormat="1" applyFont="1" applyBorder="1" applyAlignment="1">
      <alignment horizontal="center" vertical="center" wrapText="1"/>
    </xf>
    <xf numFmtId="0" fontId="2" fillId="0" borderId="13" xfId="39" applyNumberFormat="1" applyFont="1" applyBorder="1" applyAlignment="1">
      <alignment horizontal="center" vertical="center" wrapText="1"/>
    </xf>
    <xf numFmtId="0" fontId="27" fillId="0" borderId="0" xfId="0" applyNumberFormat="1" applyFont="1" applyBorder="1" applyAlignment="1">
      <alignment horizontal="left"/>
    </xf>
    <xf numFmtId="0" fontId="3" fillId="0" borderId="0" xfId="0" applyNumberFormat="1" applyFont="1" applyBorder="1"/>
    <xf numFmtId="0" fontId="27" fillId="0" borderId="0" xfId="0" applyNumberFormat="1" applyFont="1" applyBorder="1" applyAlignment="1">
      <alignment horizontal="left" vertical="center"/>
    </xf>
    <xf numFmtId="0" fontId="2" fillId="0" borderId="0" xfId="0" applyNumberFormat="1" applyFont="1" applyBorder="1" applyAlignment="1">
      <alignment horizontal="center" vertical="center"/>
    </xf>
    <xf numFmtId="0" fontId="2" fillId="0" borderId="13" xfId="0" applyNumberFormat="1" applyFont="1" applyBorder="1" applyAlignment="1">
      <alignment vertical="top" wrapText="1"/>
    </xf>
    <xf numFmtId="0" fontId="2" fillId="0" borderId="13" xfId="0" applyNumberFormat="1" applyFont="1" applyBorder="1" applyAlignment="1">
      <alignment horizontal="left" vertical="top" wrapText="1" indent="1"/>
    </xf>
    <xf numFmtId="0" fontId="3" fillId="0" borderId="13" xfId="0" applyNumberFormat="1" applyFont="1" applyBorder="1" applyAlignment="1">
      <alignment horizontal="left" vertical="top" wrapText="1" indent="1"/>
    </xf>
    <xf numFmtId="0" fontId="66" fillId="0" borderId="13" xfId="0" applyNumberFormat="1" applyFont="1" applyBorder="1" applyAlignment="1">
      <alignment horizontal="left" vertical="center" wrapText="1" indent="1"/>
    </xf>
    <xf numFmtId="0" fontId="68" fillId="0" borderId="13" xfId="0" applyNumberFormat="1" applyFont="1" applyFill="1" applyBorder="1" applyAlignment="1">
      <alignment horizontal="left" vertical="center" wrapText="1" indent="1"/>
    </xf>
    <xf numFmtId="0" fontId="66" fillId="0" borderId="27" xfId="0" applyNumberFormat="1" applyFont="1" applyBorder="1" applyAlignment="1">
      <alignment horizontal="left" vertical="center" wrapText="1" indent="1"/>
    </xf>
    <xf numFmtId="0" fontId="66" fillId="0" borderId="76" xfId="0" applyNumberFormat="1" applyFont="1" applyBorder="1" applyAlignment="1">
      <alignment horizontal="left" vertical="center" wrapText="1" indent="1"/>
    </xf>
    <xf numFmtId="0" fontId="52" fillId="0" borderId="14" xfId="0" applyNumberFormat="1" applyFont="1" applyFill="1" applyBorder="1" applyAlignment="1">
      <alignment horizontal="center" vertical="center" wrapText="1"/>
    </xf>
    <xf numFmtId="0" fontId="3" fillId="0" borderId="0" xfId="0" applyNumberFormat="1" applyFont="1" applyFill="1" applyBorder="1"/>
    <xf numFmtId="0" fontId="2" fillId="0" borderId="0"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wrapText="1"/>
    </xf>
    <xf numFmtId="0" fontId="2" fillId="0" borderId="13" xfId="0" applyNumberFormat="1" applyFont="1" applyFill="1" applyBorder="1" applyAlignment="1">
      <alignment horizontal="left" vertical="center" wrapText="1"/>
    </xf>
    <xf numFmtId="0" fontId="6" fillId="0" borderId="20" xfId="0" applyNumberFormat="1" applyFont="1" applyFill="1" applyBorder="1" applyAlignment="1">
      <alignment horizontal="center" vertical="center" wrapText="1"/>
    </xf>
    <xf numFmtId="0" fontId="91" fillId="0" borderId="13" xfId="0" applyNumberFormat="1" applyFont="1" applyFill="1" applyBorder="1" applyAlignment="1">
      <alignment horizontal="center" vertical="center" wrapText="1"/>
    </xf>
    <xf numFmtId="0" fontId="91" fillId="0" borderId="14" xfId="0" applyNumberFormat="1" applyFont="1" applyFill="1" applyBorder="1" applyAlignment="1">
      <alignment horizontal="center" vertical="center" wrapText="1"/>
    </xf>
    <xf numFmtId="0" fontId="3" fillId="0" borderId="0" xfId="0" applyNumberFormat="1" applyFont="1" applyFill="1" applyBorder="1" applyAlignment="1">
      <alignment vertical="center"/>
    </xf>
    <xf numFmtId="0" fontId="2" fillId="0" borderId="13" xfId="0" applyNumberFormat="1" applyFont="1" applyFill="1" applyBorder="1" applyAlignment="1">
      <alignment vertical="center" wrapText="1"/>
    </xf>
    <xf numFmtId="0" fontId="72" fillId="0" borderId="13" xfId="0" applyNumberFormat="1" applyFont="1" applyFill="1" applyBorder="1" applyAlignment="1">
      <alignment vertical="center" wrapText="1"/>
    </xf>
    <xf numFmtId="0" fontId="3" fillId="0" borderId="13" xfId="0" applyNumberFormat="1" applyFont="1" applyFill="1" applyBorder="1" applyAlignment="1">
      <alignment vertical="center" wrapText="1"/>
    </xf>
    <xf numFmtId="0" fontId="7" fillId="0" borderId="13" xfId="0" applyNumberFormat="1" applyFont="1" applyFill="1" applyBorder="1" applyAlignment="1">
      <alignment vertical="center" wrapText="1"/>
    </xf>
    <xf numFmtId="0" fontId="6" fillId="0" borderId="17" xfId="0" applyNumberFormat="1" applyFont="1" applyFill="1" applyBorder="1" applyAlignment="1">
      <alignment vertical="center" wrapText="1"/>
    </xf>
    <xf numFmtId="0" fontId="22" fillId="0" borderId="0" xfId="0" applyNumberFormat="1" applyFont="1" applyFill="1" applyBorder="1" applyAlignment="1">
      <alignment vertical="center"/>
    </xf>
    <xf numFmtId="0" fontId="101" fillId="0" borderId="0" xfId="0" applyNumberFormat="1" applyFont="1" applyAlignment="1">
      <alignment horizontal="left" vertical="center"/>
    </xf>
    <xf numFmtId="0" fontId="75" fillId="0" borderId="0" xfId="0" applyNumberFormat="1" applyFont="1" applyFill="1" applyBorder="1" applyAlignment="1">
      <alignment vertical="center"/>
    </xf>
    <xf numFmtId="0" fontId="100" fillId="0" borderId="0" xfId="0" applyNumberFormat="1" applyFont="1" applyFill="1" applyBorder="1"/>
    <xf numFmtId="0" fontId="22" fillId="0" borderId="0" xfId="0" applyNumberFormat="1" applyFont="1" applyFill="1" applyBorder="1" applyAlignment="1"/>
    <xf numFmtId="0" fontId="95" fillId="0" borderId="0" xfId="0" applyNumberFormat="1" applyFont="1" applyFill="1" applyBorder="1" applyAlignment="1">
      <alignment vertical="center"/>
    </xf>
    <xf numFmtId="0" fontId="2" fillId="0" borderId="22" xfId="0" applyNumberFormat="1" applyFont="1" applyBorder="1" applyAlignment="1">
      <alignment horizontal="center" vertical="center" wrapText="1"/>
    </xf>
    <xf numFmtId="0" fontId="2" fillId="0" borderId="29" xfId="0" applyNumberFormat="1" applyFont="1" applyBorder="1" applyAlignment="1">
      <alignment horizontal="center" vertical="center" wrapText="1"/>
    </xf>
    <xf numFmtId="0" fontId="6" fillId="0" borderId="34" xfId="0" applyNumberFormat="1" applyFont="1" applyBorder="1" applyAlignment="1">
      <alignment horizontal="center" vertical="center" wrapText="1"/>
    </xf>
    <xf numFmtId="0" fontId="68" fillId="0" borderId="13" xfId="42" applyNumberFormat="1" applyFont="1" applyBorder="1" applyAlignment="1">
      <alignment horizontal="left" vertical="center" wrapText="1" indent="1"/>
    </xf>
    <xf numFmtId="0" fontId="66" fillId="0" borderId="13" xfId="42" applyNumberFormat="1" applyFont="1" applyBorder="1" applyAlignment="1">
      <alignment horizontal="left" vertical="center" wrapText="1" indent="1"/>
    </xf>
    <xf numFmtId="0" fontId="6" fillId="0" borderId="13" xfId="42" applyNumberFormat="1" applyFont="1" applyBorder="1" applyAlignment="1">
      <alignment horizontal="left" vertical="center" wrapText="1" indent="1"/>
    </xf>
    <xf numFmtId="0" fontId="3" fillId="0" borderId="19" xfId="42" applyNumberFormat="1" applyFont="1" applyBorder="1" applyAlignment="1">
      <alignment horizontal="left" vertical="top" wrapText="1" indent="1"/>
    </xf>
    <xf numFmtId="0" fontId="6" fillId="0" borderId="19" xfId="42" applyNumberFormat="1" applyFont="1" applyBorder="1" applyAlignment="1">
      <alignment horizontal="left" vertical="top" wrapText="1" indent="1"/>
    </xf>
    <xf numFmtId="0" fontId="70" fillId="0" borderId="17" xfId="42" applyNumberFormat="1" applyFont="1" applyBorder="1" applyAlignment="1">
      <alignment horizontal="left" vertical="center" wrapText="1" indent="1"/>
    </xf>
    <xf numFmtId="0" fontId="3" fillId="0" borderId="0" xfId="0" applyNumberFormat="1" applyFont="1" applyBorder="1" applyAlignment="1">
      <alignment horizontal="right" vertical="center" wrapText="1"/>
    </xf>
    <xf numFmtId="0" fontId="3" fillId="0" borderId="0" xfId="0" applyNumberFormat="1" applyFont="1" applyBorder="1" applyAlignment="1">
      <alignment vertical="center"/>
    </xf>
    <xf numFmtId="0" fontId="3" fillId="0" borderId="0" xfId="0" applyNumberFormat="1" applyFont="1" applyBorder="1" applyAlignment="1">
      <alignment vertical="center" wrapText="1"/>
    </xf>
    <xf numFmtId="0" fontId="0" fillId="0" borderId="0" xfId="0" applyNumberFormat="1"/>
    <xf numFmtId="0" fontId="68" fillId="0" borderId="17" xfId="42" applyNumberFormat="1" applyFont="1" applyBorder="1" applyAlignment="1">
      <alignment horizontal="left" vertical="center" wrapText="1" indent="1"/>
    </xf>
    <xf numFmtId="0" fontId="7" fillId="0" borderId="13" xfId="0" applyNumberFormat="1" applyFont="1" applyFill="1" applyBorder="1" applyAlignment="1">
      <alignment horizontal="left" vertical="center" wrapText="1" indent="1"/>
    </xf>
    <xf numFmtId="0" fontId="3" fillId="0" borderId="0" xfId="0" applyNumberFormat="1" applyFont="1" applyBorder="1" applyAlignment="1">
      <alignment horizontal="left" vertical="center" wrapText="1"/>
    </xf>
    <xf numFmtId="0" fontId="4" fillId="0" borderId="0" xfId="0" applyNumberFormat="1" applyFont="1" applyAlignment="1">
      <alignment horizontal="center" vertical="center" wrapText="1"/>
    </xf>
    <xf numFmtId="0" fontId="9" fillId="0" borderId="13" xfId="0" applyNumberFormat="1" applyFont="1" applyFill="1" applyBorder="1" applyAlignment="1">
      <alignment horizontal="left" vertical="center" wrapText="1" indent="1"/>
    </xf>
    <xf numFmtId="0" fontId="2" fillId="0" borderId="17" xfId="0" applyNumberFormat="1" applyFont="1" applyFill="1" applyBorder="1" applyAlignment="1">
      <alignment horizontal="left" wrapText="1" indent="1"/>
    </xf>
    <xf numFmtId="0" fontId="6" fillId="0" borderId="13" xfId="0" applyNumberFormat="1" applyFont="1" applyBorder="1" applyAlignment="1">
      <alignment vertical="center" wrapText="1"/>
    </xf>
    <xf numFmtId="0" fontId="68" fillId="0" borderId="19" xfId="0" applyNumberFormat="1" applyFont="1" applyBorder="1" applyAlignment="1">
      <alignment horizontal="left" vertical="center" wrapText="1" indent="1"/>
    </xf>
    <xf numFmtId="0" fontId="66" fillId="0" borderId="19" xfId="0" applyNumberFormat="1" applyFont="1" applyBorder="1" applyAlignment="1">
      <alignment horizontal="left" vertical="center" wrapText="1" indent="1"/>
    </xf>
    <xf numFmtId="0" fontId="66" fillId="0" borderId="17" xfId="0" applyNumberFormat="1" applyFont="1" applyFill="1" applyBorder="1" applyAlignment="1">
      <alignment horizontal="left" vertical="center" wrapText="1" indent="1"/>
    </xf>
    <xf numFmtId="0" fontId="7" fillId="0" borderId="29" xfId="39" applyNumberFormat="1" applyFont="1" applyBorder="1" applyAlignment="1">
      <alignment horizontal="center" vertical="center" wrapText="1"/>
    </xf>
    <xf numFmtId="0" fontId="7" fillId="0" borderId="34" xfId="39" applyNumberFormat="1" applyFont="1" applyBorder="1" applyAlignment="1">
      <alignment horizontal="center" vertical="center" wrapText="1"/>
    </xf>
    <xf numFmtId="0" fontId="6" fillId="0" borderId="13" xfId="39" applyNumberFormat="1" applyFont="1" applyBorder="1" applyAlignment="1">
      <alignment horizontal="center" vertical="center" wrapText="1"/>
    </xf>
    <xf numFmtId="0" fontId="6" fillId="0" borderId="14" xfId="39" applyNumberFormat="1" applyFont="1" applyBorder="1" applyAlignment="1">
      <alignment horizontal="center" vertical="center" wrapText="1"/>
    </xf>
    <xf numFmtId="0" fontId="6" fillId="0" borderId="13" xfId="39" applyNumberFormat="1" applyFont="1" applyBorder="1" applyAlignment="1">
      <alignment horizontal="left" vertical="center" wrapText="1" indent="1"/>
    </xf>
    <xf numFmtId="0" fontId="6" fillId="0" borderId="17" xfId="39" applyNumberFormat="1" applyFont="1" applyBorder="1" applyAlignment="1">
      <alignment horizontal="left" vertical="center" wrapText="1" indent="1"/>
    </xf>
    <xf numFmtId="0" fontId="6" fillId="0" borderId="0" xfId="44" applyNumberFormat="1" applyFont="1" applyBorder="1" applyAlignment="1">
      <alignment vertical="center" wrapText="1"/>
    </xf>
    <xf numFmtId="0" fontId="66" fillId="0" borderId="13" xfId="44" applyNumberFormat="1" applyFont="1" applyBorder="1" applyAlignment="1">
      <alignment horizontal="center" vertical="center" wrapText="1"/>
    </xf>
    <xf numFmtId="0" fontId="6" fillId="0" borderId="13" xfId="44" applyNumberFormat="1" applyFont="1" applyBorder="1" applyAlignment="1">
      <alignment horizontal="center" vertical="center" wrapText="1"/>
    </xf>
    <xf numFmtId="0" fontId="6" fillId="0" borderId="14" xfId="44" applyNumberFormat="1" applyFont="1" applyBorder="1" applyAlignment="1">
      <alignment horizontal="center" vertical="center" wrapText="1"/>
    </xf>
    <xf numFmtId="0" fontId="6" fillId="0" borderId="0" xfId="44" applyNumberFormat="1" applyFont="1" applyBorder="1" applyAlignment="1">
      <alignment horizontal="center" vertical="center" wrapText="1"/>
    </xf>
    <xf numFmtId="0" fontId="6" fillId="0" borderId="15" xfId="44" applyNumberFormat="1" applyFont="1" applyBorder="1" applyAlignment="1">
      <alignment vertical="center" wrapText="1"/>
    </xf>
    <xf numFmtId="0" fontId="7" fillId="0" borderId="0" xfId="43" applyNumberFormat="1" applyFont="1" applyAlignment="1">
      <alignment vertical="center" wrapText="1"/>
    </xf>
    <xf numFmtId="0" fontId="6" fillId="37" borderId="31" xfId="43" applyNumberFormat="1" applyFont="1" applyFill="1" applyBorder="1" applyAlignment="1">
      <alignment horizontal="center" vertical="center" wrapText="1"/>
    </xf>
    <xf numFmtId="0" fontId="6" fillId="37" borderId="53" xfId="43" applyNumberFormat="1" applyFont="1" applyFill="1" applyBorder="1" applyAlignment="1">
      <alignment horizontal="center" vertical="center" wrapText="1"/>
    </xf>
    <xf numFmtId="0" fontId="6" fillId="37" borderId="64" xfId="43" applyNumberFormat="1" applyFont="1" applyFill="1" applyBorder="1" applyAlignment="1">
      <alignment horizontal="center" vertical="center" wrapText="1"/>
    </xf>
    <xf numFmtId="0" fontId="6" fillId="0" borderId="0" xfId="43" applyNumberFormat="1" applyFont="1" applyAlignment="1">
      <alignment horizontal="center" vertical="center" wrapText="1"/>
    </xf>
    <xf numFmtId="0" fontId="6" fillId="0" borderId="22" xfId="43" applyNumberFormat="1" applyFont="1" applyFill="1" applyBorder="1" applyAlignment="1">
      <alignment horizontal="center" vertical="center" wrapText="1"/>
    </xf>
    <xf numFmtId="0" fontId="6" fillId="37" borderId="29" xfId="43" applyNumberFormat="1" applyFont="1" applyFill="1" applyBorder="1" applyAlignment="1">
      <alignment horizontal="center" vertical="center" wrapText="1"/>
    </xf>
    <xf numFmtId="0" fontId="6" fillId="37" borderId="37" xfId="43" applyNumberFormat="1" applyFont="1" applyFill="1" applyBorder="1" applyAlignment="1">
      <alignment horizontal="center" vertical="center" wrapText="1"/>
    </xf>
    <xf numFmtId="0" fontId="6" fillId="37" borderId="42" xfId="43" applyNumberFormat="1" applyFont="1" applyFill="1" applyBorder="1" applyAlignment="1">
      <alignment horizontal="center" vertical="center" wrapText="1"/>
    </xf>
    <xf numFmtId="0" fontId="22" fillId="0" borderId="29" xfId="41" applyNumberFormat="1" applyFont="1" applyBorder="1"/>
    <xf numFmtId="0" fontId="22" fillId="0" borderId="13" xfId="41" applyNumberFormat="1" applyFont="1" applyBorder="1"/>
    <xf numFmtId="0" fontId="22" fillId="0" borderId="13" xfId="41" applyNumberFormat="1" applyFont="1" applyBorder="1" applyAlignment="1">
      <alignment vertical="center"/>
    </xf>
    <xf numFmtId="0" fontId="82" fillId="0" borderId="13" xfId="41" applyNumberFormat="1" applyFont="1" applyBorder="1"/>
    <xf numFmtId="0" fontId="7" fillId="0" borderId="22" xfId="41" applyNumberFormat="1" applyFont="1" applyBorder="1" applyAlignment="1">
      <alignment horizontal="left" indent="1"/>
    </xf>
    <xf numFmtId="0" fontId="7" fillId="0" borderId="29" xfId="41" applyNumberFormat="1" applyFont="1" applyBorder="1"/>
    <xf numFmtId="0" fontId="7" fillId="0" borderId="37" xfId="41" applyNumberFormat="1" applyFont="1" applyBorder="1" applyAlignment="1">
      <alignment horizontal="center"/>
    </xf>
    <xf numFmtId="0" fontId="7" fillId="0" borderId="15" xfId="41" applyNumberFormat="1" applyFont="1" applyBorder="1" applyAlignment="1">
      <alignment horizontal="left" indent="1"/>
    </xf>
    <xf numFmtId="0" fontId="7" fillId="0" borderId="13" xfId="41" applyNumberFormat="1" applyFont="1" applyBorder="1"/>
    <xf numFmtId="0" fontId="7" fillId="0" borderId="20" xfId="41" applyNumberFormat="1" applyFont="1" applyBorder="1" applyAlignment="1">
      <alignment horizontal="center"/>
    </xf>
    <xf numFmtId="0" fontId="7" fillId="0" borderId="15" xfId="41" applyNumberFormat="1" applyFont="1" applyFill="1" applyBorder="1" applyAlignment="1">
      <alignment horizontal="left" indent="1"/>
    </xf>
    <xf numFmtId="0" fontId="7" fillId="0" borderId="21" xfId="41" applyNumberFormat="1" applyFont="1" applyFill="1" applyBorder="1" applyAlignment="1">
      <alignment horizontal="left" indent="1"/>
    </xf>
    <xf numFmtId="0" fontId="68" fillId="0" borderId="19" xfId="41" applyNumberFormat="1" applyFont="1" applyBorder="1"/>
    <xf numFmtId="0" fontId="7" fillId="0" borderId="19" xfId="41" applyNumberFormat="1" applyFont="1" applyBorder="1"/>
    <xf numFmtId="0" fontId="7" fillId="0" borderId="35" xfId="41" applyNumberFormat="1" applyFont="1" applyBorder="1" applyAlignment="1">
      <alignment horizontal="center"/>
    </xf>
    <xf numFmtId="0" fontId="52" fillId="32" borderId="53" xfId="41" applyNumberFormat="1" applyFont="1" applyFill="1" applyBorder="1" applyAlignment="1">
      <alignment horizontal="center" vertical="center"/>
    </xf>
    <xf numFmtId="0" fontId="22" fillId="0" borderId="22" xfId="41" applyNumberFormat="1" applyFont="1" applyBorder="1" applyAlignment="1">
      <alignment horizontal="left" indent="1"/>
    </xf>
    <xf numFmtId="0" fontId="22" fillId="0" borderId="37" xfId="41" applyNumberFormat="1" applyFont="1" applyBorder="1" applyAlignment="1">
      <alignment horizontal="center"/>
    </xf>
    <xf numFmtId="0" fontId="22" fillId="0" borderId="15" xfId="41" applyNumberFormat="1" applyFont="1" applyBorder="1" applyAlignment="1">
      <alignment horizontal="left" indent="1"/>
    </xf>
    <xf numFmtId="0" fontId="22" fillId="0" borderId="20" xfId="41" applyNumberFormat="1" applyFont="1" applyBorder="1" applyAlignment="1">
      <alignment horizontal="center"/>
    </xf>
    <xf numFmtId="0" fontId="22" fillId="0" borderId="15" xfId="41" applyNumberFormat="1" applyFont="1" applyFill="1" applyBorder="1" applyAlignment="1">
      <alignment horizontal="left" indent="1"/>
    </xf>
    <xf numFmtId="0" fontId="52" fillId="32" borderId="20" xfId="41" applyNumberFormat="1" applyFont="1" applyFill="1" applyBorder="1" applyAlignment="1">
      <alignment horizontal="center"/>
    </xf>
    <xf numFmtId="0" fontId="52" fillId="0" borderId="20" xfId="41" applyNumberFormat="1" applyFont="1" applyBorder="1" applyAlignment="1">
      <alignment horizontal="center"/>
    </xf>
    <xf numFmtId="0" fontId="52" fillId="32" borderId="28" xfId="41" applyNumberFormat="1" applyFont="1" applyFill="1" applyBorder="1" applyAlignment="1">
      <alignment horizontal="center"/>
    </xf>
    <xf numFmtId="0" fontId="69" fillId="0" borderId="0" xfId="89" applyFont="1" applyFill="1" applyAlignment="1"/>
    <xf numFmtId="0" fontId="9" fillId="0" borderId="0" xfId="0" applyFont="1" applyAlignment="1">
      <alignment horizontal="left" wrapText="1" indent="1"/>
    </xf>
    <xf numFmtId="0" fontId="69" fillId="0" borderId="0" xfId="39" applyNumberFormat="1" applyFont="1"/>
    <xf numFmtId="0" fontId="7" fillId="0" borderId="15" xfId="89" applyFont="1" applyBorder="1" applyAlignment="1">
      <alignment horizontal="center" vertical="center"/>
    </xf>
    <xf numFmtId="49" fontId="7" fillId="36" borderId="13" xfId="89" applyNumberFormat="1" applyFont="1" applyFill="1" applyBorder="1" applyAlignment="1">
      <alignment horizontal="left" vertical="top" wrapText="1" indent="1"/>
    </xf>
    <xf numFmtId="0" fontId="3" fillId="0" borderId="15" xfId="89" applyFont="1" applyFill="1" applyBorder="1" applyAlignment="1">
      <alignment horizontal="center" vertical="center"/>
    </xf>
    <xf numFmtId="49" fontId="2" fillId="0" borderId="13" xfId="89" applyNumberFormat="1" applyFont="1" applyBorder="1" applyAlignment="1">
      <alignment horizontal="left" vertical="top" wrapText="1" indent="1"/>
    </xf>
    <xf numFmtId="49" fontId="2" fillId="36" borderId="13" xfId="89" applyNumberFormat="1" applyFont="1" applyFill="1" applyBorder="1" applyAlignment="1">
      <alignment horizontal="left" vertical="top" wrapText="1" indent="1"/>
    </xf>
    <xf numFmtId="0" fontId="3" fillId="0" borderId="21" xfId="0" applyFont="1" applyBorder="1" applyAlignment="1">
      <alignment horizontal="center" vertical="center" wrapText="1"/>
    </xf>
    <xf numFmtId="0" fontId="6" fillId="37" borderId="14" xfId="0" applyNumberFormat="1" applyFont="1" applyFill="1" applyBorder="1" applyAlignment="1">
      <alignment horizontal="center" vertical="center" wrapText="1"/>
    </xf>
    <xf numFmtId="0" fontId="2" fillId="0" borderId="15" xfId="39" applyFont="1" applyBorder="1" applyAlignment="1">
      <alignment horizontal="center" vertical="center" wrapText="1"/>
    </xf>
    <xf numFmtId="49" fontId="2" fillId="0" borderId="13" xfId="39" applyNumberFormat="1" applyFont="1" applyBorder="1" applyAlignment="1">
      <alignment horizontal="center" vertical="center" wrapText="1"/>
    </xf>
    <xf numFmtId="0" fontId="2" fillId="0" borderId="13" xfId="39" applyFont="1" applyBorder="1" applyAlignment="1">
      <alignment horizontal="center" vertical="center" wrapText="1"/>
    </xf>
    <xf numFmtId="0" fontId="2" fillId="0" borderId="14" xfId="39" applyFont="1" applyBorder="1" applyAlignment="1">
      <alignment horizontal="center" vertical="center" wrapText="1"/>
    </xf>
    <xf numFmtId="0" fontId="3" fillId="0" borderId="15" xfId="39" applyFont="1" applyBorder="1" applyAlignment="1">
      <alignment horizontal="center" wrapText="1"/>
    </xf>
    <xf numFmtId="49" fontId="2" fillId="0" borderId="13" xfId="39" applyNumberFormat="1" applyFont="1" applyBorder="1" applyAlignment="1">
      <alignment vertical="top" wrapText="1"/>
    </xf>
    <xf numFmtId="3" fontId="3" fillId="0" borderId="13" xfId="39" applyNumberFormat="1" applyFont="1" applyFill="1" applyBorder="1" applyAlignment="1">
      <alignment horizontal="center" wrapText="1"/>
    </xf>
    <xf numFmtId="3" fontId="3" fillId="0" borderId="38" xfId="39" applyNumberFormat="1" applyFont="1" applyFill="1" applyBorder="1" applyAlignment="1">
      <alignment horizontal="center" wrapText="1"/>
    </xf>
    <xf numFmtId="49" fontId="2" fillId="0" borderId="13" xfId="39" applyNumberFormat="1" applyFont="1" applyBorder="1" applyAlignment="1">
      <alignment horizontal="left" vertical="center" wrapText="1" indent="1"/>
    </xf>
    <xf numFmtId="49" fontId="3" fillId="0" borderId="13" xfId="39" applyNumberFormat="1" applyFont="1" applyBorder="1" applyAlignment="1">
      <alignment horizontal="left" vertical="center" wrapText="1" indent="1"/>
    </xf>
    <xf numFmtId="49" fontId="7" fillId="0" borderId="13" xfId="39" applyNumberFormat="1" applyFont="1" applyBorder="1" applyAlignment="1">
      <alignment horizontal="left" vertical="center" wrapText="1" indent="1"/>
    </xf>
    <xf numFmtId="49" fontId="3" fillId="0" borderId="13" xfId="39" applyNumberFormat="1" applyFont="1" applyFill="1" applyBorder="1" applyAlignment="1">
      <alignment horizontal="left" vertical="center" wrapText="1" indent="1"/>
    </xf>
    <xf numFmtId="3" fontId="7" fillId="35" borderId="13" xfId="39" applyNumberFormat="1" applyFont="1" applyFill="1" applyBorder="1" applyAlignment="1">
      <alignment horizontal="right" vertical="center" wrapText="1" indent="1"/>
    </xf>
    <xf numFmtId="49" fontId="2" fillId="0" borderId="17" xfId="39" applyNumberFormat="1" applyFont="1" applyBorder="1" applyAlignment="1">
      <alignment horizontal="left" vertical="center" wrapText="1" indent="1"/>
    </xf>
    <xf numFmtId="0" fontId="69" fillId="0" borderId="15" xfId="39" applyFont="1" applyFill="1" applyBorder="1" applyAlignment="1">
      <alignment horizontal="center" vertical="center" wrapText="1"/>
    </xf>
    <xf numFmtId="0" fontId="2" fillId="0" borderId="20"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6" fillId="37" borderId="37" xfId="0" applyNumberFormat="1" applyFont="1" applyFill="1" applyBorder="1" applyAlignment="1">
      <alignment horizontal="center" vertical="center" wrapText="1"/>
    </xf>
    <xf numFmtId="3" fontId="6" fillId="24" borderId="28" xfId="0" applyNumberFormat="1" applyFont="1" applyFill="1" applyBorder="1" applyAlignment="1">
      <alignment horizontal="center" vertical="center" wrapText="1"/>
    </xf>
    <xf numFmtId="0" fontId="6" fillId="0" borderId="13" xfId="0" applyFont="1" applyBorder="1" applyAlignment="1">
      <alignment horizontal="left" vertical="center" wrapText="1" indent="1"/>
    </xf>
    <xf numFmtId="0" fontId="6" fillId="0" borderId="17" xfId="0" applyFont="1" applyBorder="1" applyAlignment="1">
      <alignment horizontal="left" vertical="center" wrapText="1" indent="1"/>
    </xf>
    <xf numFmtId="3" fontId="6" fillId="35" borderId="13" xfId="0" applyNumberFormat="1" applyFont="1" applyFill="1" applyBorder="1" applyAlignment="1">
      <alignment horizontal="right" vertical="center" wrapText="1" indent="1"/>
    </xf>
    <xf numFmtId="3" fontId="6" fillId="35" borderId="13" xfId="0" applyNumberFormat="1" applyFont="1" applyFill="1" applyBorder="1" applyAlignment="1">
      <alignment horizontal="center" vertical="center" wrapText="1"/>
    </xf>
    <xf numFmtId="3" fontId="6" fillId="35" borderId="13" xfId="90" applyNumberFormat="1" applyFont="1" applyFill="1" applyBorder="1" applyAlignment="1">
      <alignment horizontal="center" vertical="center" wrapText="1"/>
    </xf>
    <xf numFmtId="3" fontId="7" fillId="0" borderId="13" xfId="90" applyNumberFormat="1" applyFont="1" applyBorder="1" applyAlignment="1">
      <alignment horizontal="center" vertical="center" wrapText="1"/>
    </xf>
    <xf numFmtId="0" fontId="3" fillId="0" borderId="0" xfId="39" applyFont="1" applyFill="1"/>
    <xf numFmtId="49" fontId="3" fillId="0" borderId="0" xfId="39" applyNumberFormat="1" applyFont="1" applyFill="1"/>
    <xf numFmtId="49" fontId="69" fillId="0" borderId="13" xfId="39" applyNumberFormat="1" applyFont="1" applyFill="1" applyBorder="1" applyAlignment="1">
      <alignment horizontal="left" vertical="center" wrapText="1" indent="1"/>
    </xf>
    <xf numFmtId="0" fontId="100" fillId="0" borderId="29" xfId="0" applyNumberFormat="1" applyFont="1" applyBorder="1" applyAlignment="1">
      <alignment horizontal="center" vertical="center" wrapText="1"/>
    </xf>
    <xf numFmtId="0" fontId="22" fillId="0" borderId="20" xfId="90" applyFont="1" applyBorder="1" applyAlignment="1">
      <alignment vertical="center"/>
    </xf>
    <xf numFmtId="0" fontId="22" fillId="0" borderId="52" xfId="90" applyFont="1" applyBorder="1" applyAlignment="1">
      <alignment vertical="center"/>
    </xf>
    <xf numFmtId="49" fontId="77" fillId="0" borderId="52" xfId="90" applyNumberFormat="1" applyFont="1" applyBorder="1"/>
    <xf numFmtId="0" fontId="22" fillId="0" borderId="27" xfId="90" applyFont="1" applyBorder="1"/>
    <xf numFmtId="49" fontId="3" fillId="0" borderId="13" xfId="0" applyNumberFormat="1" applyFont="1" applyBorder="1" applyAlignment="1" applyProtection="1">
      <alignment horizontal="left" vertical="top" wrapText="1" indent="1"/>
      <protection locked="0"/>
    </xf>
    <xf numFmtId="0" fontId="3" fillId="0" borderId="0" xfId="90" applyNumberFormat="1" applyFont="1" applyAlignment="1">
      <alignment vertical="center" wrapText="1"/>
    </xf>
    <xf numFmtId="0" fontId="2" fillId="0" borderId="35" xfId="90" applyNumberFormat="1" applyFont="1" applyBorder="1" applyAlignment="1">
      <alignment horizontal="center" vertical="center" wrapText="1"/>
    </xf>
    <xf numFmtId="0" fontId="2" fillId="0" borderId="26" xfId="90" applyNumberFormat="1" applyFont="1" applyBorder="1" applyAlignment="1">
      <alignment horizontal="center" vertical="center" wrapText="1"/>
    </xf>
    <xf numFmtId="0" fontId="2" fillId="0" borderId="15" xfId="90" applyNumberFormat="1" applyFont="1" applyBorder="1" applyAlignment="1">
      <alignment vertical="center" wrapText="1"/>
    </xf>
    <xf numFmtId="0" fontId="6" fillId="0" borderId="13" xfId="90" applyNumberFormat="1" applyFont="1" applyBorder="1" applyAlignment="1">
      <alignment horizontal="left" vertical="center" wrapText="1"/>
    </xf>
    <xf numFmtId="0" fontId="6" fillId="0" borderId="13" xfId="90" applyNumberFormat="1" applyFont="1" applyFill="1" applyBorder="1" applyAlignment="1">
      <alignment horizontal="center" vertical="center" wrapText="1"/>
    </xf>
    <xf numFmtId="0" fontId="6" fillId="0" borderId="13" xfId="90" applyNumberFormat="1" applyFont="1" applyBorder="1" applyAlignment="1">
      <alignment horizontal="center" vertical="center" wrapText="1"/>
    </xf>
    <xf numFmtId="0" fontId="6" fillId="0" borderId="14" xfId="90" applyNumberFormat="1" applyFont="1" applyBorder="1" applyAlignment="1">
      <alignment horizontal="center" vertical="center" wrapText="1"/>
    </xf>
    <xf numFmtId="0" fontId="3" fillId="0" borderId="15" xfId="90" applyFont="1" applyBorder="1" applyAlignment="1">
      <alignment horizontal="center" vertical="center" wrapText="1"/>
    </xf>
    <xf numFmtId="0" fontId="6" fillId="0" borderId="13" xfId="90" applyNumberFormat="1" applyFont="1" applyFill="1" applyBorder="1" applyAlignment="1">
      <alignment horizontal="left" vertical="center" wrapText="1" indent="1"/>
    </xf>
    <xf numFmtId="3" fontId="6" fillId="35" borderId="13" xfId="90" applyNumberFormat="1" applyFont="1" applyFill="1" applyBorder="1" applyAlignment="1">
      <alignment horizontal="right" vertical="center" wrapText="1" indent="1"/>
    </xf>
    <xf numFmtId="3" fontId="6" fillId="35" borderId="14" xfId="90" applyNumberFormat="1" applyFont="1" applyFill="1" applyBorder="1" applyAlignment="1">
      <alignment horizontal="right" vertical="center" wrapText="1" indent="1"/>
    </xf>
    <xf numFmtId="0" fontId="3" fillId="0" borderId="0" xfId="90" applyFont="1" applyAlignment="1">
      <alignment vertical="center" wrapText="1"/>
    </xf>
    <xf numFmtId="0" fontId="75" fillId="0" borderId="13" xfId="90" applyNumberFormat="1" applyFont="1" applyFill="1" applyBorder="1" applyAlignment="1">
      <alignment horizontal="left" vertical="center" wrapText="1" indent="1"/>
    </xf>
    <xf numFmtId="3" fontId="7" fillId="0" borderId="14" xfId="90" applyNumberFormat="1" applyFont="1" applyBorder="1" applyAlignment="1">
      <alignment horizontal="center" vertical="center" wrapText="1"/>
    </xf>
    <xf numFmtId="0" fontId="6" fillId="0" borderId="13" xfId="90" applyNumberFormat="1" applyFont="1" applyBorder="1" applyAlignment="1">
      <alignment horizontal="left" vertical="center" wrapText="1" indent="1"/>
    </xf>
    <xf numFmtId="0" fontId="75" fillId="0" borderId="13" xfId="90" applyNumberFormat="1" applyFont="1" applyBorder="1" applyAlignment="1">
      <alignment horizontal="left" vertical="center" wrapText="1" indent="1"/>
    </xf>
    <xf numFmtId="0" fontId="6" fillId="0" borderId="19" xfId="90" applyNumberFormat="1" applyFont="1" applyFill="1" applyBorder="1" applyAlignment="1">
      <alignment horizontal="left" vertical="center" wrapText="1" indent="1"/>
    </xf>
    <xf numFmtId="3" fontId="6" fillId="35" borderId="19" xfId="90" applyNumberFormat="1" applyFont="1" applyFill="1" applyBorder="1" applyAlignment="1">
      <alignment horizontal="right" vertical="center" wrapText="1" indent="1"/>
    </xf>
    <xf numFmtId="3" fontId="6" fillId="24" borderId="13" xfId="90" applyNumberFormat="1" applyFont="1" applyFill="1" applyBorder="1" applyAlignment="1">
      <alignment horizontal="right" vertical="center" wrapText="1" indent="1"/>
    </xf>
    <xf numFmtId="0" fontId="75" fillId="0" borderId="86" xfId="90" applyNumberFormat="1" applyFont="1" applyFill="1" applyBorder="1" applyAlignment="1">
      <alignment horizontal="left" vertical="center" wrapText="1" indent="1"/>
    </xf>
    <xf numFmtId="3" fontId="6" fillId="35" borderId="29" xfId="90" applyNumberFormat="1" applyFont="1" applyFill="1" applyBorder="1" applyAlignment="1">
      <alignment horizontal="right" vertical="center" wrapText="1" indent="1"/>
    </xf>
    <xf numFmtId="3" fontId="7" fillId="0" borderId="29" xfId="90" applyNumberFormat="1" applyFont="1" applyBorder="1" applyAlignment="1">
      <alignment horizontal="center" vertical="center" wrapText="1"/>
    </xf>
    <xf numFmtId="49" fontId="3" fillId="0" borderId="0" xfId="90" applyNumberFormat="1" applyFont="1" applyBorder="1" applyAlignment="1">
      <alignment vertical="center" wrapText="1"/>
    </xf>
    <xf numFmtId="0" fontId="6" fillId="0" borderId="0" xfId="90" applyFont="1" applyBorder="1" applyAlignment="1">
      <alignment horizontal="left" vertical="center" wrapText="1"/>
    </xf>
    <xf numFmtId="0" fontId="3" fillId="0" borderId="0" xfId="90" applyFont="1" applyFill="1" applyAlignment="1">
      <alignment vertical="center" wrapText="1"/>
    </xf>
    <xf numFmtId="0" fontId="22" fillId="0" borderId="13" xfId="90" applyFont="1" applyBorder="1" applyAlignment="1">
      <alignment vertical="center"/>
    </xf>
    <xf numFmtId="0" fontId="6" fillId="0" borderId="13" xfId="90" applyFont="1" applyBorder="1" applyAlignment="1">
      <alignment horizontal="left" vertical="center"/>
    </xf>
    <xf numFmtId="49" fontId="3" fillId="0" borderId="0" xfId="90" applyNumberFormat="1" applyFont="1" applyAlignment="1">
      <alignment vertical="center" wrapText="1"/>
    </xf>
    <xf numFmtId="0" fontId="1" fillId="0" borderId="0" xfId="90" applyNumberFormat="1"/>
    <xf numFmtId="0" fontId="2" fillId="0" borderId="20" xfId="90" applyNumberFormat="1" applyFont="1" applyBorder="1" applyAlignment="1">
      <alignment horizontal="center" vertical="center" wrapText="1"/>
    </xf>
    <xf numFmtId="0" fontId="2" fillId="0" borderId="14" xfId="90" applyNumberFormat="1" applyFont="1" applyBorder="1" applyAlignment="1">
      <alignment horizontal="center" vertical="center" wrapText="1"/>
    </xf>
    <xf numFmtId="0" fontId="2" fillId="0" borderId="22" xfId="90" applyNumberFormat="1" applyFont="1" applyBorder="1" applyAlignment="1">
      <alignment vertical="center" wrapText="1"/>
    </xf>
    <xf numFmtId="0" fontId="1" fillId="0" borderId="0" xfId="90"/>
    <xf numFmtId="3" fontId="6" fillId="35" borderId="27" xfId="90" applyNumberFormat="1" applyFont="1" applyFill="1" applyBorder="1" applyAlignment="1">
      <alignment horizontal="right" vertical="center" wrapText="1" indent="1"/>
    </xf>
    <xf numFmtId="3" fontId="6" fillId="35" borderId="20" xfId="90" applyNumberFormat="1" applyFont="1" applyFill="1" applyBorder="1" applyAlignment="1">
      <alignment horizontal="right" vertical="center" wrapText="1" indent="1"/>
    </xf>
    <xf numFmtId="3" fontId="6" fillId="35" borderId="52" xfId="90" applyNumberFormat="1" applyFont="1" applyFill="1" applyBorder="1" applyAlignment="1">
      <alignment horizontal="right" vertical="center" wrapText="1" indent="1"/>
    </xf>
    <xf numFmtId="3" fontId="6" fillId="24" borderId="27" xfId="90" applyNumberFormat="1" applyFont="1" applyFill="1" applyBorder="1" applyAlignment="1">
      <alignment horizontal="right" vertical="center" wrapText="1" indent="1"/>
    </xf>
    <xf numFmtId="0" fontId="6" fillId="0" borderId="17" xfId="90" applyNumberFormat="1" applyFont="1" applyBorder="1" applyAlignment="1">
      <alignment horizontal="left" vertical="center" wrapText="1" indent="1"/>
    </xf>
    <xf numFmtId="3" fontId="6" fillId="24" borderId="28" xfId="90" applyNumberFormat="1" applyFont="1" applyFill="1" applyBorder="1" applyAlignment="1">
      <alignment horizontal="right" vertical="center" wrapText="1" indent="1"/>
    </xf>
    <xf numFmtId="3" fontId="7" fillId="0" borderId="18" xfId="90" applyNumberFormat="1" applyFont="1" applyBorder="1" applyAlignment="1">
      <alignment horizontal="center" vertical="center" wrapText="1"/>
    </xf>
    <xf numFmtId="0" fontId="3" fillId="0" borderId="16" xfId="90" applyFont="1" applyBorder="1" applyAlignment="1">
      <alignment horizontal="center" vertical="center" wrapText="1"/>
    </xf>
    <xf numFmtId="0" fontId="75" fillId="0" borderId="17" xfId="90" applyNumberFormat="1" applyFont="1" applyFill="1" applyBorder="1" applyAlignment="1">
      <alignment horizontal="left" vertical="center" wrapText="1" indent="1"/>
    </xf>
    <xf numFmtId="3" fontId="6" fillId="35" borderId="17" xfId="90" applyNumberFormat="1" applyFont="1" applyFill="1" applyBorder="1" applyAlignment="1">
      <alignment horizontal="right" vertical="center" wrapText="1" indent="1"/>
    </xf>
    <xf numFmtId="3" fontId="7" fillId="0" borderId="17" xfId="90" applyNumberFormat="1" applyFont="1" applyBorder="1" applyAlignment="1">
      <alignment horizontal="center" vertical="center" wrapText="1"/>
    </xf>
    <xf numFmtId="0" fontId="2" fillId="0" borderId="15" xfId="0" applyNumberFormat="1" applyFont="1" applyBorder="1" applyAlignment="1">
      <alignment horizontal="center" vertical="center" wrapText="1"/>
    </xf>
    <xf numFmtId="0" fontId="2" fillId="0" borderId="13" xfId="0" applyNumberFormat="1" applyFont="1" applyBorder="1" applyAlignment="1">
      <alignment horizontal="center" vertical="center" wrapText="1"/>
    </xf>
    <xf numFmtId="0" fontId="71" fillId="0" borderId="13" xfId="0" quotePrefix="1" applyNumberFormat="1" applyFont="1" applyBorder="1" applyAlignment="1">
      <alignment horizontal="left" vertical="center" wrapText="1" indent="1"/>
    </xf>
    <xf numFmtId="0" fontId="7" fillId="0" borderId="13" xfId="0" quotePrefix="1" applyNumberFormat="1" applyFont="1" applyBorder="1" applyAlignment="1">
      <alignment horizontal="left" vertical="center" wrapText="1" indent="1"/>
    </xf>
    <xf numFmtId="0" fontId="71" fillId="0" borderId="13" xfId="89" quotePrefix="1" applyNumberFormat="1" applyFont="1" applyBorder="1" applyAlignment="1">
      <alignment horizontal="left" vertical="top" wrapText="1" indent="1"/>
    </xf>
    <xf numFmtId="0" fontId="71" fillId="0" borderId="13" xfId="89" quotePrefix="1" applyNumberFormat="1" applyFont="1" applyFill="1" applyBorder="1" applyAlignment="1">
      <alignment horizontal="left" vertical="top" wrapText="1" indent="1"/>
    </xf>
    <xf numFmtId="0" fontId="69" fillId="0" borderId="13" xfId="0" quotePrefix="1" applyNumberFormat="1" applyFont="1" applyBorder="1" applyAlignment="1">
      <alignment horizontal="left" vertical="center" wrapText="1" indent="1"/>
    </xf>
    <xf numFmtId="0" fontId="69" fillId="0" borderId="15" xfId="0" applyFont="1" applyBorder="1" applyAlignment="1">
      <alignment horizontal="center" vertical="center"/>
    </xf>
    <xf numFmtId="0" fontId="96" fillId="0" borderId="17" xfId="0" applyNumberFormat="1" applyFont="1" applyFill="1" applyBorder="1" applyAlignment="1">
      <alignment horizontal="left" vertical="center" wrapText="1" indent="1"/>
    </xf>
    <xf numFmtId="0" fontId="100" fillId="0" borderId="13" xfId="0" applyNumberFormat="1" applyFont="1" applyFill="1" applyBorder="1" applyAlignment="1">
      <alignment horizontal="left" vertical="center" wrapText="1" indent="1"/>
    </xf>
    <xf numFmtId="4" fontId="3" fillId="35" borderId="13" xfId="0" applyNumberFormat="1" applyFont="1" applyFill="1" applyBorder="1" applyAlignment="1">
      <alignment horizontal="right" vertical="center" wrapText="1" indent="1"/>
    </xf>
    <xf numFmtId="4" fontId="6" fillId="24" borderId="14" xfId="0" applyNumberFormat="1" applyFont="1" applyFill="1" applyBorder="1" applyAlignment="1">
      <alignment horizontal="right" vertical="center" wrapText="1" indent="1"/>
    </xf>
    <xf numFmtId="4" fontId="6" fillId="24" borderId="13" xfId="0" applyNumberFormat="1" applyFont="1" applyFill="1" applyBorder="1" applyAlignment="1">
      <alignment horizontal="right" vertical="center" wrapText="1" indent="1"/>
    </xf>
    <xf numFmtId="4" fontId="7" fillId="35" borderId="13" xfId="0" applyNumberFormat="1" applyFont="1" applyFill="1" applyBorder="1" applyAlignment="1">
      <alignment horizontal="right" vertical="center" wrapText="1" indent="1"/>
    </xf>
    <xf numFmtId="4" fontId="2" fillId="24" borderId="17" xfId="0" applyNumberFormat="1" applyFont="1" applyFill="1" applyBorder="1" applyAlignment="1">
      <alignment horizontal="right" vertical="center" wrapText="1" indent="1"/>
    </xf>
    <xf numFmtId="4" fontId="6" fillId="24" borderId="18" xfId="0" applyNumberFormat="1" applyFont="1" applyFill="1" applyBorder="1" applyAlignment="1">
      <alignment horizontal="right" vertical="center" wrapText="1" indent="1"/>
    </xf>
    <xf numFmtId="4" fontId="3" fillId="35" borderId="13" xfId="0" applyNumberFormat="1" applyFont="1" applyFill="1" applyBorder="1" applyAlignment="1">
      <alignment vertical="center" wrapText="1"/>
    </xf>
    <xf numFmtId="4" fontId="3" fillId="35" borderId="13" xfId="0" applyNumberFormat="1" applyFont="1" applyFill="1" applyBorder="1" applyAlignment="1">
      <alignment vertical="center"/>
    </xf>
    <xf numFmtId="4" fontId="3" fillId="35" borderId="13" xfId="0" applyNumberFormat="1" applyFont="1" applyFill="1" applyBorder="1" applyAlignment="1">
      <alignment horizontal="center" vertical="center" wrapText="1"/>
    </xf>
    <xf numFmtId="4" fontId="3" fillId="35" borderId="19" xfId="0" applyNumberFormat="1" applyFont="1" applyFill="1" applyBorder="1" applyAlignment="1">
      <alignment vertical="center" wrapText="1"/>
    </xf>
    <xf numFmtId="4" fontId="6" fillId="24" borderId="13" xfId="0" applyNumberFormat="1" applyFont="1" applyFill="1" applyBorder="1" applyAlignment="1">
      <alignment horizontal="right" vertical="center" indent="1"/>
    </xf>
    <xf numFmtId="4" fontId="6" fillId="24" borderId="14" xfId="0" applyNumberFormat="1" applyFont="1" applyFill="1" applyBorder="1" applyAlignment="1">
      <alignment horizontal="right" vertical="center" indent="1"/>
    </xf>
    <xf numFmtId="4" fontId="75" fillId="24" borderId="13" xfId="0" applyNumberFormat="1" applyFont="1" applyFill="1" applyBorder="1" applyAlignment="1">
      <alignment horizontal="right" vertical="center" wrapText="1" indent="1"/>
    </xf>
    <xf numFmtId="4" fontId="75" fillId="24" borderId="13" xfId="0" applyNumberFormat="1" applyFont="1" applyFill="1" applyBorder="1" applyAlignment="1">
      <alignment horizontal="right" vertical="center" indent="1"/>
    </xf>
    <xf numFmtId="4" fontId="75" fillId="24" borderId="14" xfId="0" applyNumberFormat="1" applyFont="1" applyFill="1" applyBorder="1" applyAlignment="1">
      <alignment horizontal="right" vertical="center" indent="1"/>
    </xf>
    <xf numFmtId="4" fontId="6" fillId="24" borderId="13" xfId="0" applyNumberFormat="1" applyFont="1" applyFill="1" applyBorder="1" applyAlignment="1">
      <alignment vertical="center" wrapText="1"/>
    </xf>
    <xf numFmtId="4" fontId="3" fillId="0" borderId="19" xfId="0" applyNumberFormat="1" applyFont="1" applyFill="1" applyBorder="1" applyAlignment="1">
      <alignment vertical="center" wrapText="1"/>
    </xf>
    <xf numFmtId="4" fontId="3" fillId="0" borderId="0" xfId="0" applyNumberFormat="1" applyFont="1" applyAlignment="1">
      <alignment horizontal="center" vertical="center"/>
    </xf>
    <xf numFmtId="4" fontId="3" fillId="38" borderId="0" xfId="0" applyNumberFormat="1" applyFont="1" applyFill="1" applyAlignment="1">
      <alignment horizontal="right" vertical="center" indent="1"/>
    </xf>
    <xf numFmtId="4" fontId="3" fillId="35" borderId="38" xfId="0" applyNumberFormat="1" applyFont="1" applyFill="1" applyBorder="1" applyAlignment="1">
      <alignment horizontal="right" vertical="center" wrapText="1" indent="1"/>
    </xf>
    <xf numFmtId="4" fontId="2" fillId="35" borderId="17" xfId="0" applyNumberFormat="1" applyFont="1" applyFill="1" applyBorder="1" applyAlignment="1">
      <alignment horizontal="right" vertical="center" wrapText="1" indent="1"/>
    </xf>
    <xf numFmtId="4" fontId="2" fillId="35" borderId="39" xfId="0" applyNumberFormat="1" applyFont="1" applyFill="1" applyBorder="1" applyAlignment="1">
      <alignment horizontal="right" vertical="center" wrapText="1" indent="1"/>
    </xf>
    <xf numFmtId="4" fontId="70" fillId="24" borderId="13" xfId="0" applyNumberFormat="1" applyFont="1" applyFill="1" applyBorder="1" applyAlignment="1">
      <alignment horizontal="right" vertical="center" wrapText="1" indent="1"/>
    </xf>
    <xf numFmtId="4" fontId="70" fillId="24" borderId="14" xfId="0" applyNumberFormat="1" applyFont="1" applyFill="1" applyBorder="1" applyAlignment="1">
      <alignment horizontal="right" vertical="center" wrapText="1" indent="1"/>
    </xf>
    <xf numFmtId="4" fontId="6" fillId="24" borderId="38" xfId="0" applyNumberFormat="1" applyFont="1" applyFill="1" applyBorder="1" applyAlignment="1">
      <alignment horizontal="right" vertical="center" wrapText="1" indent="1"/>
    </xf>
    <xf numFmtId="4" fontId="6" fillId="24" borderId="13" xfId="89" applyNumberFormat="1" applyFont="1" applyFill="1" applyBorder="1" applyAlignment="1">
      <alignment horizontal="right" vertical="center" wrapText="1" indent="1"/>
    </xf>
    <xf numFmtId="4" fontId="6" fillId="24" borderId="14" xfId="89" applyNumberFormat="1" applyFont="1" applyFill="1" applyBorder="1" applyAlignment="1">
      <alignment horizontal="right" vertical="center" wrapText="1" indent="1"/>
    </xf>
    <xf numFmtId="4" fontId="3" fillId="35" borderId="13" xfId="89" applyNumberFormat="1" applyFont="1" applyFill="1" applyBorder="1" applyAlignment="1">
      <alignment horizontal="right" vertical="center" wrapText="1" indent="1"/>
    </xf>
    <xf numFmtId="4" fontId="7" fillId="24" borderId="13" xfId="89" applyNumberFormat="1" applyFont="1" applyFill="1" applyBorder="1" applyAlignment="1">
      <alignment horizontal="right" vertical="center" wrapText="1" indent="1"/>
    </xf>
    <xf numFmtId="4" fontId="7" fillId="24" borderId="14" xfId="89" applyNumberFormat="1" applyFont="1" applyFill="1" applyBorder="1" applyAlignment="1">
      <alignment horizontal="right" vertical="center" wrapText="1" indent="1"/>
    </xf>
    <xf numFmtId="4" fontId="2" fillId="0" borderId="13" xfId="89" applyNumberFormat="1" applyFont="1" applyFill="1" applyBorder="1" applyAlignment="1">
      <alignment horizontal="center" vertical="center" wrapText="1"/>
    </xf>
    <xf numFmtId="4" fontId="3" fillId="0" borderId="13" xfId="89" applyNumberFormat="1" applyFont="1" applyFill="1" applyBorder="1" applyAlignment="1">
      <alignment horizontal="right" vertical="center" wrapText="1" indent="1"/>
    </xf>
    <xf numFmtId="4" fontId="3" fillId="0" borderId="14" xfId="89" applyNumberFormat="1" applyFont="1" applyFill="1" applyBorder="1" applyAlignment="1">
      <alignment horizontal="right" vertical="center" wrapText="1" indent="1"/>
    </xf>
    <xf numFmtId="4" fontId="6" fillId="35" borderId="13" xfId="89" applyNumberFormat="1" applyFont="1" applyFill="1" applyBorder="1" applyAlignment="1">
      <alignment horizontal="right" vertical="center" wrapText="1" indent="1"/>
    </xf>
    <xf numFmtId="4" fontId="3" fillId="35" borderId="13" xfId="89" applyNumberFormat="1" applyFont="1" applyFill="1" applyBorder="1" applyAlignment="1">
      <alignment horizontal="right" vertical="center" wrapText="1"/>
    </xf>
    <xf numFmtId="4" fontId="6" fillId="24" borderId="17" xfId="89" applyNumberFormat="1" applyFont="1" applyFill="1" applyBorder="1" applyAlignment="1">
      <alignment horizontal="right" vertical="center" wrapText="1" indent="1"/>
    </xf>
    <xf numFmtId="4" fontId="6" fillId="24" borderId="18" xfId="89" applyNumberFormat="1" applyFont="1" applyFill="1" applyBorder="1" applyAlignment="1">
      <alignment horizontal="right" vertical="center" wrapText="1" indent="1"/>
    </xf>
    <xf numFmtId="4" fontId="3" fillId="0" borderId="0" xfId="89" applyNumberFormat="1" applyFont="1"/>
    <xf numFmtId="4" fontId="3" fillId="38" borderId="0" xfId="89" applyNumberFormat="1" applyFont="1" applyFill="1"/>
    <xf numFmtId="4" fontId="3" fillId="35" borderId="13" xfId="27" applyNumberFormat="1" applyFont="1" applyFill="1" applyBorder="1" applyAlignment="1">
      <alignment horizontal="right" vertical="center" wrapText="1" indent="1"/>
    </xf>
    <xf numFmtId="4" fontId="3" fillId="37" borderId="13" xfId="27" applyNumberFormat="1" applyFont="1" applyFill="1" applyBorder="1" applyAlignment="1">
      <alignment horizontal="right" vertical="center" wrapText="1" indent="1"/>
    </xf>
    <xf numFmtId="4" fontId="3" fillId="0" borderId="13" xfId="0" applyNumberFormat="1" applyFont="1" applyBorder="1" applyAlignment="1">
      <alignment horizontal="center" vertical="center" wrapText="1"/>
    </xf>
    <xf numFmtId="4" fontId="7" fillId="35" borderId="14" xfId="0" applyNumberFormat="1" applyFont="1" applyFill="1" applyBorder="1" applyAlignment="1">
      <alignment horizontal="right" vertical="center" wrapText="1" indent="1"/>
    </xf>
    <xf numFmtId="4" fontId="3" fillId="35" borderId="13" xfId="0" applyNumberFormat="1" applyFont="1" applyFill="1" applyBorder="1" applyAlignment="1">
      <alignment horizontal="right" vertical="center" wrapText="1"/>
    </xf>
    <xf numFmtId="4" fontId="3" fillId="0" borderId="14" xfId="0" applyNumberFormat="1" applyFont="1" applyBorder="1" applyAlignment="1">
      <alignment horizontal="center" vertical="center" wrapText="1"/>
    </xf>
    <xf numFmtId="4" fontId="3" fillId="35" borderId="14" xfId="0" applyNumberFormat="1" applyFont="1" applyFill="1" applyBorder="1" applyAlignment="1">
      <alignment horizontal="right" vertical="center" wrapText="1" indent="1"/>
    </xf>
    <xf numFmtId="4" fontId="3" fillId="0" borderId="17"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23" xfId="0" applyNumberFormat="1" applyFont="1" applyBorder="1" applyAlignment="1">
      <alignment vertical="center" wrapText="1"/>
    </xf>
    <xf numFmtId="4" fontId="3" fillId="0" borderId="25" xfId="0" applyNumberFormat="1" applyFont="1" applyBorder="1" applyAlignment="1">
      <alignment vertical="center" wrapText="1"/>
    </xf>
    <xf numFmtId="4" fontId="3" fillId="0" borderId="24" xfId="0" applyNumberFormat="1" applyFont="1" applyBorder="1" applyAlignment="1">
      <alignment vertical="center" wrapText="1"/>
    </xf>
    <xf numFmtId="4" fontId="3" fillId="0" borderId="15" xfId="0" applyNumberFormat="1" applyFont="1" applyBorder="1" applyAlignment="1">
      <alignment vertical="center" wrapText="1"/>
    </xf>
    <xf numFmtId="4" fontId="3" fillId="0" borderId="13" xfId="0" applyNumberFormat="1" applyFont="1" applyBorder="1" applyAlignment="1">
      <alignment vertical="center" wrapText="1"/>
    </xf>
    <xf numFmtId="4" fontId="3" fillId="0" borderId="14"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7" xfId="0" applyNumberFormat="1" applyFont="1" applyBorder="1" applyAlignment="1">
      <alignment vertical="center" wrapText="1"/>
    </xf>
    <xf numFmtId="4" fontId="3" fillId="0" borderId="18" xfId="0" applyNumberFormat="1" applyFont="1" applyBorder="1" applyAlignment="1">
      <alignment vertical="center" wrapText="1"/>
    </xf>
    <xf numFmtId="4" fontId="6" fillId="24" borderId="20" xfId="0" applyNumberFormat="1" applyFont="1" applyFill="1" applyBorder="1" applyAlignment="1">
      <alignment horizontal="right" vertical="center" wrapText="1" indent="1"/>
    </xf>
    <xf numFmtId="4" fontId="6" fillId="24" borderId="62" xfId="0" applyNumberFormat="1" applyFont="1" applyFill="1" applyBorder="1" applyAlignment="1">
      <alignment horizontal="right" vertical="center" wrapText="1" indent="1"/>
    </xf>
    <xf numFmtId="4" fontId="6" fillId="37" borderId="13" xfId="0" applyNumberFormat="1" applyFont="1" applyFill="1" applyBorder="1" applyAlignment="1">
      <alignment horizontal="right" vertical="center" wrapText="1" indent="1"/>
    </xf>
    <xf numFmtId="4" fontId="6" fillId="37" borderId="20" xfId="0" applyNumberFormat="1" applyFont="1" applyFill="1" applyBorder="1" applyAlignment="1">
      <alignment horizontal="right" vertical="center" wrapText="1" indent="1"/>
    </xf>
    <xf numFmtId="4" fontId="3" fillId="0" borderId="62" xfId="0" applyNumberFormat="1" applyFont="1" applyBorder="1" applyAlignment="1">
      <alignment horizontal="center" vertical="center" wrapText="1"/>
    </xf>
    <xf numFmtId="4" fontId="3" fillId="0" borderId="38" xfId="0" applyNumberFormat="1" applyFont="1" applyBorder="1" applyAlignment="1">
      <alignment horizontal="center" vertical="center" wrapText="1"/>
    </xf>
    <xf numFmtId="4" fontId="3" fillId="0" borderId="62" xfId="0" applyNumberFormat="1" applyFont="1" applyBorder="1" applyAlignment="1">
      <alignment vertical="center" wrapText="1"/>
    </xf>
    <xf numFmtId="4" fontId="3" fillId="0" borderId="38" xfId="0" applyNumberFormat="1" applyFont="1" applyBorder="1" applyAlignment="1">
      <alignment vertical="center" wrapText="1"/>
    </xf>
    <xf numFmtId="4" fontId="6" fillId="24" borderId="28" xfId="0" applyNumberFormat="1" applyFont="1" applyFill="1" applyBorder="1" applyAlignment="1">
      <alignment horizontal="right" vertical="center" wrapText="1" indent="1"/>
    </xf>
    <xf numFmtId="4" fontId="6" fillId="24" borderId="77" xfId="0" applyNumberFormat="1" applyFont="1" applyFill="1" applyBorder="1" applyAlignment="1">
      <alignment horizontal="right" vertical="center" wrapText="1" indent="1"/>
    </xf>
    <xf numFmtId="4" fontId="81" fillId="45" borderId="43" xfId="0" applyNumberFormat="1" applyFont="1" applyFill="1" applyBorder="1" applyAlignment="1">
      <alignment horizontal="right" vertical="center" wrapText="1" indent="1"/>
    </xf>
    <xf numFmtId="4" fontId="71" fillId="0" borderId="23" xfId="0" applyNumberFormat="1" applyFont="1" applyBorder="1" applyAlignment="1">
      <alignment vertical="center" wrapText="1"/>
    </xf>
    <xf numFmtId="4" fontId="71" fillId="0" borderId="25" xfId="0" applyNumberFormat="1" applyFont="1" applyBorder="1" applyAlignment="1">
      <alignment vertical="center" wrapText="1"/>
    </xf>
    <xf numFmtId="4" fontId="71" fillId="0" borderId="24" xfId="0" applyNumberFormat="1" applyFont="1" applyBorder="1" applyAlignment="1">
      <alignment vertical="center" wrapText="1"/>
    </xf>
    <xf numFmtId="4" fontId="71" fillId="0" borderId="15" xfId="0" applyNumberFormat="1" applyFont="1" applyBorder="1" applyAlignment="1">
      <alignment vertical="center" wrapText="1"/>
    </xf>
    <xf numFmtId="4" fontId="71" fillId="0" borderId="13" xfId="0" applyNumberFormat="1" applyFont="1" applyBorder="1" applyAlignment="1">
      <alignment vertical="center" wrapText="1"/>
    </xf>
    <xf numFmtId="4" fontId="71" fillId="0" borderId="14" xfId="0" applyNumberFormat="1" applyFont="1" applyBorder="1" applyAlignment="1">
      <alignment vertical="center" wrapText="1"/>
    </xf>
    <xf numFmtId="4" fontId="71" fillId="0" borderId="62" xfId="0" applyNumberFormat="1" applyFont="1" applyBorder="1" applyAlignment="1">
      <alignment horizontal="center" vertical="center" wrapText="1"/>
    </xf>
    <xf numFmtId="4" fontId="71" fillId="0" borderId="13" xfId="0" applyNumberFormat="1" applyFont="1" applyBorder="1" applyAlignment="1">
      <alignment horizontal="center" vertical="center" wrapText="1"/>
    </xf>
    <xf numFmtId="4" fontId="71" fillId="0" borderId="38" xfId="0" applyNumberFormat="1" applyFont="1" applyBorder="1" applyAlignment="1">
      <alignment horizontal="center" vertical="center" wrapText="1"/>
    </xf>
    <xf numFmtId="4" fontId="71" fillId="0" borderId="62" xfId="0" applyNumberFormat="1" applyFont="1" applyBorder="1" applyAlignment="1">
      <alignment vertical="center" wrapText="1"/>
    </xf>
    <xf numFmtId="4" fontId="71" fillId="0" borderId="38" xfId="0" applyNumberFormat="1" applyFont="1" applyBorder="1" applyAlignment="1">
      <alignment vertical="center" wrapText="1"/>
    </xf>
    <xf numFmtId="4" fontId="81" fillId="45" borderId="56" xfId="0" applyNumberFormat="1" applyFont="1" applyFill="1" applyBorder="1" applyAlignment="1">
      <alignment horizontal="right" vertical="center" wrapText="1" indent="1"/>
    </xf>
    <xf numFmtId="4" fontId="71" fillId="0" borderId="16" xfId="0" applyNumberFormat="1" applyFont="1" applyBorder="1" applyAlignment="1">
      <alignment vertical="center" wrapText="1"/>
    </xf>
    <xf numFmtId="4" fontId="71" fillId="0" borderId="17" xfId="0" applyNumberFormat="1" applyFont="1" applyBorder="1" applyAlignment="1">
      <alignment vertical="center" wrapText="1"/>
    </xf>
    <xf numFmtId="4" fontId="71" fillId="0" borderId="18" xfId="0" applyNumberFormat="1" applyFont="1" applyBorder="1" applyAlignment="1">
      <alignment vertical="center" wrapText="1"/>
    </xf>
    <xf numFmtId="4" fontId="6" fillId="35" borderId="20" xfId="0" applyNumberFormat="1" applyFont="1" applyFill="1" applyBorder="1" applyAlignment="1">
      <alignment horizontal="right" vertical="center" wrapText="1" indent="1"/>
    </xf>
    <xf numFmtId="4" fontId="7" fillId="0" borderId="13" xfId="0" applyNumberFormat="1" applyFont="1" applyBorder="1" applyAlignment="1">
      <alignment horizontal="center" vertical="center" wrapText="1"/>
    </xf>
    <xf numFmtId="4" fontId="6" fillId="24" borderId="27" xfId="0" applyNumberFormat="1" applyFont="1" applyFill="1" applyBorder="1" applyAlignment="1">
      <alignment horizontal="right" vertical="center" wrapText="1" indent="1"/>
    </xf>
    <xf numFmtId="4" fontId="7" fillId="0" borderId="14" xfId="0" applyNumberFormat="1" applyFont="1" applyBorder="1" applyAlignment="1">
      <alignment horizontal="center" vertical="center" wrapText="1"/>
    </xf>
    <xf numFmtId="4" fontId="6" fillId="35" borderId="27" xfId="0" applyNumberFormat="1" applyFont="1" applyFill="1" applyBorder="1" applyAlignment="1">
      <alignment horizontal="right" vertical="center" wrapText="1" indent="1"/>
    </xf>
    <xf numFmtId="4" fontId="7" fillId="0" borderId="17" xfId="0" applyNumberFormat="1" applyFont="1" applyBorder="1" applyAlignment="1">
      <alignment horizontal="center" vertical="center" wrapText="1"/>
    </xf>
    <xf numFmtId="3" fontId="3" fillId="35" borderId="13" xfId="90" applyNumberFormat="1" applyFont="1" applyFill="1" applyBorder="1" applyAlignment="1">
      <alignment horizontal="right" vertical="center" wrapText="1" indent="1"/>
    </xf>
    <xf numFmtId="3" fontId="3" fillId="35" borderId="38" xfId="90" applyNumberFormat="1" applyFont="1" applyFill="1" applyBorder="1" applyAlignment="1">
      <alignment horizontal="right" vertical="center" wrapText="1" indent="1"/>
    </xf>
    <xf numFmtId="4" fontId="6" fillId="24" borderId="13" xfId="39" applyNumberFormat="1" applyFont="1" applyFill="1" applyBorder="1" applyAlignment="1">
      <alignment horizontal="right" vertical="center" wrapText="1" indent="1"/>
    </xf>
    <xf numFmtId="4" fontId="6" fillId="24" borderId="38" xfId="39" applyNumberFormat="1" applyFont="1" applyFill="1" applyBorder="1" applyAlignment="1">
      <alignment horizontal="right" vertical="center" wrapText="1" indent="1"/>
    </xf>
    <xf numFmtId="4" fontId="6" fillId="24" borderId="17" xfId="39" applyNumberFormat="1" applyFont="1" applyFill="1" applyBorder="1" applyAlignment="1">
      <alignment horizontal="right" vertical="center" wrapText="1" indent="1"/>
    </xf>
    <xf numFmtId="4" fontId="6" fillId="24" borderId="39" xfId="39" applyNumberFormat="1" applyFont="1" applyFill="1" applyBorder="1" applyAlignment="1">
      <alignment horizontal="right" vertical="center" wrapText="1" indent="1"/>
    </xf>
    <xf numFmtId="4" fontId="2" fillId="35" borderId="13" xfId="0" applyNumberFormat="1" applyFont="1" applyFill="1" applyBorder="1" applyAlignment="1">
      <alignment horizontal="right" vertical="center" wrapText="1" indent="1"/>
    </xf>
    <xf numFmtId="4" fontId="2" fillId="35" borderId="14" xfId="0" applyNumberFormat="1" applyFont="1" applyFill="1" applyBorder="1" applyAlignment="1">
      <alignment horizontal="right" vertical="center" wrapText="1" indent="1"/>
    </xf>
    <xf numFmtId="4" fontId="71" fillId="35" borderId="13" xfId="0" applyNumberFormat="1" applyFont="1" applyFill="1" applyBorder="1" applyAlignment="1">
      <alignment horizontal="right" vertical="center" wrapText="1" indent="1"/>
    </xf>
    <xf numFmtId="4" fontId="70" fillId="24" borderId="73" xfId="0" applyNumberFormat="1" applyFont="1" applyFill="1" applyBorder="1" applyAlignment="1">
      <alignment horizontal="right" vertical="center" wrapText="1" indent="1"/>
    </xf>
    <xf numFmtId="4" fontId="6" fillId="24" borderId="73" xfId="0" applyNumberFormat="1" applyFont="1" applyFill="1" applyBorder="1" applyAlignment="1">
      <alignment horizontal="right" vertical="center" wrapText="1" indent="1"/>
    </xf>
    <xf numFmtId="4" fontId="6" fillId="24" borderId="51" xfId="0" applyNumberFormat="1" applyFont="1" applyFill="1" applyBorder="1" applyAlignment="1">
      <alignment horizontal="right" vertical="center" wrapText="1" indent="1"/>
    </xf>
    <xf numFmtId="166" fontId="3" fillId="0" borderId="0" xfId="0" applyNumberFormat="1" applyFont="1" applyAlignment="1">
      <alignment wrapText="1"/>
    </xf>
    <xf numFmtId="166" fontId="3" fillId="0" borderId="0" xfId="0" applyNumberFormat="1" applyFont="1"/>
    <xf numFmtId="0" fontId="2" fillId="0" borderId="0" xfId="0" applyFont="1" applyAlignment="1">
      <alignment horizontal="center" vertical="center"/>
    </xf>
    <xf numFmtId="0" fontId="2" fillId="0" borderId="0" xfId="0" applyFont="1" applyAlignment="1">
      <alignment horizontal="center" vertical="center" wrapText="1"/>
    </xf>
    <xf numFmtId="166" fontId="63" fillId="39" borderId="13" xfId="0" applyNumberFormat="1" applyFont="1" applyFill="1" applyBorder="1" applyAlignment="1">
      <alignment vertical="center" wrapText="1"/>
    </xf>
    <xf numFmtId="166" fontId="63" fillId="40" borderId="13" xfId="0" applyNumberFormat="1" applyFont="1" applyFill="1" applyBorder="1" applyAlignment="1">
      <alignment vertical="center" wrapText="1"/>
    </xf>
    <xf numFmtId="166" fontId="63" fillId="35" borderId="13" xfId="0" applyNumberFormat="1" applyFont="1" applyFill="1" applyBorder="1" applyAlignment="1">
      <alignment vertical="center" wrapText="1"/>
    </xf>
    <xf numFmtId="166" fontId="63" fillId="24" borderId="13" xfId="0" applyNumberFormat="1" applyFont="1" applyFill="1" applyBorder="1" applyAlignment="1">
      <alignment vertical="center" wrapText="1"/>
    </xf>
    <xf numFmtId="166" fontId="63" fillId="40" borderId="14" xfId="0" applyNumberFormat="1" applyFont="1" applyFill="1" applyBorder="1" applyAlignment="1">
      <alignment vertical="center" wrapText="1"/>
    </xf>
    <xf numFmtId="166" fontId="59" fillId="39" borderId="13" xfId="0" applyNumberFormat="1" applyFont="1" applyFill="1" applyBorder="1" applyAlignment="1">
      <alignment vertical="center" wrapText="1"/>
    </xf>
    <xf numFmtId="166" fontId="59" fillId="35" borderId="13" xfId="0" applyNumberFormat="1" applyFont="1" applyFill="1" applyBorder="1" applyAlignment="1">
      <alignment vertical="center" wrapText="1"/>
    </xf>
    <xf numFmtId="166" fontId="63" fillId="0" borderId="13" xfId="0" applyNumberFormat="1" applyFont="1" applyBorder="1" applyAlignment="1">
      <alignment horizontal="center" vertical="center" wrapText="1"/>
    </xf>
    <xf numFmtId="166" fontId="59" fillId="39" borderId="13" xfId="0" applyNumberFormat="1" applyFont="1" applyFill="1" applyBorder="1" applyAlignment="1">
      <alignment vertical="top" wrapText="1"/>
    </xf>
    <xf numFmtId="166" fontId="73" fillId="0" borderId="13" xfId="0" applyNumberFormat="1" applyFont="1" applyBorder="1" applyAlignment="1">
      <alignment horizontal="center" vertical="center" wrapText="1"/>
    </xf>
    <xf numFmtId="166" fontId="74" fillId="39" borderId="13" xfId="0" applyNumberFormat="1" applyFont="1" applyFill="1" applyBorder="1" applyAlignment="1">
      <alignment vertical="center" wrapText="1"/>
    </xf>
    <xf numFmtId="166" fontId="63" fillId="41" borderId="13" xfId="0" applyNumberFormat="1" applyFont="1" applyFill="1" applyBorder="1" applyAlignment="1">
      <alignment horizontal="center" vertical="center" wrapText="1"/>
    </xf>
    <xf numFmtId="166" fontId="73" fillId="41" borderId="13" xfId="0" applyNumberFormat="1" applyFont="1" applyFill="1" applyBorder="1" applyAlignment="1">
      <alignment horizontal="center" vertical="center" wrapText="1"/>
    </xf>
    <xf numFmtId="166" fontId="59" fillId="39" borderId="17" xfId="0" applyNumberFormat="1" applyFont="1" applyFill="1" applyBorder="1" applyAlignment="1">
      <alignment vertical="center"/>
    </xf>
    <xf numFmtId="166" fontId="59" fillId="35" borderId="17" xfId="0" applyNumberFormat="1" applyFont="1" applyFill="1" applyBorder="1" applyAlignment="1">
      <alignment vertical="center"/>
    </xf>
    <xf numFmtId="166" fontId="63" fillId="40" borderId="17" xfId="0" applyNumberFormat="1" applyFont="1" applyFill="1" applyBorder="1" applyAlignment="1">
      <alignment vertical="center" wrapText="1"/>
    </xf>
    <xf numFmtId="166" fontId="63" fillId="40" borderId="18" xfId="0" applyNumberFormat="1" applyFont="1" applyFill="1" applyBorder="1" applyAlignment="1">
      <alignment vertical="center" wrapText="1"/>
    </xf>
    <xf numFmtId="4" fontId="3" fillId="35" borderId="19" xfId="42" applyNumberFormat="1" applyFont="1" applyFill="1" applyBorder="1" applyAlignment="1">
      <alignment horizontal="right" vertical="center" wrapText="1" indent="1"/>
    </xf>
    <xf numFmtId="4" fontId="6" fillId="48" borderId="14" xfId="42" applyNumberFormat="1" applyFont="1" applyFill="1" applyBorder="1" applyAlignment="1">
      <alignment horizontal="right" vertical="center" wrapText="1" indent="1"/>
    </xf>
    <xf numFmtId="4" fontId="6" fillId="24" borderId="13" xfId="42" applyNumberFormat="1" applyFont="1" applyFill="1" applyBorder="1" applyAlignment="1">
      <alignment horizontal="right" vertical="center" wrapText="1" indent="1"/>
    </xf>
    <xf numFmtId="4" fontId="6" fillId="24" borderId="14" xfId="42" applyNumberFormat="1" applyFont="1" applyFill="1" applyBorder="1" applyAlignment="1">
      <alignment horizontal="right" vertical="center" wrapText="1" indent="1"/>
    </xf>
    <xf numFmtId="4" fontId="3" fillId="35" borderId="13" xfId="42" applyNumberFormat="1" applyFont="1" applyFill="1" applyBorder="1" applyAlignment="1">
      <alignment horizontal="center" vertical="center" wrapText="1"/>
    </xf>
    <xf numFmtId="4" fontId="6" fillId="48" borderId="14" xfId="42" applyNumberFormat="1" applyFont="1" applyFill="1" applyBorder="1" applyAlignment="1">
      <alignment horizontal="center" vertical="center" wrapText="1"/>
    </xf>
    <xf numFmtId="4" fontId="2" fillId="24" borderId="17" xfId="42" applyNumberFormat="1" applyFont="1" applyFill="1" applyBorder="1" applyAlignment="1">
      <alignment horizontal="right" vertical="center" wrapText="1" indent="1"/>
    </xf>
    <xf numFmtId="4" fontId="2" fillId="24" borderId="18" xfId="42" applyNumberFormat="1" applyFont="1" applyFill="1" applyBorder="1" applyAlignment="1">
      <alignment horizontal="right" vertical="center" wrapText="1" indent="1"/>
    </xf>
    <xf numFmtId="49" fontId="3" fillId="0" borderId="0" xfId="90" applyNumberFormat="1" applyFont="1"/>
    <xf numFmtId="2" fontId="31" fillId="0" borderId="0" xfId="90" applyNumberFormat="1" applyFont="1"/>
    <xf numFmtId="0" fontId="3" fillId="0" borderId="0" xfId="90" applyFont="1"/>
    <xf numFmtId="49" fontId="31" fillId="0" borderId="0" xfId="90" applyNumberFormat="1" applyFont="1"/>
    <xf numFmtId="0" fontId="6" fillId="0" borderId="15" xfId="0" applyFont="1" applyBorder="1" applyAlignment="1">
      <alignment horizontal="left" vertical="center" wrapText="1" inden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3" fillId="42" borderId="13" xfId="0" applyFont="1" applyFill="1" applyBorder="1" applyAlignment="1">
      <alignment horizontal="left" vertical="top" wrapText="1" indent="1"/>
    </xf>
    <xf numFmtId="49" fontId="69" fillId="0" borderId="13" xfId="0" applyNumberFormat="1" applyFont="1" applyBorder="1" applyAlignment="1">
      <alignment horizontal="left" vertical="top" wrapText="1" indent="1"/>
    </xf>
    <xf numFmtId="0" fontId="7" fillId="0" borderId="13" xfId="0" applyFont="1" applyBorder="1" applyAlignment="1">
      <alignment horizontal="left" vertical="center" wrapText="1" indent="1"/>
    </xf>
    <xf numFmtId="0" fontId="7" fillId="38" borderId="13" xfId="0" applyFont="1" applyFill="1" applyBorder="1" applyAlignment="1">
      <alignment horizontal="left" vertical="center" wrapText="1" indent="1"/>
    </xf>
    <xf numFmtId="0" fontId="7" fillId="47" borderId="13" xfId="0" applyFont="1" applyFill="1" applyBorder="1" applyAlignment="1">
      <alignment horizontal="left" vertical="center" wrapText="1" indent="1"/>
    </xf>
    <xf numFmtId="4" fontId="7" fillId="35" borderId="19" xfId="0" applyNumberFormat="1" applyFont="1" applyFill="1" applyBorder="1" applyAlignment="1">
      <alignment horizontal="right" vertical="center" wrapText="1" indent="1"/>
    </xf>
    <xf numFmtId="0" fontId="6" fillId="0" borderId="19" xfId="0" applyFont="1" applyBorder="1" applyAlignment="1">
      <alignment horizontal="left" vertical="center" wrapText="1" indent="1"/>
    </xf>
    <xf numFmtId="4" fontId="3" fillId="35" borderId="13" xfId="42" applyNumberFormat="1" applyFont="1" applyFill="1" applyBorder="1" applyAlignment="1">
      <alignment horizontal="right" vertical="center" wrapText="1" indent="1"/>
    </xf>
    <xf numFmtId="4" fontId="6" fillId="48" borderId="13" xfId="42" applyNumberFormat="1" applyFont="1" applyFill="1" applyBorder="1" applyAlignment="1">
      <alignment horizontal="right" vertical="center" wrapText="1" indent="1"/>
    </xf>
    <xf numFmtId="4" fontId="6" fillId="48" borderId="13" xfId="42" applyNumberFormat="1" applyFont="1" applyFill="1" applyBorder="1" applyAlignment="1">
      <alignment horizontal="center" vertical="center" wrapText="1"/>
    </xf>
    <xf numFmtId="0" fontId="3" fillId="0" borderId="19" xfId="42" applyFont="1" applyBorder="1" applyAlignment="1">
      <alignment horizontal="left" vertical="top" wrapText="1" indent="1"/>
    </xf>
    <xf numFmtId="0" fontId="3" fillId="0" borderId="13" xfId="42" applyFont="1" applyBorder="1" applyAlignment="1">
      <alignment horizontal="left" vertical="top" wrapText="1" indent="1"/>
    </xf>
    <xf numFmtId="4" fontId="3" fillId="35" borderId="19" xfId="42" applyNumberFormat="1" applyFont="1" applyFill="1" applyBorder="1" applyAlignment="1">
      <alignment horizontal="center" vertical="center" wrapText="1"/>
    </xf>
    <xf numFmtId="4" fontId="3" fillId="35" borderId="26" xfId="42" applyNumberFormat="1" applyFont="1" applyFill="1" applyBorder="1" applyAlignment="1">
      <alignment horizontal="right" vertical="center" wrapText="1" indent="1"/>
    </xf>
    <xf numFmtId="0" fontId="3" fillId="43" borderId="19" xfId="42" applyFont="1" applyFill="1" applyBorder="1" applyAlignment="1">
      <alignment horizontal="left" vertical="top" wrapText="1" indent="1"/>
    </xf>
    <xf numFmtId="0" fontId="3" fillId="49" borderId="19" xfId="42" applyFont="1" applyFill="1" applyBorder="1" applyAlignment="1">
      <alignment horizontal="left" vertical="top" wrapText="1" indent="1"/>
    </xf>
    <xf numFmtId="0" fontId="6" fillId="43" borderId="0" xfId="0" applyFont="1" applyFill="1" applyAlignment="1">
      <alignment vertical="center" wrapText="1"/>
    </xf>
    <xf numFmtId="0" fontId="6" fillId="49" borderId="0" xfId="0" applyFont="1" applyFill="1" applyAlignment="1">
      <alignment vertical="center" wrapText="1"/>
    </xf>
    <xf numFmtId="0" fontId="3" fillId="43" borderId="13" xfId="90" applyFont="1" applyFill="1" applyBorder="1" applyAlignment="1">
      <alignment vertical="center" wrapText="1"/>
    </xf>
    <xf numFmtId="0" fontId="3" fillId="43" borderId="13" xfId="0" applyFont="1" applyFill="1" applyBorder="1" applyAlignment="1">
      <alignment vertical="center" wrapText="1"/>
    </xf>
    <xf numFmtId="0" fontId="3" fillId="49" borderId="13" xfId="0" applyFont="1" applyFill="1" applyBorder="1" applyAlignment="1">
      <alignment vertical="center" wrapText="1"/>
    </xf>
    <xf numFmtId="2" fontId="6" fillId="43" borderId="13" xfId="0" applyNumberFormat="1" applyFont="1" applyFill="1" applyBorder="1" applyAlignment="1">
      <alignment vertical="center" wrapText="1"/>
    </xf>
    <xf numFmtId="0" fontId="6" fillId="49" borderId="13" xfId="0" applyFont="1" applyFill="1" applyBorder="1" applyAlignment="1">
      <alignment vertical="center" wrapText="1"/>
    </xf>
    <xf numFmtId="0" fontId="6" fillId="0" borderId="13" xfId="90" applyFont="1" applyBorder="1" applyAlignment="1">
      <alignment vertical="center" wrapText="1"/>
    </xf>
    <xf numFmtId="0" fontId="6" fillId="0" borderId="13" xfId="0" applyFont="1" applyBorder="1" applyAlignment="1">
      <alignment vertical="center" wrapText="1"/>
    </xf>
    <xf numFmtId="0" fontId="68" fillId="43" borderId="13" xfId="42" applyNumberFormat="1" applyFont="1" applyFill="1" applyBorder="1" applyAlignment="1">
      <alignment horizontal="left" vertical="center" wrapText="1" indent="1"/>
    </xf>
    <xf numFmtId="0" fontId="68" fillId="49" borderId="13" xfId="42" applyNumberFormat="1" applyFont="1" applyFill="1" applyBorder="1" applyAlignment="1">
      <alignment horizontal="left" vertical="center" wrapText="1" indent="1"/>
    </xf>
    <xf numFmtId="4" fontId="2" fillId="24" borderId="13" xfId="0" applyNumberFormat="1" applyFont="1" applyFill="1" applyBorder="1" applyAlignment="1">
      <alignment horizontal="right" vertical="center" wrapText="1" indent="1"/>
    </xf>
    <xf numFmtId="4" fontId="2" fillId="24" borderId="14" xfId="0" applyNumberFormat="1" applyFont="1" applyFill="1" applyBorder="1" applyAlignment="1">
      <alignment horizontal="right" vertical="center" wrapText="1" indent="1"/>
    </xf>
    <xf numFmtId="3" fontId="3" fillId="0" borderId="13" xfId="0" applyNumberFormat="1" applyFont="1" applyBorder="1" applyAlignment="1">
      <alignment horizontal="right" vertical="center" wrapText="1" indent="1"/>
    </xf>
    <xf numFmtId="3" fontId="2" fillId="0" borderId="14" xfId="0" applyNumberFormat="1" applyFont="1" applyBorder="1" applyAlignment="1">
      <alignment horizontal="right" vertical="center" wrapText="1" indent="1"/>
    </xf>
    <xf numFmtId="3" fontId="3" fillId="0" borderId="19" xfId="0" applyNumberFormat="1" applyFont="1" applyBorder="1" applyAlignment="1">
      <alignment horizontal="right" vertical="center" wrapText="1" indent="1"/>
    </xf>
    <xf numFmtId="1" fontId="6" fillId="0" borderId="17" xfId="0" applyNumberFormat="1" applyFont="1" applyBorder="1" applyAlignment="1">
      <alignment horizontal="right" vertical="center" wrapText="1" indent="1"/>
    </xf>
    <xf numFmtId="3" fontId="3" fillId="35" borderId="14" xfId="90" applyNumberFormat="1" applyFont="1" applyFill="1" applyBorder="1" applyAlignment="1">
      <alignment horizontal="right" vertical="center" wrapText="1" indent="1"/>
    </xf>
    <xf numFmtId="3" fontId="3" fillId="35" borderId="17" xfId="90" applyNumberFormat="1" applyFont="1" applyFill="1" applyBorder="1" applyAlignment="1">
      <alignment horizontal="right" vertical="center" wrapText="1" indent="1"/>
    </xf>
    <xf numFmtId="3" fontId="3" fillId="35" borderId="18" xfId="90" applyNumberFormat="1" applyFont="1" applyFill="1" applyBorder="1" applyAlignment="1">
      <alignment horizontal="right" vertical="center" wrapText="1" indent="1"/>
    </xf>
    <xf numFmtId="4" fontId="6" fillId="35" borderId="13" xfId="90" applyNumberFormat="1" applyFont="1" applyFill="1" applyBorder="1" applyAlignment="1">
      <alignment horizontal="center" vertical="center" wrapText="1"/>
    </xf>
    <xf numFmtId="4" fontId="6" fillId="35" borderId="13" xfId="90" applyNumberFormat="1" applyFont="1" applyFill="1" applyBorder="1" applyAlignment="1">
      <alignment horizontal="right" vertical="center" wrapText="1" indent="1"/>
    </xf>
    <xf numFmtId="4" fontId="6" fillId="24" borderId="13" xfId="90" applyNumberFormat="1" applyFont="1" applyFill="1" applyBorder="1" applyAlignment="1">
      <alignment horizontal="right" vertical="center" wrapText="1" indent="1"/>
    </xf>
    <xf numFmtId="4" fontId="6" fillId="35" borderId="29" xfId="90" applyNumberFormat="1" applyFont="1" applyFill="1" applyBorder="1" applyAlignment="1">
      <alignment horizontal="right" vertical="center" wrapText="1" indent="1"/>
    </xf>
    <xf numFmtId="4" fontId="6" fillId="35" borderId="17" xfId="90" applyNumberFormat="1" applyFont="1" applyFill="1" applyBorder="1" applyAlignment="1">
      <alignment horizontal="right" vertical="center" wrapText="1" indent="1"/>
    </xf>
    <xf numFmtId="49" fontId="7" fillId="0" borderId="0" xfId="90" applyNumberFormat="1" applyFont="1" applyAlignment="1">
      <alignment vertical="center" wrapText="1"/>
    </xf>
    <xf numFmtId="4" fontId="6" fillId="35" borderId="35" xfId="0" applyNumberFormat="1" applyFont="1" applyFill="1" applyBorder="1" applyAlignment="1">
      <alignment horizontal="right" vertical="center" wrapText="1" indent="1"/>
    </xf>
    <xf numFmtId="4" fontId="6" fillId="35" borderId="28" xfId="0" applyNumberFormat="1" applyFont="1" applyFill="1" applyBorder="1" applyAlignment="1">
      <alignment horizontal="right" vertical="center" wrapText="1" indent="1"/>
    </xf>
    <xf numFmtId="0" fontId="7" fillId="43" borderId="0" xfId="0" applyFont="1" applyFill="1" applyAlignment="1">
      <alignment vertical="center" wrapText="1"/>
    </xf>
    <xf numFmtId="0" fontId="7" fillId="49" borderId="0" xfId="0" applyFont="1" applyFill="1" applyAlignment="1">
      <alignment vertical="center" wrapText="1"/>
    </xf>
    <xf numFmtId="4" fontId="2" fillId="24" borderId="18" xfId="0" applyNumberFormat="1" applyFont="1" applyFill="1" applyBorder="1" applyAlignment="1">
      <alignment horizontal="right" vertical="center" wrapText="1" indent="1"/>
    </xf>
    <xf numFmtId="49" fontId="1" fillId="0" borderId="0" xfId="0" applyNumberFormat="1" applyFont="1" applyBorder="1"/>
    <xf numFmtId="0" fontId="106" fillId="0" borderId="0" xfId="0" applyFont="1"/>
    <xf numFmtId="3" fontId="67" fillId="0" borderId="0" xfId="44" applyNumberFormat="1" applyFont="1" applyBorder="1" applyAlignment="1">
      <alignment vertical="center" wrapText="1"/>
    </xf>
    <xf numFmtId="4" fontId="3" fillId="0" borderId="0" xfId="0" applyNumberFormat="1" applyFont="1" applyBorder="1" applyAlignment="1">
      <alignment vertical="center" wrapText="1"/>
    </xf>
    <xf numFmtId="4" fontId="67" fillId="0" borderId="0" xfId="44" applyNumberFormat="1" applyFont="1" applyBorder="1" applyAlignment="1">
      <alignment vertical="center" wrapText="1"/>
    </xf>
    <xf numFmtId="3" fontId="7" fillId="50" borderId="20" xfId="91" applyNumberFormat="1" applyFont="1" applyFill="1" applyBorder="1" applyAlignment="1">
      <alignment horizontal="right" vertical="center" wrapText="1" indent="1"/>
    </xf>
    <xf numFmtId="3" fontId="7" fillId="35" borderId="20" xfId="91" applyNumberFormat="1" applyFont="1" applyFill="1" applyBorder="1" applyAlignment="1">
      <alignment horizontal="right" vertical="center" wrapText="1" indent="1"/>
    </xf>
    <xf numFmtId="3" fontId="7" fillId="35" borderId="37" xfId="91" applyNumberFormat="1" applyFont="1" applyFill="1" applyBorder="1" applyAlignment="1">
      <alignment horizontal="right" vertical="center" wrapText="1" indent="1"/>
    </xf>
    <xf numFmtId="0" fontId="1" fillId="0" borderId="0" xfId="0" applyFont="1" applyAlignment="1">
      <alignment wrapText="1"/>
    </xf>
    <xf numFmtId="4" fontId="3" fillId="0" borderId="0" xfId="0" applyNumberFormat="1" applyFont="1"/>
    <xf numFmtId="4" fontId="3" fillId="0" borderId="0" xfId="0" applyNumberFormat="1" applyFont="1" applyAlignment="1">
      <alignment vertical="center"/>
    </xf>
    <xf numFmtId="4" fontId="69" fillId="0" borderId="0" xfId="0" applyNumberFormat="1" applyFont="1" applyFill="1" applyAlignment="1">
      <alignment horizontal="right" vertical="center" indent="1"/>
    </xf>
    <xf numFmtId="4" fontId="97" fillId="0" borderId="0" xfId="89" applyNumberFormat="1" applyFont="1"/>
    <xf numFmtId="4" fontId="69" fillId="0" borderId="0" xfId="89" applyNumberFormat="1" applyFont="1"/>
    <xf numFmtId="4" fontId="59" fillId="0" borderId="0" xfId="89" applyNumberFormat="1" applyFont="1"/>
    <xf numFmtId="4" fontId="99" fillId="0" borderId="0" xfId="89" applyNumberFormat="1" applyFont="1"/>
    <xf numFmtId="0" fontId="69" fillId="0" borderId="0" xfId="0" applyFont="1" applyAlignment="1">
      <alignment vertical="center"/>
    </xf>
    <xf numFmtId="4" fontId="69" fillId="0" borderId="0" xfId="0" applyNumberFormat="1" applyFont="1" applyAlignment="1">
      <alignment vertical="center"/>
    </xf>
    <xf numFmtId="4" fontId="3" fillId="0" borderId="0" xfId="0" applyNumberFormat="1" applyFont="1" applyAlignment="1">
      <alignment vertical="center" wrapText="1"/>
    </xf>
    <xf numFmtId="3" fontId="3" fillId="0" borderId="0" xfId="0" applyNumberFormat="1" applyFont="1" applyAlignment="1">
      <alignment vertical="center" wrapText="1"/>
    </xf>
    <xf numFmtId="4" fontId="0" fillId="0" borderId="0" xfId="0" applyNumberFormat="1" applyBorder="1"/>
    <xf numFmtId="0" fontId="1" fillId="0" borderId="0" xfId="0" applyNumberFormat="1" applyFont="1" applyBorder="1"/>
    <xf numFmtId="4" fontId="100" fillId="35" borderId="14" xfId="0" applyNumberFormat="1" applyFont="1" applyFill="1" applyBorder="1" applyAlignment="1">
      <alignment horizontal="right" vertical="center" wrapText="1" indent="1"/>
    </xf>
    <xf numFmtId="2" fontId="3" fillId="0" borderId="13" xfId="0" applyNumberFormat="1" applyFont="1" applyBorder="1" applyAlignment="1">
      <alignment horizontal="right" vertical="center" indent="1"/>
    </xf>
    <xf numFmtId="3" fontId="79" fillId="0" borderId="0" xfId="44" applyNumberFormat="1" applyFont="1" applyBorder="1" applyAlignment="1">
      <alignment vertical="center" wrapText="1"/>
    </xf>
    <xf numFmtId="49" fontId="78" fillId="0" borderId="0" xfId="89" applyNumberFormat="1" applyFont="1" applyAlignment="1">
      <alignment horizontal="left" wrapText="1"/>
    </xf>
    <xf numFmtId="0" fontId="78" fillId="0" borderId="0" xfId="0" applyFont="1" applyFill="1" applyBorder="1" applyAlignment="1">
      <alignment horizontal="center" wrapText="1"/>
    </xf>
    <xf numFmtId="0" fontId="78" fillId="0" borderId="0" xfId="0" applyFont="1" applyFill="1" applyBorder="1" applyAlignment="1">
      <alignment wrapText="1"/>
    </xf>
    <xf numFmtId="4" fontId="97" fillId="0" borderId="0" xfId="89" applyNumberFormat="1" applyFont="1" applyAlignment="1">
      <alignment wrapText="1"/>
    </xf>
    <xf numFmtId="49" fontId="3" fillId="49" borderId="0" xfId="90" applyNumberFormat="1" applyFont="1" applyFill="1"/>
    <xf numFmtId="2" fontId="31" fillId="49" borderId="0" xfId="90" applyNumberFormat="1" applyFont="1" applyFill="1" applyAlignment="1">
      <alignment horizontal="right" wrapText="1"/>
    </xf>
    <xf numFmtId="0" fontId="3" fillId="49" borderId="0" xfId="90" applyFont="1" applyFill="1"/>
    <xf numFmtId="2" fontId="31" fillId="49" borderId="0" xfId="90" applyNumberFormat="1" applyFont="1" applyFill="1"/>
    <xf numFmtId="0" fontId="69" fillId="0" borderId="0" xfId="39" applyFont="1" applyFill="1"/>
    <xf numFmtId="0" fontId="69" fillId="0" borderId="0" xfId="39" applyFont="1"/>
    <xf numFmtId="3" fontId="2" fillId="0" borderId="0" xfId="0" applyNumberFormat="1" applyFont="1" applyBorder="1" applyAlignment="1">
      <alignment horizontal="center" vertical="center"/>
    </xf>
    <xf numFmtId="4" fontId="2" fillId="0" borderId="0" xfId="0" applyNumberFormat="1" applyFont="1" applyAlignment="1">
      <alignment horizontal="center" vertical="center" wrapText="1"/>
    </xf>
    <xf numFmtId="0" fontId="109" fillId="0" borderId="0" xfId="0" applyFont="1" applyBorder="1" applyAlignment="1">
      <alignment horizontal="left" vertical="center"/>
    </xf>
    <xf numFmtId="4" fontId="2" fillId="0" borderId="0" xfId="0" applyNumberFormat="1" applyFont="1" applyBorder="1" applyAlignment="1">
      <alignment horizontal="center" vertical="center"/>
    </xf>
    <xf numFmtId="0" fontId="7" fillId="0" borderId="0" xfId="0" applyFont="1" applyBorder="1" applyAlignment="1">
      <alignment horizontal="center" vertical="center"/>
    </xf>
    <xf numFmtId="0" fontId="69" fillId="0" borderId="0" xfId="0" applyFont="1" applyAlignment="1">
      <alignment horizontal="center" vertical="center" wrapText="1"/>
    </xf>
    <xf numFmtId="49" fontId="3" fillId="42" borderId="0" xfId="90" applyNumberFormat="1" applyFont="1" applyFill="1" applyAlignment="1">
      <alignment vertical="center" wrapText="1"/>
    </xf>
    <xf numFmtId="0" fontId="1" fillId="42" borderId="0" xfId="90" applyFill="1"/>
    <xf numFmtId="49" fontId="3" fillId="0" borderId="0" xfId="0" applyNumberFormat="1" applyFont="1" applyFill="1" applyAlignment="1">
      <alignment horizontal="left" indent="1"/>
    </xf>
    <xf numFmtId="49" fontId="3" fillId="42" borderId="0" xfId="0" applyNumberFormat="1" applyFont="1" applyFill="1" applyBorder="1" applyAlignment="1">
      <alignment horizontal="left" indent="1"/>
    </xf>
    <xf numFmtId="44" fontId="65" fillId="0" borderId="0" xfId="40" applyNumberFormat="1"/>
    <xf numFmtId="0" fontId="78" fillId="0" borderId="0" xfId="90" applyFont="1" applyAlignment="1">
      <alignment vertical="center" wrapText="1"/>
    </xf>
    <xf numFmtId="0" fontId="78" fillId="37" borderId="0" xfId="90" applyFont="1" applyFill="1" applyAlignment="1">
      <alignment vertical="center" wrapText="1"/>
    </xf>
    <xf numFmtId="49" fontId="3" fillId="0" borderId="0" xfId="0" applyNumberFormat="1" applyFont="1" applyFill="1" applyBorder="1" applyAlignment="1">
      <alignment horizontal="left" wrapText="1" indent="1"/>
    </xf>
    <xf numFmtId="0" fontId="3" fillId="0" borderId="0" xfId="0" applyFont="1" applyFill="1" applyBorder="1" applyAlignment="1">
      <alignment wrapText="1"/>
    </xf>
    <xf numFmtId="49" fontId="6" fillId="0" borderId="0" xfId="0" applyNumberFormat="1" applyFont="1" applyFill="1" applyBorder="1" applyAlignment="1">
      <alignment horizontal="left" indent="1"/>
    </xf>
    <xf numFmtId="4" fontId="3" fillId="0" borderId="0" xfId="89" applyNumberFormat="1" applyFont="1" applyAlignment="1">
      <alignment vertical="center"/>
    </xf>
    <xf numFmtId="0" fontId="78" fillId="0" borderId="0" xfId="39" applyFont="1"/>
    <xf numFmtId="3" fontId="78" fillId="0" borderId="0" xfId="39" applyNumberFormat="1" applyFont="1"/>
    <xf numFmtId="0" fontId="78" fillId="0" borderId="0" xfId="0" applyFont="1" applyAlignment="1">
      <alignment vertical="center" wrapText="1"/>
    </xf>
    <xf numFmtId="0" fontId="78" fillId="0" borderId="0" xfId="0" applyFont="1" applyFill="1" applyBorder="1"/>
    <xf numFmtId="0" fontId="3" fillId="42" borderId="15" xfId="89" applyFont="1" applyFill="1" applyBorder="1" applyAlignment="1">
      <alignment horizontal="center" vertical="center"/>
    </xf>
    <xf numFmtId="0" fontId="70" fillId="42" borderId="13" xfId="89" applyNumberFormat="1" applyFont="1" applyFill="1" applyBorder="1" applyAlignment="1">
      <alignment horizontal="left" vertical="top" wrapText="1" indent="1"/>
    </xf>
    <xf numFmtId="4" fontId="6" fillId="42" borderId="13" xfId="89" applyNumberFormat="1" applyFont="1" applyFill="1" applyBorder="1" applyAlignment="1">
      <alignment horizontal="right" vertical="center" wrapText="1" indent="1"/>
    </xf>
    <xf numFmtId="4" fontId="6" fillId="42" borderId="14" xfId="89" applyNumberFormat="1" applyFont="1" applyFill="1" applyBorder="1" applyAlignment="1">
      <alignment horizontal="right" vertical="center" wrapText="1" indent="1"/>
    </xf>
    <xf numFmtId="0" fontId="59" fillId="42" borderId="0" xfId="89" applyFont="1" applyFill="1"/>
    <xf numFmtId="0" fontId="3" fillId="42" borderId="0" xfId="89" applyFont="1" applyFill="1"/>
    <xf numFmtId="0" fontId="70" fillId="42" borderId="13" xfId="89" quotePrefix="1" applyNumberFormat="1" applyFont="1" applyFill="1" applyBorder="1" applyAlignment="1">
      <alignment horizontal="left" vertical="top" wrapText="1" indent="1"/>
    </xf>
    <xf numFmtId="0" fontId="3" fillId="42" borderId="15" xfId="0" applyFont="1" applyFill="1" applyBorder="1" applyAlignment="1">
      <alignment horizontal="center" vertical="center"/>
    </xf>
    <xf numFmtId="0" fontId="6" fillId="42" borderId="13" xfId="0" applyNumberFormat="1" applyFont="1" applyFill="1" applyBorder="1" applyAlignment="1">
      <alignment horizontal="left" vertical="center" wrapText="1" indent="1"/>
    </xf>
    <xf numFmtId="4" fontId="6" fillId="42" borderId="13" xfId="0" applyNumberFormat="1" applyFont="1" applyFill="1" applyBorder="1" applyAlignment="1">
      <alignment horizontal="right" vertical="center" wrapText="1" indent="1"/>
    </xf>
    <xf numFmtId="4" fontId="6" fillId="42" borderId="13" xfId="0" applyNumberFormat="1" applyFont="1" applyFill="1" applyBorder="1" applyAlignment="1">
      <alignment horizontal="right" vertical="center" indent="1"/>
    </xf>
    <xf numFmtId="4" fontId="6" fillId="42" borderId="14" xfId="0" applyNumberFormat="1" applyFont="1" applyFill="1" applyBorder="1" applyAlignment="1">
      <alignment horizontal="right" vertical="center" indent="1"/>
    </xf>
    <xf numFmtId="4" fontId="61" fillId="42" borderId="0" xfId="0" applyNumberFormat="1" applyFont="1" applyFill="1"/>
    <xf numFmtId="0" fontId="61" fillId="42" borderId="0" xfId="0" applyFont="1" applyFill="1"/>
    <xf numFmtId="4" fontId="3" fillId="42" borderId="0" xfId="89" applyNumberFormat="1" applyFont="1" applyFill="1"/>
    <xf numFmtId="4" fontId="69" fillId="42" borderId="0" xfId="0" applyNumberFormat="1" applyFont="1" applyFill="1" applyAlignment="1">
      <alignment wrapText="1"/>
    </xf>
    <xf numFmtId="0" fontId="4" fillId="0" borderId="30" xfId="0" applyNumberFormat="1" applyFont="1" applyBorder="1" applyAlignment="1">
      <alignment horizontal="center" vertical="center" wrapText="1"/>
    </xf>
    <xf numFmtId="0" fontId="60" fillId="0" borderId="31" xfId="0" applyNumberFormat="1" applyFont="1" applyBorder="1" applyAlignment="1">
      <alignment horizontal="left"/>
    </xf>
    <xf numFmtId="0" fontId="60" fillId="0" borderId="36" xfId="0" applyNumberFormat="1" applyFont="1" applyBorder="1" applyAlignment="1">
      <alignment horizontal="left"/>
    </xf>
    <xf numFmtId="0" fontId="6" fillId="0" borderId="75" xfId="0" applyNumberFormat="1" applyFont="1" applyBorder="1" applyAlignment="1">
      <alignment horizontal="left" vertical="center" wrapText="1" indent="1"/>
    </xf>
    <xf numFmtId="0" fontId="6" fillId="0" borderId="50" xfId="0" applyNumberFormat="1" applyFont="1" applyBorder="1" applyAlignment="1">
      <alignment horizontal="left" vertical="center" wrapText="1" indent="1"/>
    </xf>
    <xf numFmtId="0" fontId="6" fillId="0" borderId="54" xfId="0" applyNumberFormat="1" applyFont="1" applyBorder="1" applyAlignment="1">
      <alignment horizontal="left" vertical="center" wrapText="1" indent="1"/>
    </xf>
    <xf numFmtId="0" fontId="10" fillId="0" borderId="30" xfId="0" applyNumberFormat="1" applyFont="1" applyBorder="1" applyAlignment="1">
      <alignment horizontal="center" vertical="center" wrapText="1"/>
    </xf>
    <xf numFmtId="0" fontId="10" fillId="0" borderId="31" xfId="0" applyNumberFormat="1" applyFont="1" applyBorder="1" applyAlignment="1">
      <alignment horizontal="center" vertical="center" wrapText="1"/>
    </xf>
    <xf numFmtId="0" fontId="10" fillId="0" borderId="36" xfId="0" applyNumberFormat="1" applyFont="1" applyBorder="1" applyAlignment="1">
      <alignment horizontal="center" vertical="center" wrapText="1"/>
    </xf>
    <xf numFmtId="0" fontId="6" fillId="0" borderId="22" xfId="0" applyNumberFormat="1" applyFont="1" applyBorder="1" applyAlignment="1">
      <alignment horizontal="left" vertical="center" wrapText="1" indent="1"/>
    </xf>
    <xf numFmtId="0" fontId="6" fillId="0" borderId="29" xfId="0" applyNumberFormat="1" applyFont="1" applyBorder="1" applyAlignment="1">
      <alignment horizontal="left" vertical="center" wrapText="1" indent="1"/>
    </xf>
    <xf numFmtId="0" fontId="6" fillId="0" borderId="34" xfId="0" applyNumberFormat="1" applyFont="1" applyBorder="1" applyAlignment="1">
      <alignment horizontal="left" vertical="center" wrapText="1" indent="1"/>
    </xf>
    <xf numFmtId="49" fontId="3" fillId="0" borderId="35" xfId="0" applyNumberFormat="1" applyFont="1" applyBorder="1" applyAlignment="1">
      <alignment horizontal="left" wrapText="1"/>
    </xf>
    <xf numFmtId="49" fontId="3" fillId="0" borderId="46" xfId="0" applyNumberFormat="1" applyFont="1" applyBorder="1" applyAlignment="1">
      <alignment horizontal="left" wrapText="1"/>
    </xf>
    <xf numFmtId="49" fontId="3" fillId="0" borderId="47" xfId="0" applyNumberFormat="1" applyFont="1" applyBorder="1" applyAlignment="1">
      <alignment horizontal="left" wrapText="1"/>
    </xf>
    <xf numFmtId="49" fontId="3" fillId="0" borderId="37" xfId="0" applyNumberFormat="1" applyFont="1" applyBorder="1" applyAlignment="1">
      <alignment horizontal="left" wrapText="1"/>
    </xf>
    <xf numFmtId="49" fontId="3" fillId="0" borderId="50" xfId="0" applyNumberFormat="1" applyFont="1" applyBorder="1" applyAlignment="1">
      <alignment horizontal="left" wrapText="1"/>
    </xf>
    <xf numFmtId="49" fontId="3" fillId="0" borderId="32" xfId="0" applyNumberFormat="1" applyFont="1" applyBorder="1" applyAlignment="1">
      <alignment horizontal="left" wrapText="1"/>
    </xf>
    <xf numFmtId="0" fontId="10" fillId="0" borderId="30" xfId="0" applyNumberFormat="1" applyFont="1" applyBorder="1" applyAlignment="1">
      <alignment horizontal="center" vertical="center"/>
    </xf>
    <xf numFmtId="0" fontId="10" fillId="0" borderId="31" xfId="0" applyNumberFormat="1" applyFont="1" applyBorder="1" applyAlignment="1">
      <alignment horizontal="center" vertical="center"/>
    </xf>
    <xf numFmtId="0" fontId="10" fillId="0" borderId="36" xfId="0" applyNumberFormat="1" applyFont="1" applyBorder="1" applyAlignment="1">
      <alignment horizontal="center" vertical="center"/>
    </xf>
    <xf numFmtId="0" fontId="2" fillId="0" borderId="15" xfId="0" applyNumberFormat="1" applyFont="1" applyBorder="1" applyAlignment="1">
      <alignment horizontal="center" vertical="center" wrapText="1"/>
    </xf>
    <xf numFmtId="0" fontId="2" fillId="0" borderId="19" xfId="0" applyNumberFormat="1" applyFont="1" applyBorder="1" applyAlignment="1">
      <alignment horizontal="center" vertical="center" wrapText="1"/>
    </xf>
    <xf numFmtId="0" fontId="2" fillId="0" borderId="29" xfId="0" applyNumberFormat="1" applyFont="1" applyBorder="1" applyAlignment="1">
      <alignment horizontal="center" vertical="center" wrapText="1"/>
    </xf>
    <xf numFmtId="0" fontId="4" fillId="0" borderId="20" xfId="0" applyNumberFormat="1" applyFont="1" applyBorder="1" applyAlignment="1">
      <alignment horizontal="center" vertical="center"/>
    </xf>
    <xf numFmtId="0" fontId="4" fillId="0" borderId="27" xfId="0" applyNumberFormat="1" applyFont="1" applyBorder="1" applyAlignment="1">
      <alignment horizontal="center" vertical="center"/>
    </xf>
    <xf numFmtId="0" fontId="4" fillId="0" borderId="38" xfId="0" applyNumberFormat="1" applyFont="1" applyBorder="1" applyAlignment="1">
      <alignment horizontal="center" vertical="center"/>
    </xf>
    <xf numFmtId="0" fontId="6" fillId="0" borderId="61" xfId="0" applyNumberFormat="1" applyFont="1" applyBorder="1" applyAlignment="1">
      <alignment horizontal="left" vertical="center" wrapText="1" indent="1"/>
    </xf>
    <xf numFmtId="0" fontId="6" fillId="0" borderId="72" xfId="0" applyNumberFormat="1" applyFont="1" applyBorder="1" applyAlignment="1">
      <alignment horizontal="left" vertical="center" wrapText="1" indent="1"/>
    </xf>
    <xf numFmtId="0" fontId="6" fillId="0" borderId="41" xfId="0" applyNumberFormat="1" applyFont="1" applyBorder="1" applyAlignment="1">
      <alignment horizontal="left" vertical="center" wrapText="1" indent="1"/>
    </xf>
    <xf numFmtId="0" fontId="10" fillId="0" borderId="69" xfId="89" applyNumberFormat="1" applyFont="1" applyBorder="1" applyAlignment="1">
      <alignment horizontal="center" vertical="center"/>
    </xf>
    <xf numFmtId="0" fontId="10" fillId="0" borderId="70" xfId="89" applyNumberFormat="1" applyFont="1" applyBorder="1" applyAlignment="1">
      <alignment horizontal="center" vertical="center"/>
    </xf>
    <xf numFmtId="0" fontId="10" fillId="0" borderId="71" xfId="89" applyNumberFormat="1" applyFont="1" applyBorder="1" applyAlignment="1">
      <alignment horizontal="center" vertical="center"/>
    </xf>
    <xf numFmtId="0" fontId="6" fillId="0" borderId="61" xfId="89" applyNumberFormat="1" applyFont="1" applyBorder="1" applyAlignment="1">
      <alignment horizontal="left" vertical="center" wrapText="1" indent="1"/>
    </xf>
    <xf numFmtId="0" fontId="6" fillId="0" borderId="72" xfId="89" applyNumberFormat="1" applyFont="1" applyBorder="1" applyAlignment="1">
      <alignment horizontal="left" vertical="center" wrapText="1" indent="1"/>
    </xf>
    <xf numFmtId="0" fontId="6" fillId="0" borderId="41" xfId="89" applyNumberFormat="1" applyFont="1" applyBorder="1" applyAlignment="1">
      <alignment horizontal="left" vertical="center" wrapText="1" indent="1"/>
    </xf>
    <xf numFmtId="0" fontId="2" fillId="0" borderId="15" xfId="89" applyNumberFormat="1" applyFont="1" applyBorder="1" applyAlignment="1">
      <alignment horizontal="center" vertical="center" wrapText="1"/>
    </xf>
    <xf numFmtId="0" fontId="2" fillId="0" borderId="19" xfId="89" applyNumberFormat="1" applyFont="1" applyBorder="1" applyAlignment="1">
      <alignment horizontal="center" vertical="center" wrapText="1"/>
    </xf>
    <xf numFmtId="0" fontId="2" fillId="0" borderId="29" xfId="89" applyNumberFormat="1" applyFont="1" applyBorder="1" applyAlignment="1">
      <alignment horizontal="center" vertical="center" wrapText="1"/>
    </xf>
    <xf numFmtId="0" fontId="4" fillId="0" borderId="13" xfId="89" applyNumberFormat="1" applyFont="1" applyBorder="1" applyAlignment="1">
      <alignment horizontal="center" vertical="center"/>
    </xf>
    <xf numFmtId="0" fontId="4" fillId="0" borderId="20" xfId="89" applyNumberFormat="1" applyFont="1" applyBorder="1" applyAlignment="1">
      <alignment horizontal="center" vertical="center"/>
    </xf>
    <xf numFmtId="0" fontId="4" fillId="0" borderId="38" xfId="89" applyNumberFormat="1" applyFont="1" applyBorder="1" applyAlignment="1">
      <alignment horizontal="center" vertical="center"/>
    </xf>
    <xf numFmtId="0" fontId="71" fillId="0" borderId="23" xfId="0" applyNumberFormat="1" applyFont="1" applyBorder="1" applyAlignment="1">
      <alignment horizontal="center" vertical="center" wrapText="1"/>
    </xf>
    <xf numFmtId="0" fontId="71" fillId="0" borderId="15" xfId="0" applyNumberFormat="1" applyFont="1" applyBorder="1" applyAlignment="1">
      <alignment horizontal="center" vertical="center" wrapText="1"/>
    </xf>
    <xf numFmtId="0" fontId="71" fillId="0" borderId="16" xfId="0" applyNumberFormat="1" applyFont="1" applyBorder="1" applyAlignment="1">
      <alignment horizontal="center" vertical="center" wrapText="1"/>
    </xf>
    <xf numFmtId="0" fontId="71" fillId="0" borderId="25" xfId="0" applyNumberFormat="1" applyFont="1" applyBorder="1" applyAlignment="1">
      <alignment horizontal="center" vertical="center" wrapText="1"/>
    </xf>
    <xf numFmtId="0" fontId="71" fillId="0" borderId="13" xfId="0" applyNumberFormat="1" applyFont="1" applyBorder="1" applyAlignment="1">
      <alignment horizontal="center" vertical="center" wrapText="1"/>
    </xf>
    <xf numFmtId="0" fontId="71" fillId="0" borderId="17" xfId="0" applyNumberFormat="1" applyFont="1" applyBorder="1" applyAlignment="1">
      <alignment horizontal="center" vertical="center" wrapText="1"/>
    </xf>
    <xf numFmtId="0" fontId="71" fillId="0" borderId="24" xfId="0" applyNumberFormat="1" applyFont="1" applyBorder="1" applyAlignment="1">
      <alignment horizontal="center" vertical="center" wrapText="1"/>
    </xf>
    <xf numFmtId="0" fontId="71" fillId="0" borderId="14" xfId="0" applyNumberFormat="1" applyFont="1" applyBorder="1" applyAlignment="1">
      <alignment horizontal="center" vertical="center" wrapText="1"/>
    </xf>
    <xf numFmtId="0" fontId="71" fillId="0" borderId="18" xfId="0" applyNumberFormat="1" applyFont="1" applyBorder="1" applyAlignment="1">
      <alignment horizontal="center" vertical="center" wrapText="1"/>
    </xf>
    <xf numFmtId="0" fontId="10" fillId="0" borderId="12"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2" fillId="0" borderId="37"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3" fillId="0" borderId="20" xfId="0" applyNumberFormat="1" applyFont="1" applyBorder="1" applyAlignment="1">
      <alignment horizontal="left"/>
    </xf>
    <xf numFmtId="49" fontId="3" fillId="0" borderId="52" xfId="0" applyNumberFormat="1" applyFont="1" applyBorder="1" applyAlignment="1">
      <alignment horizontal="left"/>
    </xf>
    <xf numFmtId="49" fontId="3" fillId="0" borderId="27" xfId="0" applyNumberFormat="1" applyFont="1" applyBorder="1" applyAlignment="1">
      <alignment horizontal="left"/>
    </xf>
    <xf numFmtId="0" fontId="2" fillId="36" borderId="29" xfId="0" applyNumberFormat="1" applyFont="1" applyFill="1" applyBorder="1" applyAlignment="1">
      <alignment horizontal="center" vertical="center" wrapText="1"/>
    </xf>
    <xf numFmtId="0" fontId="2" fillId="36" borderId="13" xfId="0" applyNumberFormat="1" applyFont="1" applyFill="1" applyBorder="1" applyAlignment="1">
      <alignment horizontal="center" vertical="center" wrapText="1"/>
    </xf>
    <xf numFmtId="0" fontId="6" fillId="0" borderId="12" xfId="0" applyNumberFormat="1" applyFont="1" applyBorder="1" applyAlignment="1">
      <alignment horizontal="center" vertical="center" wrapText="1"/>
    </xf>
    <xf numFmtId="0" fontId="6" fillId="0" borderId="75" xfId="0" applyNumberFormat="1" applyFont="1" applyBorder="1" applyAlignment="1">
      <alignment horizontal="center" vertical="center" wrapText="1"/>
    </xf>
    <xf numFmtId="0" fontId="92" fillId="0" borderId="0" xfId="0" applyFont="1" applyAlignment="1">
      <alignment horizontal="left" vertical="center" wrapText="1"/>
    </xf>
    <xf numFmtId="0" fontId="2" fillId="0" borderId="13" xfId="0" applyNumberFormat="1" applyFont="1" applyBorder="1" applyAlignment="1">
      <alignment horizontal="center" vertical="center" wrapText="1"/>
    </xf>
    <xf numFmtId="49" fontId="7" fillId="0" borderId="20" xfId="0" applyNumberFormat="1" applyFont="1" applyBorder="1" applyAlignment="1">
      <alignment horizontal="left"/>
    </xf>
    <xf numFmtId="49" fontId="7" fillId="0" borderId="52" xfId="0" applyNumberFormat="1" applyFont="1" applyBorder="1" applyAlignment="1">
      <alignment horizontal="left"/>
    </xf>
    <xf numFmtId="49" fontId="7" fillId="0" borderId="27" xfId="0" applyNumberFormat="1" applyFont="1" applyBorder="1" applyAlignment="1">
      <alignment horizontal="left"/>
    </xf>
    <xf numFmtId="0" fontId="2" fillId="0" borderId="22" xfId="0" applyNumberFormat="1" applyFont="1" applyBorder="1" applyAlignment="1">
      <alignment horizontal="center" vertical="center" textRotation="90" wrapText="1"/>
    </xf>
    <xf numFmtId="0" fontId="2" fillId="0" borderId="15" xfId="0" applyNumberFormat="1" applyFont="1" applyBorder="1" applyAlignment="1">
      <alignment horizontal="center" vertical="center" textRotation="90" wrapText="1"/>
    </xf>
    <xf numFmtId="0" fontId="92" fillId="0" borderId="0" xfId="0" applyNumberFormat="1" applyFont="1" applyAlignment="1">
      <alignment horizontal="left" vertical="center" wrapText="1"/>
    </xf>
    <xf numFmtId="0" fontId="80" fillId="0" borderId="12" xfId="0" applyNumberFormat="1" applyFont="1" applyBorder="1" applyAlignment="1">
      <alignment horizontal="center" vertical="center" wrapText="1"/>
    </xf>
    <xf numFmtId="0" fontId="80" fillId="0" borderId="0" xfId="0" applyNumberFormat="1" applyFont="1" applyBorder="1" applyAlignment="1">
      <alignment horizontal="center" vertical="center" wrapText="1"/>
    </xf>
    <xf numFmtId="0" fontId="70" fillId="0" borderId="29" xfId="0" applyNumberFormat="1" applyFont="1" applyBorder="1" applyAlignment="1">
      <alignment horizontal="center" vertical="center" wrapText="1"/>
    </xf>
    <xf numFmtId="0" fontId="70" fillId="0" borderId="13" xfId="0" applyNumberFormat="1" applyFont="1" applyBorder="1" applyAlignment="1">
      <alignment horizontal="center" vertical="center" wrapText="1"/>
    </xf>
    <xf numFmtId="0" fontId="66" fillId="0" borderId="12" xfId="39" applyNumberFormat="1" applyFont="1" applyBorder="1" applyAlignment="1">
      <alignment horizontal="center" vertical="center" wrapText="1"/>
    </xf>
    <xf numFmtId="0" fontId="66" fillId="0" borderId="75" xfId="39" applyNumberFormat="1" applyFont="1" applyBorder="1" applyAlignment="1">
      <alignment horizontal="center" vertical="center" wrapText="1"/>
    </xf>
    <xf numFmtId="0" fontId="3" fillId="0" borderId="20" xfId="0" applyNumberFormat="1" applyFont="1" applyBorder="1" applyAlignment="1">
      <alignment horizontal="left"/>
    </xf>
    <xf numFmtId="0" fontId="3" fillId="0" borderId="52" xfId="0" applyNumberFormat="1" applyFont="1" applyBorder="1" applyAlignment="1">
      <alignment horizontal="left"/>
    </xf>
    <xf numFmtId="0" fontId="3" fillId="0" borderId="27" xfId="0" applyNumberFormat="1" applyFont="1" applyBorder="1" applyAlignment="1">
      <alignment horizontal="left"/>
    </xf>
    <xf numFmtId="0" fontId="7" fillId="0" borderId="20" xfId="0" applyNumberFormat="1" applyFont="1" applyBorder="1" applyAlignment="1">
      <alignment horizontal="left"/>
    </xf>
    <xf numFmtId="0" fontId="7" fillId="0" borderId="52" xfId="0" applyNumberFormat="1" applyFont="1" applyBorder="1" applyAlignment="1">
      <alignment horizontal="left"/>
    </xf>
    <xf numFmtId="0" fontId="7" fillId="0" borderId="27" xfId="0" applyNumberFormat="1" applyFont="1" applyBorder="1" applyAlignment="1">
      <alignment horizontal="left"/>
    </xf>
    <xf numFmtId="0" fontId="89" fillId="45" borderId="57" xfId="39" applyNumberFormat="1" applyFont="1" applyFill="1" applyBorder="1" applyAlignment="1">
      <alignment horizontal="center" vertical="center" wrapText="1"/>
    </xf>
    <xf numFmtId="0" fontId="89" fillId="45" borderId="45" xfId="39" applyNumberFormat="1" applyFont="1" applyFill="1" applyBorder="1" applyAlignment="1">
      <alignment horizontal="center" vertical="center" wrapText="1"/>
    </xf>
    <xf numFmtId="0" fontId="6" fillId="0" borderId="63" xfId="40" applyNumberFormat="1" applyFont="1" applyBorder="1" applyAlignment="1">
      <alignment horizontal="center" vertical="center"/>
    </xf>
    <xf numFmtId="0" fontId="6" fillId="0" borderId="58" xfId="40" applyNumberFormat="1" applyFont="1" applyBorder="1" applyAlignment="1">
      <alignment horizontal="center" vertical="center"/>
    </xf>
    <xf numFmtId="0" fontId="6" fillId="0" borderId="59" xfId="40" applyNumberFormat="1" applyFont="1" applyBorder="1" applyAlignment="1">
      <alignment horizontal="center" vertical="center"/>
    </xf>
    <xf numFmtId="0" fontId="66" fillId="0" borderId="66" xfId="40" applyNumberFormat="1" applyFont="1" applyBorder="1" applyAlignment="1">
      <alignment horizontal="left" vertical="center" wrapText="1" indent="1"/>
    </xf>
    <xf numFmtId="0" fontId="66" fillId="0" borderId="67" xfId="40" applyNumberFormat="1" applyFont="1" applyBorder="1" applyAlignment="1">
      <alignment horizontal="left" vertical="center" wrapText="1" indent="1"/>
    </xf>
    <xf numFmtId="0" fontId="66" fillId="0" borderId="68" xfId="40" applyNumberFormat="1" applyFont="1" applyBorder="1" applyAlignment="1">
      <alignment horizontal="left" vertical="center" wrapText="1" indent="1"/>
    </xf>
    <xf numFmtId="0" fontId="65" fillId="0" borderId="20" xfId="40" applyNumberFormat="1" applyBorder="1" applyAlignment="1">
      <alignment horizontal="left" vertical="center" wrapText="1"/>
    </xf>
    <xf numFmtId="0" fontId="65" fillId="0" borderId="52" xfId="40" applyNumberFormat="1" applyBorder="1" applyAlignment="1">
      <alignment horizontal="left" vertical="center" wrapText="1"/>
    </xf>
    <xf numFmtId="0" fontId="65" fillId="0" borderId="27" xfId="40" applyNumberFormat="1" applyBorder="1" applyAlignment="1">
      <alignment horizontal="left" vertical="center" wrapText="1"/>
    </xf>
    <xf numFmtId="0" fontId="22" fillId="0" borderId="37" xfId="0" applyNumberFormat="1" applyFont="1" applyBorder="1" applyAlignment="1">
      <alignment horizontal="left" vertical="center"/>
    </xf>
    <xf numFmtId="0" fontId="22" fillId="0" borderId="50" xfId="0" applyNumberFormat="1" applyFont="1" applyBorder="1" applyAlignment="1">
      <alignment horizontal="left" vertical="center"/>
    </xf>
    <xf numFmtId="0" fontId="22" fillId="0" borderId="32" xfId="0" applyNumberFormat="1" applyFont="1" applyBorder="1" applyAlignment="1">
      <alignment horizontal="left" vertical="center"/>
    </xf>
    <xf numFmtId="0" fontId="22" fillId="0" borderId="35" xfId="0" applyNumberFormat="1" applyFont="1" applyBorder="1" applyAlignment="1">
      <alignment horizontal="left" vertical="center"/>
    </xf>
    <xf numFmtId="0" fontId="22" fillId="0" borderId="46" xfId="0" applyNumberFormat="1" applyFont="1" applyBorder="1" applyAlignment="1">
      <alignment horizontal="left" vertical="center"/>
    </xf>
    <xf numFmtId="0" fontId="22" fillId="0" borderId="47" xfId="0" applyNumberFormat="1" applyFont="1" applyBorder="1" applyAlignment="1">
      <alignment horizontal="left" vertical="center"/>
    </xf>
    <xf numFmtId="0" fontId="10" fillId="0" borderId="69" xfId="0" applyNumberFormat="1" applyFont="1" applyBorder="1" applyAlignment="1">
      <alignment horizontal="center" vertical="center" wrapText="1"/>
    </xf>
    <xf numFmtId="0" fontId="10" fillId="0" borderId="70" xfId="0" applyNumberFormat="1" applyFont="1" applyBorder="1" applyAlignment="1">
      <alignment horizontal="center" vertical="center" wrapText="1"/>
    </xf>
    <xf numFmtId="0" fontId="10" fillId="0" borderId="71" xfId="0" applyNumberFormat="1" applyFont="1" applyBorder="1" applyAlignment="1">
      <alignment horizontal="center" vertical="center" wrapText="1"/>
    </xf>
    <xf numFmtId="0" fontId="6" fillId="0" borderId="20" xfId="0" applyNumberFormat="1" applyFont="1" applyBorder="1" applyAlignment="1">
      <alignment horizontal="center" vertical="center" wrapText="1"/>
    </xf>
    <xf numFmtId="0" fontId="6" fillId="0" borderId="27" xfId="0" applyNumberFormat="1" applyFont="1" applyBorder="1" applyAlignment="1">
      <alignment horizontal="center" vertical="center" wrapText="1"/>
    </xf>
    <xf numFmtId="0" fontId="6" fillId="0" borderId="52" xfId="0" applyNumberFormat="1" applyFont="1" applyBorder="1" applyAlignment="1">
      <alignment horizontal="center" vertical="center" wrapText="1"/>
    </xf>
    <xf numFmtId="0" fontId="6" fillId="0" borderId="38" xfId="0" applyNumberFormat="1" applyFont="1" applyBorder="1" applyAlignment="1">
      <alignment horizontal="center" vertical="center" wrapText="1"/>
    </xf>
    <xf numFmtId="0" fontId="2" fillId="0" borderId="47" xfId="0" applyNumberFormat="1" applyFont="1" applyBorder="1" applyAlignment="1">
      <alignment horizontal="center" vertical="center" wrapText="1"/>
    </xf>
    <xf numFmtId="0" fontId="2" fillId="0" borderId="32" xfId="0" applyNumberFormat="1" applyFont="1" applyBorder="1" applyAlignment="1">
      <alignment horizontal="center" vertical="center" wrapText="1"/>
    </xf>
    <xf numFmtId="0" fontId="2" fillId="0" borderId="21" xfId="0" applyNumberFormat="1" applyFont="1" applyBorder="1" applyAlignment="1">
      <alignment horizontal="center" vertical="center" wrapText="1"/>
    </xf>
    <xf numFmtId="0" fontId="2" fillId="0" borderId="22" xfId="0" applyNumberFormat="1" applyFont="1" applyBorder="1" applyAlignment="1">
      <alignment horizontal="center" vertical="center" wrapText="1"/>
    </xf>
    <xf numFmtId="0" fontId="6" fillId="0" borderId="40" xfId="0" applyNumberFormat="1" applyFont="1" applyBorder="1" applyAlignment="1">
      <alignment horizontal="left" vertical="center" wrapText="1" indent="1"/>
    </xf>
    <xf numFmtId="0" fontId="6" fillId="0" borderId="72" xfId="0" applyNumberFormat="1" applyFont="1" applyBorder="1" applyAlignment="1">
      <alignment horizontal="center" vertical="center" wrapText="1"/>
    </xf>
    <xf numFmtId="0" fontId="6" fillId="0" borderId="41" xfId="0" applyNumberFormat="1" applyFont="1" applyBorder="1" applyAlignment="1">
      <alignment horizontal="center" vertical="center" wrapText="1"/>
    </xf>
    <xf numFmtId="0" fontId="22" fillId="0" borderId="37" xfId="0" applyFont="1" applyBorder="1" applyAlignment="1">
      <alignment horizontal="left" vertical="center"/>
    </xf>
    <xf numFmtId="0" fontId="22" fillId="0" borderId="50" xfId="0" applyFont="1" applyBorder="1" applyAlignment="1">
      <alignment horizontal="left" vertical="center"/>
    </xf>
    <xf numFmtId="0" fontId="22" fillId="0" borderId="32" xfId="0" applyFont="1" applyBorder="1" applyAlignment="1">
      <alignment horizontal="left" vertical="center"/>
    </xf>
    <xf numFmtId="0" fontId="22" fillId="0" borderId="35" xfId="0" applyFont="1" applyBorder="1" applyAlignment="1">
      <alignment horizontal="left" vertical="center"/>
    </xf>
    <xf numFmtId="0" fontId="22" fillId="0" borderId="46" xfId="0" applyFont="1" applyBorder="1" applyAlignment="1">
      <alignment horizontal="left" vertical="center"/>
    </xf>
    <xf numFmtId="0" fontId="22" fillId="0" borderId="47" xfId="0" applyFont="1" applyBorder="1" applyAlignment="1">
      <alignment horizontal="left" vertical="center"/>
    </xf>
    <xf numFmtId="0" fontId="22" fillId="0" borderId="37" xfId="0" applyNumberFormat="1" applyFont="1" applyBorder="1" applyAlignment="1">
      <alignment horizontal="left" vertical="center" wrapText="1"/>
    </xf>
    <xf numFmtId="0" fontId="22" fillId="0" borderId="50" xfId="0" applyNumberFormat="1" applyFont="1" applyBorder="1" applyAlignment="1">
      <alignment horizontal="left" vertical="center" wrapText="1"/>
    </xf>
    <xf numFmtId="0" fontId="22" fillId="0" borderId="32" xfId="0" applyNumberFormat="1" applyFont="1" applyBorder="1" applyAlignment="1">
      <alignment horizontal="left" vertical="center" wrapText="1"/>
    </xf>
    <xf numFmtId="0" fontId="4" fillId="0" borderId="23" xfId="0" applyNumberFormat="1" applyFont="1" applyBorder="1" applyAlignment="1">
      <alignment horizontal="center" vertical="center" wrapText="1"/>
    </xf>
    <xf numFmtId="0" fontId="4" fillId="0" borderId="25" xfId="0" applyNumberFormat="1" applyFont="1" applyBorder="1" applyAlignment="1">
      <alignment horizontal="center" vertical="center" wrapText="1"/>
    </xf>
    <xf numFmtId="0" fontId="4" fillId="0" borderId="24" xfId="0" applyNumberFormat="1" applyFont="1" applyBorder="1" applyAlignment="1">
      <alignment horizontal="center" vertical="center" wrapText="1"/>
    </xf>
    <xf numFmtId="0" fontId="2" fillId="0" borderId="33"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6" fillId="0" borderId="62" xfId="0" applyNumberFormat="1" applyFont="1" applyBorder="1" applyAlignment="1">
      <alignment horizontal="left" vertical="center" wrapText="1" indent="1"/>
    </xf>
    <xf numFmtId="0" fontId="6" fillId="0" borderId="52" xfId="0" applyNumberFormat="1" applyFont="1" applyBorder="1" applyAlignment="1">
      <alignment horizontal="left" vertical="center" wrapText="1" indent="1"/>
    </xf>
    <xf numFmtId="0" fontId="6" fillId="0" borderId="38" xfId="0" applyNumberFormat="1" applyFont="1" applyBorder="1" applyAlignment="1">
      <alignment horizontal="left" vertical="center" wrapText="1" indent="1"/>
    </xf>
    <xf numFmtId="0" fontId="22" fillId="0" borderId="37" xfId="39" applyFont="1" applyFill="1" applyBorder="1" applyAlignment="1">
      <alignment horizontal="left" vertical="center" wrapText="1"/>
    </xf>
    <xf numFmtId="0" fontId="22" fillId="0" borderId="50" xfId="39" applyFont="1" applyFill="1" applyBorder="1" applyAlignment="1">
      <alignment horizontal="left" vertical="center"/>
    </xf>
    <xf numFmtId="0" fontId="22" fillId="0" borderId="32" xfId="39" applyFont="1" applyFill="1" applyBorder="1" applyAlignment="1">
      <alignment horizontal="left" vertical="center"/>
    </xf>
    <xf numFmtId="0" fontId="4" fillId="0" borderId="69" xfId="39" applyFont="1" applyBorder="1" applyAlignment="1">
      <alignment horizontal="center" vertical="center" wrapText="1"/>
    </xf>
    <xf numFmtId="0" fontId="4" fillId="0" borderId="70" xfId="39" applyFont="1" applyBorder="1" applyAlignment="1">
      <alignment horizontal="center" vertical="center"/>
    </xf>
    <xf numFmtId="0" fontId="4" fillId="0" borderId="71" xfId="39" applyFont="1" applyBorder="1" applyAlignment="1">
      <alignment horizontal="center" vertical="center"/>
    </xf>
    <xf numFmtId="0" fontId="6" fillId="0" borderId="23" xfId="39" applyFont="1" applyBorder="1" applyAlignment="1">
      <alignment horizontal="left" vertical="center" wrapText="1" indent="1"/>
    </xf>
    <xf numFmtId="0" fontId="6" fillId="0" borderId="25" xfId="39" applyFont="1" applyBorder="1" applyAlignment="1">
      <alignment horizontal="left" vertical="center" wrapText="1" indent="1"/>
    </xf>
    <xf numFmtId="0" fontId="6" fillId="0" borderId="24" xfId="39" applyFont="1" applyBorder="1" applyAlignment="1">
      <alignment horizontal="left" vertical="center" wrapText="1" indent="1"/>
    </xf>
    <xf numFmtId="0" fontId="22" fillId="0" borderId="35" xfId="39" applyFont="1" applyBorder="1" applyAlignment="1">
      <alignment horizontal="left" vertical="center"/>
    </xf>
    <xf numFmtId="0" fontId="22" fillId="0" borderId="46" xfId="39" applyFont="1" applyBorder="1" applyAlignment="1">
      <alignment horizontal="left" vertical="center"/>
    </xf>
    <xf numFmtId="0" fontId="22" fillId="0" borderId="47" xfId="39" applyFont="1" applyBorder="1" applyAlignment="1">
      <alignment horizontal="left" vertical="center"/>
    </xf>
    <xf numFmtId="0" fontId="22" fillId="36" borderId="48" xfId="39" applyFont="1" applyFill="1" applyBorder="1" applyAlignment="1">
      <alignment horizontal="left" vertical="center"/>
    </xf>
    <xf numFmtId="0" fontId="22" fillId="36" borderId="0" xfId="39" applyFont="1" applyFill="1" applyBorder="1" applyAlignment="1">
      <alignment horizontal="left" vertical="center"/>
    </xf>
    <xf numFmtId="0" fontId="22" fillId="36" borderId="49" xfId="39" applyFont="1" applyFill="1" applyBorder="1" applyAlignment="1">
      <alignment horizontal="left" vertical="center"/>
    </xf>
    <xf numFmtId="0" fontId="22" fillId="0" borderId="48" xfId="39" applyFont="1" applyFill="1" applyBorder="1" applyAlignment="1">
      <alignment horizontal="left" vertical="center" wrapText="1"/>
    </xf>
    <xf numFmtId="0" fontId="22" fillId="0" borderId="0" xfId="39" applyFont="1" applyFill="1" applyBorder="1" applyAlignment="1">
      <alignment horizontal="left" vertical="center"/>
    </xf>
    <xf numFmtId="0" fontId="22" fillId="0" borderId="49" xfId="39" applyFont="1" applyFill="1" applyBorder="1" applyAlignment="1">
      <alignment horizontal="left" vertical="center"/>
    </xf>
    <xf numFmtId="0" fontId="22" fillId="0" borderId="37" xfId="0" applyFont="1" applyBorder="1" applyAlignment="1">
      <alignment horizontal="left" vertical="center" wrapText="1"/>
    </xf>
    <xf numFmtId="0" fontId="22" fillId="0" borderId="50" xfId="0" applyFont="1" applyBorder="1" applyAlignment="1">
      <alignment horizontal="left" vertical="center" wrapText="1"/>
    </xf>
    <xf numFmtId="0" fontId="22" fillId="0" borderId="32" xfId="0" applyFont="1" applyBorder="1" applyAlignment="1">
      <alignment horizontal="left" vertical="center" wrapText="1"/>
    </xf>
    <xf numFmtId="0" fontId="4" fillId="0" borderId="30"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0" borderId="38" xfId="0" applyNumberFormat="1" applyFont="1" applyFill="1" applyBorder="1" applyAlignment="1">
      <alignment horizontal="center" vertical="center" wrapText="1"/>
    </xf>
    <xf numFmtId="0" fontId="107" fillId="51" borderId="0" xfId="92"/>
    <xf numFmtId="0" fontId="70" fillId="36" borderId="34" xfId="0" applyNumberFormat="1" applyFont="1" applyFill="1" applyBorder="1" applyAlignment="1">
      <alignment horizontal="center" vertical="center" wrapText="1"/>
    </xf>
    <xf numFmtId="0" fontId="70" fillId="36" borderId="14" xfId="0" applyNumberFormat="1" applyFont="1" applyFill="1" applyBorder="1" applyAlignment="1">
      <alignment horizontal="center" vertical="center" wrapText="1"/>
    </xf>
    <xf numFmtId="0" fontId="4" fillId="0" borderId="63" xfId="0" applyNumberFormat="1" applyFont="1" applyBorder="1" applyAlignment="1">
      <alignment horizontal="center" vertical="center" wrapText="1"/>
    </xf>
    <xf numFmtId="0" fontId="4" fillId="0" borderId="58" xfId="0" applyNumberFormat="1" applyFont="1" applyBorder="1" applyAlignment="1">
      <alignment horizontal="center" vertical="center" wrapText="1"/>
    </xf>
    <xf numFmtId="0" fontId="4" fillId="0" borderId="59" xfId="0" applyNumberFormat="1" applyFont="1" applyBorder="1" applyAlignment="1">
      <alignment horizontal="center" vertical="center" wrapText="1"/>
    </xf>
    <xf numFmtId="0" fontId="70" fillId="36" borderId="29" xfId="0" applyNumberFormat="1" applyFont="1" applyFill="1" applyBorder="1" applyAlignment="1">
      <alignment horizontal="center" vertical="center" wrapText="1"/>
    </xf>
    <xf numFmtId="0" fontId="70" fillId="36" borderId="13" xfId="0" applyNumberFormat="1" applyFont="1" applyFill="1" applyBorder="1" applyAlignment="1">
      <alignment horizontal="center" vertical="center" wrapText="1"/>
    </xf>
    <xf numFmtId="0" fontId="70" fillId="46" borderId="29" xfId="0" applyNumberFormat="1" applyFont="1" applyFill="1" applyBorder="1" applyAlignment="1">
      <alignment horizontal="center" vertical="center" wrapText="1"/>
    </xf>
    <xf numFmtId="0" fontId="70" fillId="46" borderId="13"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4" fillId="0" borderId="63" xfId="0" applyNumberFormat="1" applyFont="1" applyFill="1" applyBorder="1" applyAlignment="1">
      <alignment horizontal="center" vertical="center"/>
    </xf>
    <xf numFmtId="0" fontId="4" fillId="0" borderId="58" xfId="0" applyNumberFormat="1" applyFont="1" applyFill="1" applyBorder="1" applyAlignment="1">
      <alignment horizontal="center" vertical="center"/>
    </xf>
    <xf numFmtId="0" fontId="4" fillId="0" borderId="59" xfId="0" applyNumberFormat="1" applyFont="1" applyFill="1" applyBorder="1" applyAlignment="1">
      <alignment horizontal="center" vertical="center"/>
    </xf>
    <xf numFmtId="0" fontId="6" fillId="0" borderId="61" xfId="0" applyNumberFormat="1" applyFont="1" applyFill="1" applyBorder="1" applyAlignment="1">
      <alignment horizontal="left" vertical="center" wrapText="1" indent="1"/>
    </xf>
    <xf numFmtId="0" fontId="6" fillId="0" borderId="72" xfId="0" applyNumberFormat="1" applyFont="1" applyFill="1" applyBorder="1" applyAlignment="1">
      <alignment horizontal="left" vertical="center" wrapText="1" indent="1"/>
    </xf>
    <xf numFmtId="0" fontId="6" fillId="0" borderId="67" xfId="0" applyNumberFormat="1" applyFont="1" applyFill="1" applyBorder="1" applyAlignment="1">
      <alignment horizontal="left" vertical="center" wrapText="1" indent="1"/>
    </xf>
    <xf numFmtId="0" fontId="6" fillId="0" borderId="41" xfId="0" applyNumberFormat="1" applyFont="1" applyFill="1" applyBorder="1" applyAlignment="1">
      <alignment horizontal="left" vertical="center" wrapText="1" indent="1"/>
    </xf>
    <xf numFmtId="0" fontId="63" fillId="0" borderId="15"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29" xfId="0" applyNumberFormat="1" applyFont="1" applyFill="1" applyBorder="1" applyAlignment="1">
      <alignment horizontal="center" vertical="center" wrapText="1"/>
    </xf>
    <xf numFmtId="0" fontId="2" fillId="0" borderId="27" xfId="0" applyNumberFormat="1" applyFont="1" applyFill="1" applyBorder="1" applyAlignment="1">
      <alignment horizontal="center" vertical="center" wrapText="1"/>
    </xf>
    <xf numFmtId="0" fontId="4" fillId="0" borderId="30" xfId="42" applyNumberFormat="1" applyFont="1" applyBorder="1" applyAlignment="1">
      <alignment horizontal="center" vertical="center" wrapText="1"/>
    </xf>
    <xf numFmtId="0" fontId="4" fillId="0" borderId="31" xfId="42" applyNumberFormat="1" applyFont="1" applyBorder="1" applyAlignment="1">
      <alignment horizontal="center" vertical="center" wrapText="1"/>
    </xf>
    <xf numFmtId="0" fontId="4" fillId="0" borderId="36" xfId="42" applyNumberFormat="1"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6" xfId="0" applyFont="1" applyBorder="1" applyAlignment="1">
      <alignment horizontal="center" vertical="center" wrapText="1"/>
    </xf>
    <xf numFmtId="0" fontId="6" fillId="0" borderId="75" xfId="0" applyFont="1" applyBorder="1" applyAlignment="1">
      <alignment horizontal="left" vertical="center" wrapText="1" indent="1"/>
    </xf>
    <xf numFmtId="0" fontId="6" fillId="0" borderId="50" xfId="0" applyFont="1" applyBorder="1" applyAlignment="1">
      <alignment horizontal="left" vertical="center" wrapText="1" indent="1"/>
    </xf>
    <xf numFmtId="0" fontId="6" fillId="0" borderId="54" xfId="0" applyFont="1" applyBorder="1" applyAlignment="1">
      <alignment horizontal="left" vertical="center" wrapText="1" indent="1"/>
    </xf>
    <xf numFmtId="0" fontId="6" fillId="0" borderId="29" xfId="0" applyNumberFormat="1" applyFont="1" applyBorder="1" applyAlignment="1">
      <alignment horizontal="center" vertical="center" wrapText="1"/>
    </xf>
    <xf numFmtId="0" fontId="6" fillId="0" borderId="34" xfId="0" applyNumberFormat="1" applyFont="1" applyBorder="1" applyAlignment="1">
      <alignment horizontal="center" vertical="center" wrapText="1"/>
    </xf>
    <xf numFmtId="0" fontId="10" fillId="0" borderId="63" xfId="0" applyNumberFormat="1" applyFont="1" applyBorder="1" applyAlignment="1">
      <alignment horizontal="center" vertical="center" wrapText="1"/>
    </xf>
    <xf numFmtId="0" fontId="10" fillId="0" borderId="58" xfId="0" applyNumberFormat="1" applyFont="1" applyBorder="1" applyAlignment="1">
      <alignment horizontal="center" vertical="center" wrapText="1"/>
    </xf>
    <xf numFmtId="0" fontId="10" fillId="0" borderId="59" xfId="0" applyNumberFormat="1" applyFont="1" applyBorder="1" applyAlignment="1">
      <alignment horizontal="center" vertical="center" wrapText="1"/>
    </xf>
    <xf numFmtId="0" fontId="28" fillId="0" borderId="46" xfId="0" applyNumberFormat="1" applyFont="1" applyBorder="1" applyAlignment="1">
      <alignment horizontal="left" vertical="center" wrapText="1"/>
    </xf>
    <xf numFmtId="0" fontId="27" fillId="0" borderId="35" xfId="0" applyNumberFormat="1" applyFont="1" applyBorder="1" applyAlignment="1">
      <alignment horizontal="left" vertical="center"/>
    </xf>
    <xf numFmtId="0" fontId="27" fillId="0" borderId="46" xfId="0" applyNumberFormat="1" applyFont="1" applyBorder="1" applyAlignment="1">
      <alignment horizontal="left" vertical="center"/>
    </xf>
    <xf numFmtId="0" fontId="27" fillId="0" borderId="47" xfId="0" applyNumberFormat="1" applyFont="1" applyBorder="1" applyAlignment="1">
      <alignment horizontal="left" vertical="center"/>
    </xf>
    <xf numFmtId="0" fontId="27" fillId="0" borderId="37" xfId="0" applyNumberFormat="1" applyFont="1" applyBorder="1" applyAlignment="1">
      <alignment horizontal="left" vertical="center"/>
    </xf>
    <xf numFmtId="0" fontId="27" fillId="0" borderId="50" xfId="0" applyNumberFormat="1" applyFont="1" applyBorder="1" applyAlignment="1">
      <alignment horizontal="left" vertical="center"/>
    </xf>
    <xf numFmtId="0" fontId="27" fillId="0" borderId="32" xfId="0" applyNumberFormat="1" applyFont="1" applyBorder="1" applyAlignment="1">
      <alignment horizontal="left" vertical="center"/>
    </xf>
    <xf numFmtId="0" fontId="4" fillId="0" borderId="31"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0" fontId="4" fillId="0" borderId="69" xfId="39" applyNumberFormat="1" applyFont="1" applyBorder="1" applyAlignment="1">
      <alignment horizontal="center" vertical="center" wrapText="1"/>
    </xf>
    <xf numFmtId="0" fontId="4" fillId="0" borderId="70" xfId="39" applyNumberFormat="1" applyFont="1" applyBorder="1" applyAlignment="1">
      <alignment horizontal="center" vertical="center" wrapText="1"/>
    </xf>
    <xf numFmtId="0" fontId="4" fillId="0" borderId="74" xfId="39" applyNumberFormat="1" applyFont="1" applyBorder="1" applyAlignment="1">
      <alignment horizontal="center" vertical="center" wrapText="1"/>
    </xf>
    <xf numFmtId="0" fontId="4" fillId="0" borderId="71" xfId="39" applyNumberFormat="1" applyFont="1" applyBorder="1" applyAlignment="1">
      <alignment horizontal="center" vertical="center" wrapText="1"/>
    </xf>
    <xf numFmtId="0" fontId="6" fillId="0" borderId="30" xfId="39" applyNumberFormat="1" applyFont="1" applyBorder="1" applyAlignment="1">
      <alignment horizontal="left" vertical="center" wrapText="1" indent="1"/>
    </xf>
    <xf numFmtId="0" fontId="6" fillId="0" borderId="31" xfId="39" applyNumberFormat="1" applyFont="1" applyBorder="1" applyAlignment="1">
      <alignment horizontal="left" vertical="center" wrapText="1" indent="1"/>
    </xf>
    <xf numFmtId="0" fontId="6" fillId="0" borderId="53" xfId="39" applyNumberFormat="1" applyFont="1" applyBorder="1" applyAlignment="1">
      <alignment horizontal="left" vertical="center" wrapText="1" indent="1"/>
    </xf>
    <xf numFmtId="0" fontId="6" fillId="0" borderId="36" xfId="39" applyNumberFormat="1" applyFont="1" applyBorder="1" applyAlignment="1">
      <alignment horizontal="left" vertical="center" wrapText="1" indent="1"/>
    </xf>
    <xf numFmtId="0" fontId="6" fillId="0" borderId="25" xfId="39" applyNumberFormat="1" applyFont="1" applyBorder="1" applyAlignment="1">
      <alignment horizontal="center" vertical="center" wrapText="1"/>
    </xf>
    <xf numFmtId="0" fontId="6" fillId="0" borderId="24" xfId="39" applyNumberFormat="1" applyFont="1" applyBorder="1" applyAlignment="1">
      <alignment horizontal="center" vertical="center" wrapText="1"/>
    </xf>
    <xf numFmtId="0" fontId="22" fillId="0" borderId="13" xfId="90" applyFont="1" applyBorder="1" applyAlignment="1">
      <alignment horizontal="left" vertical="center" wrapText="1"/>
    </xf>
    <xf numFmtId="0" fontId="6" fillId="0" borderId="29" xfId="39" applyNumberFormat="1" applyFont="1" applyBorder="1" applyAlignment="1">
      <alignment horizontal="center" vertical="center" wrapText="1"/>
    </xf>
    <xf numFmtId="0" fontId="2" fillId="0" borderId="37" xfId="39" applyNumberFormat="1" applyFont="1" applyBorder="1" applyAlignment="1">
      <alignment horizontal="center" vertical="center" wrapText="1"/>
    </xf>
    <xf numFmtId="0" fontId="2" fillId="0" borderId="13" xfId="39" applyNumberFormat="1" applyFont="1" applyBorder="1" applyAlignment="1">
      <alignment horizontal="center" vertical="center" wrapText="1"/>
    </xf>
    <xf numFmtId="0" fontId="6" fillId="0" borderId="50" xfId="90" applyNumberFormat="1" applyFont="1" applyBorder="1" applyAlignment="1">
      <alignment horizontal="center" vertical="center" wrapText="1"/>
    </xf>
    <xf numFmtId="0" fontId="6" fillId="0" borderId="54" xfId="90" applyNumberFormat="1" applyFont="1" applyBorder="1" applyAlignment="1">
      <alignment horizontal="center" vertical="center" wrapText="1"/>
    </xf>
    <xf numFmtId="0" fontId="10" fillId="0" borderId="63" xfId="90" applyNumberFormat="1" applyFont="1" applyBorder="1" applyAlignment="1">
      <alignment horizontal="center" vertical="center" wrapText="1"/>
    </xf>
    <xf numFmtId="0" fontId="10" fillId="0" borderId="58" xfId="90" applyNumberFormat="1" applyFont="1" applyBorder="1" applyAlignment="1">
      <alignment horizontal="center" vertical="center" wrapText="1"/>
    </xf>
    <xf numFmtId="0" fontId="10" fillId="0" borderId="59" xfId="90" applyNumberFormat="1" applyFont="1" applyBorder="1" applyAlignment="1">
      <alignment horizontal="center" vertical="center" wrapText="1"/>
    </xf>
    <xf numFmtId="0" fontId="6" fillId="0" borderId="61" xfId="90" applyNumberFormat="1" applyFont="1" applyBorder="1" applyAlignment="1">
      <alignment horizontal="left" vertical="center" wrapText="1" indent="1"/>
    </xf>
    <xf numFmtId="0" fontId="6" fillId="0" borderId="40" xfId="90" applyNumberFormat="1" applyFont="1" applyBorder="1" applyAlignment="1">
      <alignment horizontal="left" vertical="center" wrapText="1" indent="1"/>
    </xf>
    <xf numFmtId="0" fontId="6" fillId="0" borderId="60" xfId="90" applyNumberFormat="1" applyFont="1" applyBorder="1" applyAlignment="1">
      <alignment horizontal="center" vertical="center" wrapText="1"/>
    </xf>
    <xf numFmtId="0" fontId="6" fillId="0" borderId="41" xfId="90" applyNumberFormat="1" applyFont="1" applyBorder="1" applyAlignment="1">
      <alignment horizontal="center" vertical="center" wrapText="1"/>
    </xf>
    <xf numFmtId="0" fontId="75" fillId="0" borderId="53" xfId="90" applyNumberFormat="1" applyFont="1" applyBorder="1" applyAlignment="1">
      <alignment horizontal="center" vertical="center" wrapText="1"/>
    </xf>
    <xf numFmtId="0" fontId="75" fillId="0" borderId="59" xfId="90" applyNumberFormat="1" applyFont="1" applyBorder="1" applyAlignment="1">
      <alignment horizontal="center" vertical="center" wrapText="1"/>
    </xf>
    <xf numFmtId="0" fontId="22" fillId="0" borderId="13" xfId="90" applyFont="1" applyBorder="1" applyAlignment="1">
      <alignment horizontal="left" vertical="center"/>
    </xf>
    <xf numFmtId="0" fontId="2" fillId="0" borderId="21" xfId="90" applyNumberFormat="1" applyFont="1" applyBorder="1" applyAlignment="1">
      <alignment horizontal="center" vertical="center" wrapText="1"/>
    </xf>
    <xf numFmtId="0" fontId="2" fillId="0" borderId="33" xfId="90" applyNumberFormat="1" applyFont="1" applyBorder="1" applyAlignment="1">
      <alignment horizontal="center" vertical="center" wrapText="1"/>
    </xf>
    <xf numFmtId="0" fontId="2" fillId="0" borderId="13" xfId="90" applyNumberFormat="1" applyFont="1" applyBorder="1" applyAlignment="1">
      <alignment horizontal="center" vertical="center" wrapText="1"/>
    </xf>
    <xf numFmtId="0" fontId="6" fillId="0" borderId="52" xfId="90" applyNumberFormat="1" applyFont="1" applyBorder="1" applyAlignment="1">
      <alignment horizontal="center" vertical="center" wrapText="1"/>
    </xf>
    <xf numFmtId="0" fontId="6" fillId="0" borderId="38" xfId="90" applyNumberFormat="1" applyFont="1" applyBorder="1" applyAlignment="1">
      <alignment horizontal="center" vertical="center" wrapText="1"/>
    </xf>
    <xf numFmtId="0" fontId="22" fillId="0" borderId="35" xfId="90" applyFont="1" applyBorder="1" applyAlignment="1">
      <alignment horizontal="left" vertical="center"/>
    </xf>
    <xf numFmtId="0" fontId="22" fillId="0" borderId="46" xfId="90" applyFont="1" applyBorder="1" applyAlignment="1">
      <alignment horizontal="left" vertical="center"/>
    </xf>
    <xf numFmtId="0" fontId="22" fillId="0" borderId="47" xfId="90" applyFont="1" applyBorder="1" applyAlignment="1">
      <alignment horizontal="left" vertical="center"/>
    </xf>
    <xf numFmtId="0" fontId="22" fillId="0" borderId="37" xfId="90" applyFont="1" applyBorder="1" applyAlignment="1">
      <alignment horizontal="left" vertical="center" wrapText="1"/>
    </xf>
    <xf numFmtId="0" fontId="22" fillId="0" borderId="50" xfId="90" applyFont="1" applyBorder="1" applyAlignment="1">
      <alignment horizontal="left" vertical="center" wrapText="1"/>
    </xf>
    <xf numFmtId="0" fontId="22" fillId="0" borderId="32" xfId="90" applyFont="1" applyBorder="1" applyAlignment="1">
      <alignment horizontal="left" vertical="center" wrapText="1"/>
    </xf>
    <xf numFmtId="0" fontId="2" fillId="0" borderId="22" xfId="90" applyNumberFormat="1" applyFont="1" applyBorder="1" applyAlignment="1">
      <alignment horizontal="center" vertical="center" wrapText="1"/>
    </xf>
    <xf numFmtId="0" fontId="2" fillId="0" borderId="47" xfId="90" applyNumberFormat="1" applyFont="1" applyBorder="1" applyAlignment="1">
      <alignment horizontal="center" vertical="center" wrapText="1"/>
    </xf>
    <xf numFmtId="0" fontId="2" fillId="0" borderId="32" xfId="90" applyNumberFormat="1" applyFont="1" applyBorder="1" applyAlignment="1">
      <alignment horizontal="center" vertical="center" wrapText="1"/>
    </xf>
    <xf numFmtId="0" fontId="10" fillId="0" borderId="63" xfId="44" applyNumberFormat="1" applyFont="1" applyBorder="1" applyAlignment="1">
      <alignment horizontal="center" vertical="center" wrapText="1"/>
    </xf>
    <xf numFmtId="0" fontId="10" fillId="0" borderId="58" xfId="44" applyNumberFormat="1" applyFont="1" applyBorder="1" applyAlignment="1">
      <alignment horizontal="center" vertical="center" wrapText="1"/>
    </xf>
    <xf numFmtId="0" fontId="10" fillId="0" borderId="59" xfId="44" applyNumberFormat="1" applyFont="1" applyBorder="1" applyAlignment="1">
      <alignment horizontal="center" vertical="center" wrapText="1"/>
    </xf>
    <xf numFmtId="0" fontId="22" fillId="0" borderId="20" xfId="0" applyFont="1" applyBorder="1" applyAlignment="1">
      <alignment horizontal="left" vertical="center"/>
    </xf>
    <xf numFmtId="0" fontId="22" fillId="0" borderId="52" xfId="0" applyFont="1" applyBorder="1" applyAlignment="1">
      <alignment horizontal="left" vertical="center"/>
    </xf>
    <xf numFmtId="0" fontId="22" fillId="0" borderId="27" xfId="0" applyFont="1" applyBorder="1" applyAlignment="1">
      <alignment horizontal="left" vertical="center"/>
    </xf>
    <xf numFmtId="0" fontId="22" fillId="0" borderId="0" xfId="0" applyFont="1" applyBorder="1" applyAlignment="1">
      <alignment horizontal="left" vertical="center" wrapText="1"/>
    </xf>
    <xf numFmtId="0" fontId="6" fillId="0" borderId="22" xfId="44" applyNumberFormat="1" applyFont="1" applyBorder="1" applyAlignment="1">
      <alignment horizontal="center" vertical="center" wrapText="1"/>
    </xf>
    <xf numFmtId="0" fontId="6" fillId="0" borderId="15" xfId="44" applyNumberFormat="1" applyFont="1" applyBorder="1" applyAlignment="1">
      <alignment horizontal="center" vertical="center" wrapText="1"/>
    </xf>
    <xf numFmtId="0" fontId="4" fillId="0" borderId="29"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52" fillId="32" borderId="15" xfId="41" applyNumberFormat="1" applyFont="1" applyFill="1" applyBorder="1" applyAlignment="1"/>
    <xf numFmtId="0" fontId="52" fillId="32" borderId="13" xfId="41" applyNumberFormat="1" applyFont="1" applyFill="1" applyBorder="1" applyAlignment="1"/>
    <xf numFmtId="0" fontId="52" fillId="0" borderId="15" xfId="41" applyNumberFormat="1" applyFont="1" applyBorder="1" applyAlignment="1"/>
    <xf numFmtId="0" fontId="52" fillId="0" borderId="13" xfId="41" applyNumberFormat="1" applyFont="1" applyBorder="1" applyAlignment="1"/>
    <xf numFmtId="0" fontId="52" fillId="32" borderId="16" xfId="41" applyNumberFormat="1" applyFont="1" applyFill="1" applyBorder="1" applyAlignment="1"/>
    <xf numFmtId="0" fontId="52" fillId="32" borderId="17" xfId="41" applyNumberFormat="1" applyFont="1" applyFill="1" applyBorder="1" applyAlignment="1"/>
    <xf numFmtId="0" fontId="10" fillId="0" borderId="63" xfId="43" applyNumberFormat="1" applyFont="1" applyBorder="1" applyAlignment="1">
      <alignment horizontal="center" vertical="center" wrapText="1"/>
    </xf>
    <xf numFmtId="0" fontId="10" fillId="0" borderId="58" xfId="43" applyNumberFormat="1" applyFont="1" applyBorder="1" applyAlignment="1">
      <alignment horizontal="center" vertical="center" wrapText="1"/>
    </xf>
    <xf numFmtId="0" fontId="10" fillId="0" borderId="59" xfId="43" applyNumberFormat="1" applyFont="1" applyBorder="1" applyAlignment="1">
      <alignment horizontal="center" vertical="center" wrapText="1"/>
    </xf>
    <xf numFmtId="0" fontId="6" fillId="0" borderId="63" xfId="43" applyNumberFormat="1" applyFont="1" applyBorder="1" applyAlignment="1">
      <alignment horizontal="left" vertical="center" wrapText="1" indent="1"/>
    </xf>
    <xf numFmtId="0" fontId="6" fillId="0" borderId="58" xfId="43" applyNumberFormat="1" applyFont="1" applyBorder="1" applyAlignment="1">
      <alignment horizontal="left" vertical="center" wrapText="1" indent="1"/>
    </xf>
    <xf numFmtId="0" fontId="6" fillId="0" borderId="59" xfId="43" applyNumberFormat="1" applyFont="1" applyBorder="1" applyAlignment="1">
      <alignment horizontal="left" vertical="center" wrapText="1" indent="1"/>
    </xf>
    <xf numFmtId="0" fontId="6" fillId="0" borderId="63" xfId="0" applyNumberFormat="1" applyFont="1" applyBorder="1" applyAlignment="1">
      <alignment horizontal="left" vertical="center" wrapText="1"/>
    </xf>
    <xf numFmtId="0" fontId="6" fillId="0" borderId="58" xfId="0" applyNumberFormat="1" applyFont="1" applyBorder="1" applyAlignment="1">
      <alignment horizontal="left" vertical="center" wrapText="1"/>
    </xf>
    <xf numFmtId="0" fontId="6" fillId="0" borderId="59" xfId="0" applyNumberFormat="1" applyFont="1" applyBorder="1" applyAlignment="1">
      <alignment horizontal="left" vertical="center" wrapText="1"/>
    </xf>
    <xf numFmtId="0" fontId="10" fillId="0" borderId="66" xfId="0" applyNumberFormat="1" applyFont="1" applyBorder="1" applyAlignment="1">
      <alignment horizontal="center" vertical="center" wrapText="1"/>
    </xf>
    <xf numFmtId="0" fontId="10" fillId="0" borderId="67" xfId="0" applyNumberFormat="1" applyFont="1" applyBorder="1" applyAlignment="1">
      <alignment horizontal="center" vertical="center" wrapText="1"/>
    </xf>
    <xf numFmtId="0" fontId="10" fillId="0" borderId="68" xfId="0" applyNumberFormat="1" applyFont="1" applyBorder="1" applyAlignment="1">
      <alignment horizontal="center" vertical="center" wrapText="1"/>
    </xf>
    <xf numFmtId="0" fontId="52" fillId="32" borderId="30" xfId="41" applyNumberFormat="1" applyFont="1" applyFill="1" applyBorder="1" applyAlignment="1">
      <alignment horizontal="left" vertical="center" indent="1"/>
    </xf>
    <xf numFmtId="0" fontId="52" fillId="32" borderId="31" xfId="41" applyNumberFormat="1" applyFont="1" applyFill="1" applyBorder="1" applyAlignment="1">
      <alignment horizontal="left" vertical="center" indent="1"/>
    </xf>
    <xf numFmtId="0" fontId="2" fillId="0" borderId="62" xfId="0" applyNumberFormat="1" applyFont="1" applyBorder="1" applyAlignment="1">
      <alignment horizontal="center" vertical="center" wrapText="1"/>
    </xf>
    <xf numFmtId="0" fontId="2" fillId="0" borderId="27" xfId="0" applyNumberFormat="1" applyFont="1" applyBorder="1" applyAlignment="1">
      <alignment horizontal="center" vertical="center" wrapText="1"/>
    </xf>
    <xf numFmtId="0" fontId="6" fillId="37" borderId="35" xfId="0" applyNumberFormat="1" applyFont="1" applyFill="1" applyBorder="1" applyAlignment="1">
      <alignment horizontal="center" vertical="center" wrapText="1"/>
    </xf>
    <xf numFmtId="0" fontId="6" fillId="37" borderId="37" xfId="0" applyNumberFormat="1" applyFont="1" applyFill="1" applyBorder="1" applyAlignment="1">
      <alignment horizontal="center" vertical="center" wrapText="1"/>
    </xf>
    <xf numFmtId="0" fontId="6" fillId="37" borderId="85" xfId="0" applyNumberFormat="1" applyFont="1" applyFill="1" applyBorder="1" applyAlignment="1">
      <alignment horizontal="center" vertical="center" wrapText="1"/>
    </xf>
    <xf numFmtId="0" fontId="6" fillId="37" borderId="84" xfId="0" applyNumberFormat="1" applyFont="1" applyFill="1" applyBorder="1" applyAlignment="1">
      <alignment horizontal="center" vertical="center" wrapText="1"/>
    </xf>
    <xf numFmtId="0" fontId="66" fillId="0" borderId="60" xfId="0" applyNumberFormat="1" applyFont="1" applyBorder="1" applyAlignment="1">
      <alignment horizontal="center" vertical="center" wrapText="1"/>
    </xf>
    <xf numFmtId="0" fontId="66" fillId="0" borderId="67" xfId="0" applyNumberFormat="1" applyFont="1" applyBorder="1" applyAlignment="1">
      <alignment horizontal="center" vertical="center" wrapText="1"/>
    </xf>
    <xf numFmtId="0" fontId="66" fillId="0" borderId="68" xfId="0" applyNumberFormat="1" applyFont="1" applyBorder="1" applyAlignment="1">
      <alignment horizontal="center" vertical="center" wrapText="1"/>
    </xf>
    <xf numFmtId="0" fontId="6" fillId="37" borderId="19" xfId="0" applyNumberFormat="1" applyFont="1" applyFill="1" applyBorder="1" applyAlignment="1">
      <alignment horizontal="center" vertical="center" wrapText="1"/>
    </xf>
    <xf numFmtId="0" fontId="6" fillId="37" borderId="29" xfId="0" applyNumberFormat="1" applyFont="1" applyFill="1" applyBorder="1" applyAlignment="1">
      <alignment horizontal="center" vertical="center" wrapText="1"/>
    </xf>
    <xf numFmtId="0" fontId="7" fillId="0" borderId="50" xfId="0" applyFont="1" applyBorder="1" applyAlignment="1">
      <alignment horizontal="left"/>
    </xf>
    <xf numFmtId="0" fontId="4" fillId="0" borderId="6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40" xfId="0" applyFont="1" applyBorder="1" applyAlignment="1">
      <alignment horizontal="center" vertical="center" wrapText="1"/>
    </xf>
  </cellXfs>
  <cellStyles count="9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Čiarka" xfId="27" builtinId="3"/>
    <cellStyle name="čiarky 2" xfId="28"/>
    <cellStyle name="Dobrá" xfId="92" builtinId="26"/>
    <cellStyle name="Explanatory Text" xfId="29"/>
    <cellStyle name="Good" xfId="30"/>
    <cellStyle name="Heading 1" xfId="31"/>
    <cellStyle name="Heading 2" xfId="32"/>
    <cellStyle name="Heading 3" xfId="33"/>
    <cellStyle name="Heading 4" xfId="34"/>
    <cellStyle name="Check Cell" xfId="35"/>
    <cellStyle name="Input" xfId="36"/>
    <cellStyle name="Linked Cell" xfId="37"/>
    <cellStyle name="Neutral" xfId="38"/>
    <cellStyle name="Normálna" xfId="0" builtinId="0"/>
    <cellStyle name="Normálna 2" xfId="39"/>
    <cellStyle name="Normálna 2 2 2" xfId="90"/>
    <cellStyle name="Normálna 3" xfId="89"/>
    <cellStyle name="normálne 2" xfId="40"/>
    <cellStyle name="normálne 3" xfId="41"/>
    <cellStyle name="normálne 4" xfId="42"/>
    <cellStyle name="normálne_Databazy_VVŠ_2007_ severská" xfId="43"/>
    <cellStyle name="normálne_Databazy_VVŠ_2007_ severská 2" xfId="91"/>
    <cellStyle name="normálne_sprava_VVŠ_2004_tabuľky_vláda" xfId="44"/>
    <cellStyle name="normální_List1" xfId="45"/>
    <cellStyle name="Note" xfId="46"/>
    <cellStyle name="Output" xfId="47"/>
    <cellStyle name="SAPBEXaggData" xfId="48"/>
    <cellStyle name="SAPBEXaggDataEmph" xfId="49"/>
    <cellStyle name="SAPBEXaggItem" xfId="50"/>
    <cellStyle name="SAPBEXaggItemX" xfId="51"/>
    <cellStyle name="SAPBEXexcBad7" xfId="52"/>
    <cellStyle name="SAPBEXexcBad8" xfId="53"/>
    <cellStyle name="SAPBEXexcBad9" xfId="54"/>
    <cellStyle name="SAPBEXexcCritical4" xfId="55"/>
    <cellStyle name="SAPBEXexcCritical5" xfId="56"/>
    <cellStyle name="SAPBEXexcCritical6" xfId="57"/>
    <cellStyle name="SAPBEXexcGood1" xfId="58"/>
    <cellStyle name="SAPBEXexcGood2" xfId="59"/>
    <cellStyle name="SAPBEXexcGood3" xfId="60"/>
    <cellStyle name="SAPBEXfilterDrill" xfId="61"/>
    <cellStyle name="SAPBEXfilterItem" xfId="62"/>
    <cellStyle name="SAPBEXfilterText" xfId="63"/>
    <cellStyle name="SAPBEXformats" xfId="64"/>
    <cellStyle name="SAPBEXheaderItem" xfId="65"/>
    <cellStyle name="SAPBEXheaderText" xfId="66"/>
    <cellStyle name="SAPBEXHLevel0" xfId="67"/>
    <cellStyle name="SAPBEXHLevel0X" xfId="68"/>
    <cellStyle name="SAPBEXHLevel1" xfId="69"/>
    <cellStyle name="SAPBEXHLevel1X" xfId="70"/>
    <cellStyle name="SAPBEXHLevel2" xfId="71"/>
    <cellStyle name="SAPBEXHLevel2X" xfId="72"/>
    <cellStyle name="SAPBEXHLevel3" xfId="73"/>
    <cellStyle name="SAPBEXHLevel3X" xfId="74"/>
    <cellStyle name="SAPBEXchaText" xfId="75"/>
    <cellStyle name="SAPBEXresData" xfId="76"/>
    <cellStyle name="SAPBEXresDataEmph" xfId="77"/>
    <cellStyle name="SAPBEXresItem" xfId="78"/>
    <cellStyle name="SAPBEXresItemX" xfId="79"/>
    <cellStyle name="SAPBEXstdData" xfId="80"/>
    <cellStyle name="SAPBEXstdDataEmph" xfId="81"/>
    <cellStyle name="SAPBEXstdItem" xfId="82"/>
    <cellStyle name="SAPBEXstdItemX" xfId="83"/>
    <cellStyle name="SAPBEXtitle" xfId="84"/>
    <cellStyle name="SAPBEXundefined" xfId="85"/>
    <cellStyle name="Title" xfId="86"/>
    <cellStyle name="Total" xfId="87"/>
    <cellStyle name="Warning Text" xfId="88"/>
  </cellStyles>
  <dxfs count="0"/>
  <tableStyles count="0" defaultTableStyle="TableStyleMedium9" defaultPivotStyle="PivotStyleLight16"/>
  <colors>
    <mruColors>
      <color rgb="FF0000FF"/>
      <color rgb="FF99FF99"/>
      <color rgb="FF99FFCC"/>
      <color rgb="FF66FF99"/>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22</xdr:row>
      <xdr:rowOff>142875</xdr:rowOff>
    </xdr:from>
    <xdr:to>
      <xdr:col>14</xdr:col>
      <xdr:colOff>288106</xdr:colOff>
      <xdr:row>35</xdr:row>
      <xdr:rowOff>343</xdr:rowOff>
    </xdr:to>
    <xdr:pic>
      <xdr:nvPicPr>
        <xdr:cNvPr id="2" name="Obrázok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38125" y="7753350"/>
          <a:ext cx="16880656" cy="24577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180975</xdr:rowOff>
    </xdr:from>
    <xdr:to>
      <xdr:col>15</xdr:col>
      <xdr:colOff>240521</xdr:colOff>
      <xdr:row>35</xdr:row>
      <xdr:rowOff>47913</xdr:rowOff>
    </xdr:to>
    <xdr:pic>
      <xdr:nvPicPr>
        <xdr:cNvPr id="3" name="Obrázok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7877175"/>
          <a:ext cx="17166446" cy="20672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11</xdr:col>
      <xdr:colOff>478646</xdr:colOff>
      <xdr:row>39</xdr:row>
      <xdr:rowOff>67103</xdr:rowOff>
    </xdr:to>
    <xdr:pic>
      <xdr:nvPicPr>
        <xdr:cNvPr id="2" name="Obrázo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542925" y="11191875"/>
          <a:ext cx="17166446" cy="3067478"/>
        </a:xfrm>
        <a:prstGeom prst="rect">
          <a:avLst/>
        </a:prstGeom>
      </xdr:spPr>
    </xdr:pic>
    <xdr:clientData/>
  </xdr:twoCellAnchor>
  <xdr:twoCellAnchor editAs="oneCell">
    <xdr:from>
      <xdr:col>1</xdr:col>
      <xdr:colOff>0</xdr:colOff>
      <xdr:row>43</xdr:row>
      <xdr:rowOff>0</xdr:rowOff>
    </xdr:from>
    <xdr:to>
      <xdr:col>11</xdr:col>
      <xdr:colOff>440540</xdr:colOff>
      <xdr:row>60</xdr:row>
      <xdr:rowOff>10001</xdr:rowOff>
    </xdr:to>
    <xdr:pic>
      <xdr:nvPicPr>
        <xdr:cNvPr id="3" name="Obrázok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542925" y="14992350"/>
          <a:ext cx="17128340" cy="34104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0.0.145/Documents%20and%20Settings/mederly/Local%20Settings/Temporary%20Internet%20Files/OLK185F/struktura%20zamestnancov%20po%20fakultach_PM%2004-1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stupy"/>
      <sheetName val="struktura profesorov"/>
      <sheetName val="struktura docentov"/>
      <sheetName val="T7-systemizacia po fakultach"/>
      <sheetName val="T8-vek profesorov"/>
      <sheetName val="T9-vek docentov"/>
      <sheetName val="10-ostatní_s_PhD"/>
      <sheetName val="studetni verzus miesta"/>
      <sheetName val="vahy"/>
      <sheetName val="nepublikovat"/>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ow r="1">
          <cell r="B1">
            <v>1</v>
          </cell>
        </row>
        <row r="2">
          <cell r="B2">
            <v>0.3</v>
          </cell>
        </row>
        <row r="3">
          <cell r="B3">
            <v>3</v>
          </cell>
        </row>
        <row r="4">
          <cell r="B4">
            <v>0</v>
          </cell>
        </row>
      </sheetData>
      <sheetData sheetId="9" refreshError="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tabColor indexed="42"/>
    <pageSetUpPr fitToPage="1"/>
  </sheetPr>
  <dimension ref="A1:E23"/>
  <sheetViews>
    <sheetView zoomScaleNormal="100" workbookViewId="0">
      <pane xSplit="2" ySplit="4" topLeftCell="C5" activePane="bottomRight" state="frozen"/>
      <selection sqref="A1:E1"/>
      <selection pane="topRight" sqref="A1:E1"/>
      <selection pane="bottomLeft" sqref="A1:E1"/>
      <selection pane="bottomRight" activeCell="E14" sqref="E14"/>
    </sheetView>
  </sheetViews>
  <sheetFormatPr defaultColWidth="9.140625" defaultRowHeight="15.75" x14ac:dyDescent="0.2"/>
  <cols>
    <col min="1" max="1" width="9.140625" style="18" customWidth="1"/>
    <col min="2" max="2" width="77.85546875" style="25" customWidth="1"/>
    <col min="3" max="5" width="17.42578125" style="13" customWidth="1"/>
    <col min="6" max="16384" width="9.140625" style="13"/>
  </cols>
  <sheetData>
    <row r="1" spans="1:5" s="252" customFormat="1" ht="87" customHeight="1" thickBot="1" x14ac:dyDescent="0.25">
      <c r="A1" s="786" t="s">
        <v>807</v>
      </c>
      <c r="B1" s="787"/>
      <c r="C1" s="787"/>
      <c r="D1" s="787"/>
      <c r="E1" s="788"/>
    </row>
    <row r="2" spans="1:5" s="252" customFormat="1" ht="35.1" customHeight="1" x14ac:dyDescent="0.2">
      <c r="A2" s="789" t="s">
        <v>1053</v>
      </c>
      <c r="B2" s="790"/>
      <c r="C2" s="790"/>
      <c r="D2" s="790"/>
      <c r="E2" s="791"/>
    </row>
    <row r="3" spans="1:5" s="255" customFormat="1" ht="43.5" customHeight="1" x14ac:dyDescent="0.2">
      <c r="A3" s="253" t="s">
        <v>80</v>
      </c>
      <c r="B3" s="237" t="s">
        <v>79</v>
      </c>
      <c r="C3" s="237" t="s">
        <v>134</v>
      </c>
      <c r="D3" s="237" t="s">
        <v>135</v>
      </c>
      <c r="E3" s="254" t="s">
        <v>84</v>
      </c>
    </row>
    <row r="4" spans="1:5" s="255" customFormat="1" ht="17.25" customHeight="1" x14ac:dyDescent="0.2">
      <c r="A4" s="256"/>
      <c r="B4" s="238"/>
      <c r="C4" s="257" t="s">
        <v>119</v>
      </c>
      <c r="D4" s="257" t="s">
        <v>120</v>
      </c>
      <c r="E4" s="258" t="s">
        <v>8</v>
      </c>
    </row>
    <row r="5" spans="1:5" x14ac:dyDescent="0.2">
      <c r="A5" s="19">
        <v>1</v>
      </c>
      <c r="B5" s="238" t="s">
        <v>169</v>
      </c>
      <c r="C5" s="26">
        <f>C6</f>
        <v>30662329</v>
      </c>
      <c r="D5" s="26">
        <f>D6</f>
        <v>520000</v>
      </c>
      <c r="E5" s="27">
        <f>SUM(C5:D5)</f>
        <v>31182329</v>
      </c>
    </row>
    <row r="6" spans="1:5" x14ac:dyDescent="0.2">
      <c r="A6" s="19">
        <f>A5+1</f>
        <v>2</v>
      </c>
      <c r="B6" s="239" t="s">
        <v>106</v>
      </c>
      <c r="C6" s="71">
        <v>30662329</v>
      </c>
      <c r="D6" s="71">
        <v>520000</v>
      </c>
      <c r="E6" s="27">
        <f>SUM(C6:D6)</f>
        <v>31182329</v>
      </c>
    </row>
    <row r="7" spans="1:5" ht="15.75" customHeight="1" x14ac:dyDescent="0.2">
      <c r="A7" s="19">
        <f>A6+1</f>
        <v>3</v>
      </c>
      <c r="B7" s="238" t="s">
        <v>170</v>
      </c>
      <c r="C7" s="26">
        <f>SUM(C8:C12)</f>
        <v>14500015</v>
      </c>
      <c r="D7" s="26">
        <f>SUM(D8:D12)</f>
        <v>0</v>
      </c>
      <c r="E7" s="27">
        <f>SUM(C7:D7)</f>
        <v>14500015</v>
      </c>
    </row>
    <row r="8" spans="1:5" x14ac:dyDescent="0.2">
      <c r="A8" s="19">
        <f t="shared" ref="A8:A19" si="0">A7+1</f>
        <v>4</v>
      </c>
      <c r="B8" s="239" t="s">
        <v>107</v>
      </c>
      <c r="C8" s="28">
        <v>13274319</v>
      </c>
      <c r="D8" s="153" t="s">
        <v>140</v>
      </c>
      <c r="E8" s="27">
        <f t="shared" ref="E8:E19" si="1">SUM(C8:D8)</f>
        <v>13274319</v>
      </c>
    </row>
    <row r="9" spans="1:5" x14ac:dyDescent="0.2">
      <c r="A9" s="19">
        <f t="shared" si="0"/>
        <v>5</v>
      </c>
      <c r="B9" s="239" t="s">
        <v>108</v>
      </c>
      <c r="C9" s="28">
        <v>1030965</v>
      </c>
      <c r="D9" s="153" t="s">
        <v>140</v>
      </c>
      <c r="E9" s="27">
        <f t="shared" si="1"/>
        <v>1030965</v>
      </c>
    </row>
    <row r="10" spans="1:5" x14ac:dyDescent="0.2">
      <c r="A10" s="19">
        <f t="shared" si="0"/>
        <v>6</v>
      </c>
      <c r="B10" s="239" t="s">
        <v>109</v>
      </c>
      <c r="C10" s="153" t="s">
        <v>140</v>
      </c>
      <c r="D10" s="153" t="s">
        <v>140</v>
      </c>
      <c r="E10" s="27">
        <f t="shared" si="1"/>
        <v>0</v>
      </c>
    </row>
    <row r="11" spans="1:5" x14ac:dyDescent="0.2">
      <c r="A11" s="19">
        <f t="shared" si="0"/>
        <v>7</v>
      </c>
      <c r="B11" s="239" t="s">
        <v>110</v>
      </c>
      <c r="C11" s="153" t="s">
        <v>140</v>
      </c>
      <c r="D11" s="153" t="s">
        <v>140</v>
      </c>
      <c r="E11" s="27">
        <f t="shared" si="1"/>
        <v>0</v>
      </c>
    </row>
    <row r="12" spans="1:5" x14ac:dyDescent="0.2">
      <c r="A12" s="19">
        <f t="shared" si="0"/>
        <v>8</v>
      </c>
      <c r="B12" s="239" t="s">
        <v>52</v>
      </c>
      <c r="C12" s="28">
        <v>194731</v>
      </c>
      <c r="D12" s="153" t="s">
        <v>140</v>
      </c>
      <c r="E12" s="27">
        <f t="shared" si="1"/>
        <v>194731</v>
      </c>
    </row>
    <row r="13" spans="1:5" ht="15.75" customHeight="1" x14ac:dyDescent="0.2">
      <c r="A13" s="19">
        <f t="shared" si="0"/>
        <v>9</v>
      </c>
      <c r="B13" s="238" t="s">
        <v>171</v>
      </c>
      <c r="C13" s="26">
        <f>C14</f>
        <v>299632</v>
      </c>
      <c r="D13" s="26">
        <f>D14</f>
        <v>0</v>
      </c>
      <c r="E13" s="27">
        <f t="shared" si="1"/>
        <v>299632</v>
      </c>
    </row>
    <row r="14" spans="1:5" x14ac:dyDescent="0.2">
      <c r="A14" s="19">
        <f t="shared" si="0"/>
        <v>10</v>
      </c>
      <c r="B14" s="239" t="s">
        <v>53</v>
      </c>
      <c r="C14" s="28">
        <v>299632</v>
      </c>
      <c r="D14" s="28"/>
      <c r="E14" s="27">
        <f t="shared" si="1"/>
        <v>299632</v>
      </c>
    </row>
    <row r="15" spans="1:5" x14ac:dyDescent="0.2">
      <c r="A15" s="19">
        <f t="shared" si="0"/>
        <v>11</v>
      </c>
      <c r="B15" s="238" t="s">
        <v>172</v>
      </c>
      <c r="C15" s="26">
        <f>SUM(C16:C18)</f>
        <v>2708841</v>
      </c>
      <c r="D15" s="26">
        <f>SUM(D16:D18)</f>
        <v>0</v>
      </c>
      <c r="E15" s="27">
        <f t="shared" si="1"/>
        <v>2708841</v>
      </c>
    </row>
    <row r="16" spans="1:5" x14ac:dyDescent="0.2">
      <c r="A16" s="19">
        <f t="shared" si="0"/>
        <v>12</v>
      </c>
      <c r="B16" s="239" t="s">
        <v>621</v>
      </c>
      <c r="C16" s="28">
        <v>364565</v>
      </c>
      <c r="D16" s="153" t="s">
        <v>140</v>
      </c>
      <c r="E16" s="27">
        <f t="shared" si="1"/>
        <v>364565</v>
      </c>
    </row>
    <row r="17" spans="1:5" x14ac:dyDescent="0.2">
      <c r="A17" s="19">
        <f t="shared" si="0"/>
        <v>13</v>
      </c>
      <c r="B17" s="239" t="s">
        <v>54</v>
      </c>
      <c r="C17" s="28">
        <v>471570</v>
      </c>
      <c r="D17" s="153" t="s">
        <v>140</v>
      </c>
      <c r="E17" s="27">
        <f t="shared" si="1"/>
        <v>471570</v>
      </c>
    </row>
    <row r="18" spans="1:5" x14ac:dyDescent="0.2">
      <c r="A18" s="19">
        <f t="shared" si="0"/>
        <v>14</v>
      </c>
      <c r="B18" s="239" t="s">
        <v>55</v>
      </c>
      <c r="C18" s="28">
        <v>1872706</v>
      </c>
      <c r="D18" s="153" t="s">
        <v>140</v>
      </c>
      <c r="E18" s="27">
        <f t="shared" si="1"/>
        <v>1872706</v>
      </c>
    </row>
    <row r="19" spans="1:5" ht="16.5" thickBot="1" x14ac:dyDescent="0.25">
      <c r="A19" s="20">
        <f t="shared" si="0"/>
        <v>15</v>
      </c>
      <c r="B19" s="240" t="s">
        <v>173</v>
      </c>
      <c r="C19" s="69">
        <f>C5+C7+C13+C15</f>
        <v>48170817</v>
      </c>
      <c r="D19" s="69">
        <f>D5+D7+D13+D15</f>
        <v>520000</v>
      </c>
      <c r="E19" s="29">
        <f t="shared" si="1"/>
        <v>48690817</v>
      </c>
    </row>
    <row r="20" spans="1:5" x14ac:dyDescent="0.2">
      <c r="A20" s="228" t="s">
        <v>620</v>
      </c>
      <c r="B20" s="229" t="s">
        <v>644</v>
      </c>
      <c r="C20" s="16"/>
      <c r="D20" s="16"/>
    </row>
    <row r="21" spans="1:5" x14ac:dyDescent="0.2">
      <c r="A21" s="17"/>
      <c r="B21" s="52"/>
      <c r="C21" s="733"/>
    </row>
    <row r="23" spans="1:5" x14ac:dyDescent="0.2">
      <c r="B23" s="25" t="s">
        <v>56</v>
      </c>
      <c r="C23" s="733"/>
    </row>
  </sheetData>
  <sheetProtection selectLockedCells="1"/>
  <protectedRanges>
    <protectedRange sqref="C16 C14:D14 C6:D6 C18 C8:D12 D16:D18" name="Rozsah2_1"/>
    <protectedRange sqref="C19:D19" name="Rozsah1_1"/>
  </protectedRanges>
  <mergeCells count="2">
    <mergeCell ref="A1:E1"/>
    <mergeCell ref="A2:E2"/>
  </mergeCells>
  <phoneticPr fontId="0" type="noConversion"/>
  <printOptions gridLines="1"/>
  <pageMargins left="0.74803149606299213" right="0.74803149606299213" top="0.98425196850393704" bottom="0.98425196850393704" header="0.51181102362204722" footer="0.51181102362204722"/>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16"/>
  <sheetViews>
    <sheetView zoomScaleNormal="100" workbookViewId="0">
      <pane xSplit="2" ySplit="5" topLeftCell="C6" activePane="bottomRight" state="frozen"/>
      <selection pane="topRight" activeCell="C1" sqref="C1"/>
      <selection pane="bottomLeft" activeCell="A6" sqref="A6"/>
      <selection pane="bottomRight" activeCell="H16" sqref="H16"/>
    </sheetView>
  </sheetViews>
  <sheetFormatPr defaultColWidth="9.140625" defaultRowHeight="15.75" x14ac:dyDescent="0.2"/>
  <cols>
    <col min="1" max="1" width="8.140625" style="13" customWidth="1"/>
    <col min="2" max="2" width="93.140625" style="39" customWidth="1"/>
    <col min="3" max="3" width="17.28515625" style="13" customWidth="1"/>
    <col min="4" max="4" width="17.140625" style="13" customWidth="1"/>
    <col min="5" max="5" width="15.7109375" style="13" customWidth="1"/>
    <col min="6" max="6" width="18" style="13" customWidth="1"/>
    <col min="7" max="7" width="9.140625" style="13"/>
    <col min="8" max="8" width="11.28515625" style="13" bestFit="1" customWidth="1"/>
    <col min="9" max="16384" width="9.140625" style="13"/>
  </cols>
  <sheetData>
    <row r="1" spans="1:9" s="255" customFormat="1" ht="50.1" customHeight="1" thickBot="1" x14ac:dyDescent="0.25">
      <c r="A1" s="885" t="s">
        <v>820</v>
      </c>
      <c r="B1" s="886"/>
      <c r="C1" s="886"/>
      <c r="D1" s="886"/>
      <c r="E1" s="886"/>
      <c r="F1" s="887"/>
      <c r="G1" s="303"/>
    </row>
    <row r="2" spans="1:9" s="255" customFormat="1" ht="36.75" customHeight="1" x14ac:dyDescent="0.2">
      <c r="A2" s="813" t="s">
        <v>1057</v>
      </c>
      <c r="B2" s="896"/>
      <c r="C2" s="897" t="s">
        <v>618</v>
      </c>
      <c r="D2" s="897"/>
      <c r="E2" s="897"/>
      <c r="F2" s="898"/>
    </row>
    <row r="3" spans="1:9" s="255" customFormat="1" ht="15.6" customHeight="1" x14ac:dyDescent="0.2">
      <c r="A3" s="894" t="s">
        <v>80</v>
      </c>
      <c r="B3" s="892" t="s">
        <v>153</v>
      </c>
      <c r="C3" s="888">
        <v>2022</v>
      </c>
      <c r="D3" s="889"/>
      <c r="E3" s="890">
        <v>2023</v>
      </c>
      <c r="F3" s="891"/>
    </row>
    <row r="4" spans="1:9" s="255" customFormat="1" ht="69" customHeight="1" x14ac:dyDescent="0.2">
      <c r="A4" s="895"/>
      <c r="B4" s="893"/>
      <c r="C4" s="456" t="s">
        <v>483</v>
      </c>
      <c r="D4" s="456" t="s">
        <v>619</v>
      </c>
      <c r="E4" s="456" t="s">
        <v>483</v>
      </c>
      <c r="F4" s="457" t="s">
        <v>806</v>
      </c>
    </row>
    <row r="5" spans="1:9" s="255" customFormat="1" x14ac:dyDescent="0.2">
      <c r="A5" s="319"/>
      <c r="B5" s="320"/>
      <c r="C5" s="323" t="s">
        <v>119</v>
      </c>
      <c r="D5" s="323" t="s">
        <v>120</v>
      </c>
      <c r="E5" s="323" t="s">
        <v>121</v>
      </c>
      <c r="F5" s="254" t="s">
        <v>127</v>
      </c>
    </row>
    <row r="6" spans="1:9" ht="38.25" customHeight="1" x14ac:dyDescent="0.2">
      <c r="A6" s="19">
        <v>1</v>
      </c>
      <c r="B6" s="44" t="s">
        <v>793</v>
      </c>
      <c r="C6" s="226">
        <v>50200</v>
      </c>
      <c r="D6" s="73" t="s">
        <v>140</v>
      </c>
      <c r="E6" s="72">
        <v>34200</v>
      </c>
      <c r="F6" s="74" t="s">
        <v>140</v>
      </c>
      <c r="G6" s="13" t="s">
        <v>1066</v>
      </c>
      <c r="H6" s="13">
        <f>'T13-Fondy'!G16</f>
        <v>1090062.8999999999</v>
      </c>
      <c r="I6" s="13">
        <f>'T13-Fondy'!H16</f>
        <v>1415852</v>
      </c>
    </row>
    <row r="7" spans="1:9" ht="38.25" customHeight="1" x14ac:dyDescent="0.2">
      <c r="A7" s="19">
        <f>A6+1</f>
        <v>2</v>
      </c>
      <c r="B7" s="44" t="s">
        <v>794</v>
      </c>
      <c r="C7" s="73" t="s">
        <v>140</v>
      </c>
      <c r="D7" s="226">
        <v>251</v>
      </c>
      <c r="E7" s="73" t="s">
        <v>140</v>
      </c>
      <c r="F7" s="42">
        <v>171</v>
      </c>
    </row>
    <row r="8" spans="1:9" ht="38.25" customHeight="1" x14ac:dyDescent="0.2">
      <c r="A8" s="19">
        <f>A7+1</f>
        <v>3</v>
      </c>
      <c r="B8" s="44" t="s">
        <v>795</v>
      </c>
      <c r="C8" s="73" t="s">
        <v>140</v>
      </c>
      <c r="D8" s="226">
        <v>55</v>
      </c>
      <c r="E8" s="73" t="s">
        <v>140</v>
      </c>
      <c r="F8" s="42">
        <v>39</v>
      </c>
    </row>
    <row r="9" spans="1:9" ht="33" customHeight="1" x14ac:dyDescent="0.2">
      <c r="A9" s="19">
        <f>A8+1</f>
        <v>4</v>
      </c>
      <c r="B9" s="460" t="s">
        <v>792</v>
      </c>
      <c r="C9" s="463">
        <v>0</v>
      </c>
      <c r="D9" s="73" t="s">
        <v>140</v>
      </c>
      <c r="E9" s="75">
        <f>+C11</f>
        <v>0</v>
      </c>
      <c r="F9" s="74" t="s">
        <v>140</v>
      </c>
    </row>
    <row r="10" spans="1:9" ht="33.75" customHeight="1" x14ac:dyDescent="0.2">
      <c r="A10" s="19">
        <f>A9+1</f>
        <v>5</v>
      </c>
      <c r="B10" s="460" t="s">
        <v>796</v>
      </c>
      <c r="C10" s="226">
        <v>50200</v>
      </c>
      <c r="D10" s="73" t="s">
        <v>140</v>
      </c>
      <c r="E10" s="76">
        <v>34200</v>
      </c>
      <c r="F10" s="74" t="s">
        <v>140</v>
      </c>
      <c r="G10" s="13" t="s">
        <v>1066</v>
      </c>
      <c r="H10" s="732">
        <f>E10+'T8-Soc_štipendiá'!E10</f>
        <v>364565</v>
      </c>
      <c r="I10" s="733">
        <f>'T1-Dotácie podľa DZ'!C16</f>
        <v>364565</v>
      </c>
    </row>
    <row r="11" spans="1:9" ht="33.75" customHeight="1" thickBot="1" x14ac:dyDescent="0.25">
      <c r="A11" s="20">
        <v>6</v>
      </c>
      <c r="B11" s="461" t="s">
        <v>100</v>
      </c>
      <c r="C11" s="459">
        <f>C9+C10-C6</f>
        <v>0</v>
      </c>
      <c r="D11" s="77" t="s">
        <v>140</v>
      </c>
      <c r="E11" s="459">
        <f>E9+E10-E6</f>
        <v>0</v>
      </c>
      <c r="F11" s="78" t="s">
        <v>140</v>
      </c>
    </row>
    <row r="12" spans="1:9" ht="15.75" customHeight="1" x14ac:dyDescent="0.2">
      <c r="B12" s="15"/>
    </row>
    <row r="13" spans="1:9" x14ac:dyDescent="0.2">
      <c r="A13" s="902" t="s">
        <v>797</v>
      </c>
      <c r="B13" s="903"/>
      <c r="C13" s="903"/>
      <c r="D13" s="903"/>
      <c r="E13" s="903"/>
      <c r="F13" s="904"/>
    </row>
    <row r="14" spans="1:9" x14ac:dyDescent="0.2">
      <c r="A14" s="899" t="s">
        <v>798</v>
      </c>
      <c r="B14" s="900"/>
      <c r="C14" s="900"/>
      <c r="D14" s="900"/>
      <c r="E14" s="900"/>
      <c r="F14" s="901"/>
    </row>
    <row r="15" spans="1:9" x14ac:dyDescent="0.2">
      <c r="C15" s="39"/>
      <c r="D15" s="39"/>
    </row>
    <row r="16" spans="1:9" x14ac:dyDescent="0.2">
      <c r="B16" s="39" t="s">
        <v>1051</v>
      </c>
      <c r="F16" s="13" t="s">
        <v>1067</v>
      </c>
    </row>
  </sheetData>
  <mergeCells count="9">
    <mergeCell ref="A14:F14"/>
    <mergeCell ref="A13:F13"/>
    <mergeCell ref="A1:F1"/>
    <mergeCell ref="A2:B2"/>
    <mergeCell ref="C2:F2"/>
    <mergeCell ref="A3:A4"/>
    <mergeCell ref="B3:B4"/>
    <mergeCell ref="C3:D3"/>
    <mergeCell ref="E3:F3"/>
  </mergeCells>
  <pageMargins left="0.5" right="0.39" top="0.98425196850393704" bottom="0.98425196850393704" header="0.51181102362204722" footer="0.51181102362204722"/>
  <pageSetup paperSize="9" scale="83"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tabColor indexed="42"/>
    <pageSetUpPr fitToPage="1"/>
  </sheetPr>
  <dimension ref="A1:J23"/>
  <sheetViews>
    <sheetView zoomScaleNormal="100" workbookViewId="0">
      <pane xSplit="2" ySplit="5" topLeftCell="C9" activePane="bottomRight" state="frozen"/>
      <selection pane="topRight" activeCell="C1" sqref="C1"/>
      <selection pane="bottomLeft" activeCell="A6" sqref="A6"/>
      <selection pane="bottomRight" activeCell="F24" sqref="F24"/>
    </sheetView>
  </sheetViews>
  <sheetFormatPr defaultColWidth="9.140625" defaultRowHeight="12.75" x14ac:dyDescent="0.2"/>
  <cols>
    <col min="1" max="1" width="8.28515625" style="43" customWidth="1"/>
    <col min="2" max="2" width="77.7109375" style="43" customWidth="1"/>
    <col min="3" max="3" width="14.7109375" style="43" customWidth="1"/>
    <col min="4" max="4" width="14.85546875" style="43" customWidth="1"/>
    <col min="5" max="6" width="14.7109375" style="43" customWidth="1"/>
    <col min="7" max="7" width="10.140625" style="43" bestFit="1" customWidth="1"/>
    <col min="8" max="8" width="13.85546875" style="43" customWidth="1"/>
    <col min="9" max="16384" width="9.140625" style="43"/>
  </cols>
  <sheetData>
    <row r="1" spans="1:10" s="324" customFormat="1" ht="50.1" customHeight="1" x14ac:dyDescent="0.2">
      <c r="A1" s="908" t="s">
        <v>821</v>
      </c>
      <c r="B1" s="909"/>
      <c r="C1" s="909"/>
      <c r="D1" s="909"/>
      <c r="E1" s="909"/>
      <c r="F1" s="910"/>
      <c r="H1" s="325"/>
    </row>
    <row r="2" spans="1:10" s="324" customFormat="1" ht="33" customHeight="1" x14ac:dyDescent="0.2">
      <c r="A2" s="913" t="s">
        <v>1060</v>
      </c>
      <c r="B2" s="914"/>
      <c r="C2" s="914"/>
      <c r="D2" s="914"/>
      <c r="E2" s="914"/>
      <c r="F2" s="915"/>
    </row>
    <row r="3" spans="1:10" s="324" customFormat="1" ht="18.75" customHeight="1" x14ac:dyDescent="0.2">
      <c r="A3" s="894" t="s">
        <v>80</v>
      </c>
      <c r="B3" s="849" t="s">
        <v>153</v>
      </c>
      <c r="C3" s="849" t="s">
        <v>493</v>
      </c>
      <c r="D3" s="849"/>
      <c r="E3" s="849" t="s">
        <v>163</v>
      </c>
      <c r="F3" s="912"/>
    </row>
    <row r="4" spans="1:10" s="324" customFormat="1" ht="18.75" customHeight="1" x14ac:dyDescent="0.2">
      <c r="A4" s="911"/>
      <c r="B4" s="849"/>
      <c r="C4" s="299">
        <v>2022</v>
      </c>
      <c r="D4" s="299">
        <v>2023</v>
      </c>
      <c r="E4" s="237">
        <v>2022</v>
      </c>
      <c r="F4" s="261">
        <v>2023</v>
      </c>
    </row>
    <row r="5" spans="1:10" s="324" customFormat="1" ht="15.75" x14ac:dyDescent="0.2">
      <c r="A5" s="256"/>
      <c r="B5" s="326"/>
      <c r="C5" s="299" t="s">
        <v>119</v>
      </c>
      <c r="D5" s="299" t="s">
        <v>120</v>
      </c>
      <c r="E5" s="323" t="s">
        <v>121</v>
      </c>
      <c r="F5" s="328" t="s">
        <v>127</v>
      </c>
    </row>
    <row r="6" spans="1:10" ht="31.5" x14ac:dyDescent="0.2">
      <c r="A6" s="19">
        <v>1</v>
      </c>
      <c r="B6" s="238" t="s">
        <v>465</v>
      </c>
      <c r="C6" s="571" t="s">
        <v>140</v>
      </c>
      <c r="D6" s="571" t="s">
        <v>140</v>
      </c>
      <c r="E6" s="533">
        <v>1906</v>
      </c>
      <c r="F6" s="572">
        <v>1906</v>
      </c>
      <c r="G6" s="43" t="s">
        <v>1066</v>
      </c>
      <c r="H6" s="43" t="s">
        <v>1068</v>
      </c>
      <c r="I6" s="43">
        <v>1906</v>
      </c>
    </row>
    <row r="7" spans="1:10" ht="37.5" x14ac:dyDescent="0.2">
      <c r="A7" s="19">
        <f>A6+1</f>
        <v>2</v>
      </c>
      <c r="B7" s="241" t="s">
        <v>160</v>
      </c>
      <c r="C7" s="571" t="s">
        <v>140</v>
      </c>
      <c r="D7" s="571" t="s">
        <v>140</v>
      </c>
      <c r="E7" s="533">
        <v>17794</v>
      </c>
      <c r="F7" s="572">
        <v>17895</v>
      </c>
    </row>
    <row r="8" spans="1:10" ht="15.75" x14ac:dyDescent="0.2">
      <c r="A8" s="19">
        <v>3</v>
      </c>
      <c r="B8" s="247" t="s">
        <v>111</v>
      </c>
      <c r="C8" s="571" t="s">
        <v>140</v>
      </c>
      <c r="D8" s="571" t="s">
        <v>140</v>
      </c>
      <c r="E8" s="532">
        <f>E7/12</f>
        <v>1482.8333333333333</v>
      </c>
      <c r="F8" s="531">
        <f>F7/12</f>
        <v>1491.25</v>
      </c>
    </row>
    <row r="9" spans="1:10" ht="31.5" x14ac:dyDescent="0.2">
      <c r="A9" s="19">
        <f t="shared" ref="A9:A18" si="0">A8+1</f>
        <v>4</v>
      </c>
      <c r="B9" s="241" t="s">
        <v>165</v>
      </c>
      <c r="C9" s="530">
        <v>826186</v>
      </c>
      <c r="D9" s="573">
        <v>966084</v>
      </c>
      <c r="E9" s="571" t="s">
        <v>140</v>
      </c>
      <c r="F9" s="574" t="s">
        <v>140</v>
      </c>
      <c r="G9" s="734"/>
    </row>
    <row r="10" spans="1:10" ht="31.5" x14ac:dyDescent="0.2">
      <c r="A10" s="19">
        <f t="shared" si="0"/>
        <v>5</v>
      </c>
      <c r="B10" s="241" t="s">
        <v>175</v>
      </c>
      <c r="C10" s="530">
        <v>25716</v>
      </c>
      <c r="D10" s="530">
        <v>30322.560000000001</v>
      </c>
      <c r="E10" s="530">
        <v>624</v>
      </c>
      <c r="F10" s="575">
        <v>685</v>
      </c>
    </row>
    <row r="11" spans="1:10" ht="31.5" x14ac:dyDescent="0.2">
      <c r="A11" s="19">
        <f t="shared" si="0"/>
        <v>6</v>
      </c>
      <c r="B11" s="243" t="s">
        <v>532</v>
      </c>
      <c r="C11" s="533">
        <v>1049352</v>
      </c>
      <c r="D11" s="533">
        <v>1245506</v>
      </c>
      <c r="E11" s="571" t="s">
        <v>140</v>
      </c>
      <c r="F11" s="574" t="s">
        <v>140</v>
      </c>
      <c r="G11" s="43">
        <v>312001</v>
      </c>
      <c r="H11" s="714" t="s">
        <v>1032</v>
      </c>
      <c r="I11" s="43" t="s">
        <v>1066</v>
      </c>
      <c r="J11" s="43">
        <v>1245506</v>
      </c>
    </row>
    <row r="12" spans="1:10" ht="15.75" x14ac:dyDescent="0.2">
      <c r="A12" s="19">
        <f t="shared" si="0"/>
        <v>7</v>
      </c>
      <c r="B12" s="241" t="s">
        <v>164</v>
      </c>
      <c r="C12" s="530">
        <v>9430</v>
      </c>
      <c r="D12" s="530">
        <f>4539.65+50+1.2</f>
        <v>4590.8499999999995</v>
      </c>
      <c r="E12" s="571" t="s">
        <v>140</v>
      </c>
      <c r="F12" s="574" t="s">
        <v>140</v>
      </c>
    </row>
    <row r="13" spans="1:10" ht="31.5" x14ac:dyDescent="0.2">
      <c r="A13" s="19">
        <f t="shared" si="0"/>
        <v>8</v>
      </c>
      <c r="B13" s="241" t="s">
        <v>176</v>
      </c>
      <c r="C13" s="532">
        <f>SUM(C9:C12)</f>
        <v>1910684</v>
      </c>
      <c r="D13" s="532">
        <f>SUM(D9:D12)</f>
        <v>2246503.41</v>
      </c>
      <c r="E13" s="571" t="s">
        <v>140</v>
      </c>
      <c r="F13" s="574" t="s">
        <v>140</v>
      </c>
    </row>
    <row r="14" spans="1:10" ht="15.75" x14ac:dyDescent="0.2">
      <c r="A14" s="19">
        <f t="shared" si="0"/>
        <v>9</v>
      </c>
      <c r="B14" s="241" t="s">
        <v>734</v>
      </c>
      <c r="C14" s="532">
        <f>C15+C16</f>
        <v>2369220</v>
      </c>
      <c r="D14" s="532">
        <f>D15+D16</f>
        <v>2154942.9699999997</v>
      </c>
      <c r="E14" s="571" t="s">
        <v>140</v>
      </c>
      <c r="F14" s="574" t="s">
        <v>140</v>
      </c>
      <c r="G14" s="324"/>
      <c r="H14" s="324"/>
    </row>
    <row r="15" spans="1:10" ht="15.75" x14ac:dyDescent="0.2">
      <c r="A15" s="19">
        <f t="shared" si="0"/>
        <v>10</v>
      </c>
      <c r="B15" s="296" t="s">
        <v>645</v>
      </c>
      <c r="C15" s="530">
        <v>1077858</v>
      </c>
      <c r="D15" s="530">
        <v>1038139.24</v>
      </c>
      <c r="E15" s="571" t="s">
        <v>140</v>
      </c>
      <c r="F15" s="574" t="s">
        <v>140</v>
      </c>
      <c r="G15" s="324"/>
      <c r="H15" s="324"/>
    </row>
    <row r="16" spans="1:10" ht="15.75" x14ac:dyDescent="0.2">
      <c r="A16" s="19">
        <f t="shared" si="0"/>
        <v>11</v>
      </c>
      <c r="B16" s="296" t="s">
        <v>646</v>
      </c>
      <c r="C16" s="530">
        <v>1291362</v>
      </c>
      <c r="D16" s="530">
        <v>1116803.73</v>
      </c>
      <c r="E16" s="571" t="s">
        <v>140</v>
      </c>
      <c r="F16" s="574" t="s">
        <v>140</v>
      </c>
      <c r="G16" s="324"/>
      <c r="H16" s="734"/>
    </row>
    <row r="17" spans="1:8" ht="31.5" x14ac:dyDescent="0.2">
      <c r="A17" s="19">
        <f t="shared" si="0"/>
        <v>12</v>
      </c>
      <c r="B17" s="241" t="s">
        <v>177</v>
      </c>
      <c r="C17" s="532">
        <f>+C13-C14</f>
        <v>-458536</v>
      </c>
      <c r="D17" s="532">
        <f>+D13-D14</f>
        <v>91560.44000000041</v>
      </c>
      <c r="E17" s="571" t="s">
        <v>140</v>
      </c>
      <c r="F17" s="574" t="s">
        <v>140</v>
      </c>
      <c r="G17" s="324"/>
      <c r="H17" s="735"/>
    </row>
    <row r="18" spans="1:8" ht="16.5" thickBot="1" x14ac:dyDescent="0.25">
      <c r="A18" s="20">
        <f t="shared" si="0"/>
        <v>13</v>
      </c>
      <c r="B18" s="327" t="s">
        <v>178</v>
      </c>
      <c r="C18" s="174">
        <f>IF(E8=0,0,C14/E8)</f>
        <v>1597.765538945712</v>
      </c>
      <c r="D18" s="174">
        <f>IF(F8=0,0,D14/F8)</f>
        <v>1445.0581525565799</v>
      </c>
      <c r="E18" s="576" t="s">
        <v>140</v>
      </c>
      <c r="F18" s="577" t="s">
        <v>140</v>
      </c>
      <c r="G18" s="324"/>
      <c r="H18" s="324"/>
    </row>
    <row r="19" spans="1:8" x14ac:dyDescent="0.2">
      <c r="G19" s="324"/>
      <c r="H19" s="324"/>
    </row>
    <row r="20" spans="1:8" s="324" customFormat="1" ht="15.75" customHeight="1" x14ac:dyDescent="0.2">
      <c r="A20" s="882" t="s">
        <v>732</v>
      </c>
      <c r="B20" s="883"/>
      <c r="C20" s="883"/>
      <c r="D20" s="883"/>
      <c r="E20" s="883"/>
      <c r="F20" s="884"/>
    </row>
    <row r="21" spans="1:8" s="324" customFormat="1" ht="31.5" customHeight="1" x14ac:dyDescent="0.2">
      <c r="A21" s="905" t="s">
        <v>733</v>
      </c>
      <c r="B21" s="906"/>
      <c r="C21" s="906"/>
      <c r="D21" s="906"/>
      <c r="E21" s="906"/>
      <c r="F21" s="907"/>
    </row>
    <row r="22" spans="1:8" x14ac:dyDescent="0.2">
      <c r="G22" s="324"/>
      <c r="H22" s="324"/>
    </row>
    <row r="23" spans="1:8" x14ac:dyDescent="0.2">
      <c r="F23" s="43" t="s">
        <v>1067</v>
      </c>
    </row>
  </sheetData>
  <mergeCells count="8">
    <mergeCell ref="A21:F21"/>
    <mergeCell ref="A1:F1"/>
    <mergeCell ref="A3:A4"/>
    <mergeCell ref="B3:B4"/>
    <mergeCell ref="C3:D3"/>
    <mergeCell ref="E3:F3"/>
    <mergeCell ref="A2:F2"/>
    <mergeCell ref="A20:F20"/>
  </mergeCells>
  <phoneticPr fontId="5" type="noConversion"/>
  <pageMargins left="0.66" right="0.45" top="0.98425196850393704" bottom="0.77" header="0.51181102362204722" footer="0.51181102362204722"/>
  <pageSetup paperSize="9" scale="9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31"/>
  <sheetViews>
    <sheetView zoomScaleNormal="100" workbookViewId="0">
      <selection activeCell="B9" sqref="B9"/>
    </sheetView>
  </sheetViews>
  <sheetFormatPr defaultColWidth="9.140625" defaultRowHeight="15.75" x14ac:dyDescent="0.25"/>
  <cols>
    <col min="1" max="1" width="8.140625" style="123" customWidth="1"/>
    <col min="2" max="2" width="67.7109375" style="134" customWidth="1"/>
    <col min="3" max="4" width="18.7109375" style="123" customWidth="1"/>
    <col min="5" max="5" width="18.5703125" style="123" customWidth="1"/>
    <col min="6" max="6" width="10.140625" style="123" bestFit="1" customWidth="1"/>
    <col min="7" max="7" width="9.140625" style="123"/>
    <col min="8" max="8" width="12.5703125" style="123" customWidth="1"/>
    <col min="9" max="9" width="12.85546875" style="123" customWidth="1"/>
    <col min="10" max="16384" width="9.140625" style="123"/>
  </cols>
  <sheetData>
    <row r="1" spans="1:8" s="133" customFormat="1" ht="45.75" customHeight="1" thickBot="1" x14ac:dyDescent="0.3">
      <c r="A1" s="919" t="s">
        <v>822</v>
      </c>
      <c r="B1" s="920"/>
      <c r="C1" s="920"/>
      <c r="D1" s="921"/>
      <c r="F1" s="123"/>
    </row>
    <row r="2" spans="1:8" s="133" customFormat="1" x14ac:dyDescent="0.25">
      <c r="A2" s="922" t="s">
        <v>1061</v>
      </c>
      <c r="B2" s="923"/>
      <c r="C2" s="923"/>
      <c r="D2" s="924"/>
    </row>
    <row r="3" spans="1:8" s="133" customFormat="1" ht="31.5" x14ac:dyDescent="0.25">
      <c r="A3" s="441" t="s">
        <v>80</v>
      </c>
      <c r="B3" s="442" t="s">
        <v>153</v>
      </c>
      <c r="C3" s="443">
        <v>2022</v>
      </c>
      <c r="D3" s="444">
        <v>2023</v>
      </c>
    </row>
    <row r="4" spans="1:8" x14ac:dyDescent="0.25">
      <c r="A4" s="445"/>
      <c r="B4" s="446"/>
      <c r="C4" s="447" t="s">
        <v>119</v>
      </c>
      <c r="D4" s="448" t="s">
        <v>120</v>
      </c>
    </row>
    <row r="5" spans="1:8" ht="37.5" x14ac:dyDescent="0.25">
      <c r="A5" s="124">
        <v>1</v>
      </c>
      <c r="B5" s="449" t="s">
        <v>785</v>
      </c>
      <c r="C5" s="125">
        <f>+C6+C9</f>
        <v>895272.6</v>
      </c>
      <c r="D5" s="137">
        <f>D6+D9</f>
        <v>1058528.97</v>
      </c>
    </row>
    <row r="6" spans="1:8" ht="31.5" x14ac:dyDescent="0.25">
      <c r="A6" s="124">
        <f t="shared" ref="A6:A13" si="0">A5+1</f>
        <v>2</v>
      </c>
      <c r="B6" s="449" t="s">
        <v>168</v>
      </c>
      <c r="C6" s="125">
        <f>+C7+C8</f>
        <v>471010</v>
      </c>
      <c r="D6" s="137">
        <f>+D7+D8</f>
        <v>594545.97</v>
      </c>
    </row>
    <row r="7" spans="1:8" x14ac:dyDescent="0.25">
      <c r="A7" s="124">
        <f t="shared" si="0"/>
        <v>3</v>
      </c>
      <c r="B7" s="450" t="s">
        <v>166</v>
      </c>
      <c r="C7" s="619">
        <v>467720</v>
      </c>
      <c r="D7" s="620">
        <v>594545.97</v>
      </c>
    </row>
    <row r="8" spans="1:8" x14ac:dyDescent="0.25">
      <c r="A8" s="124">
        <f t="shared" si="0"/>
        <v>4</v>
      </c>
      <c r="B8" s="450" t="s">
        <v>167</v>
      </c>
      <c r="C8" s="619">
        <v>3290</v>
      </c>
      <c r="D8" s="620">
        <v>0</v>
      </c>
    </row>
    <row r="9" spans="1:8" ht="31.5" x14ac:dyDescent="0.25">
      <c r="A9" s="124">
        <f t="shared" si="0"/>
        <v>5</v>
      </c>
      <c r="B9" s="449" t="s">
        <v>101</v>
      </c>
      <c r="C9" s="127">
        <f>+C10+C11-C12</f>
        <v>424262.6</v>
      </c>
      <c r="D9" s="139">
        <f>+D10+D11-D12</f>
        <v>463983</v>
      </c>
      <c r="E9" s="123" t="s">
        <v>1066</v>
      </c>
    </row>
    <row r="10" spans="1:8" ht="31.5" x14ac:dyDescent="0.25">
      <c r="A10" s="124">
        <f t="shared" si="0"/>
        <v>6</v>
      </c>
      <c r="B10" s="450" t="s">
        <v>72</v>
      </c>
      <c r="C10" s="126">
        <v>350629</v>
      </c>
      <c r="D10" s="139">
        <f>+C12</f>
        <v>165736.40000000002</v>
      </c>
    </row>
    <row r="11" spans="1:8" x14ac:dyDescent="0.25">
      <c r="A11" s="124">
        <f t="shared" si="0"/>
        <v>7</v>
      </c>
      <c r="B11" s="450" t="s">
        <v>83</v>
      </c>
      <c r="C11" s="126">
        <v>239370</v>
      </c>
      <c r="D11" s="138">
        <v>574387</v>
      </c>
      <c r="E11" s="123">
        <v>312001</v>
      </c>
      <c r="F11" s="134" t="s">
        <v>973</v>
      </c>
      <c r="G11" s="123" t="s">
        <v>1066</v>
      </c>
      <c r="H11" s="123">
        <v>574387</v>
      </c>
    </row>
    <row r="12" spans="1:8" ht="31.5" x14ac:dyDescent="0.25">
      <c r="A12" s="124">
        <f t="shared" si="0"/>
        <v>8</v>
      </c>
      <c r="B12" s="450" t="s">
        <v>485</v>
      </c>
      <c r="C12" s="127">
        <f>C10+C11-C22</f>
        <v>165736.40000000002</v>
      </c>
      <c r="D12" s="139">
        <f>D10+D11-D22</f>
        <v>276140.40000000002</v>
      </c>
    </row>
    <row r="13" spans="1:8" ht="31.5" x14ac:dyDescent="0.25">
      <c r="A13" s="124">
        <f t="shared" si="0"/>
        <v>9</v>
      </c>
      <c r="B13" s="449" t="s">
        <v>486</v>
      </c>
      <c r="C13" s="128">
        <v>646661</v>
      </c>
      <c r="D13" s="140">
        <v>1207424.58</v>
      </c>
    </row>
    <row r="14" spans="1:8" x14ac:dyDescent="0.25">
      <c r="A14" s="124"/>
      <c r="B14" s="451" t="s">
        <v>133</v>
      </c>
      <c r="C14" s="129"/>
      <c r="D14" s="141"/>
    </row>
    <row r="15" spans="1:8" ht="18.75" x14ac:dyDescent="0.25">
      <c r="A15" s="124">
        <f>A13+1</f>
        <v>10</v>
      </c>
      <c r="B15" s="452" t="s">
        <v>786</v>
      </c>
      <c r="C15" s="126">
        <v>646661</v>
      </c>
      <c r="D15" s="138">
        <v>1207424.58</v>
      </c>
    </row>
    <row r="16" spans="1:8" ht="31.5" x14ac:dyDescent="0.25">
      <c r="A16" s="124">
        <f t="shared" ref="A16:A23" si="1">+A15+1</f>
        <v>11</v>
      </c>
      <c r="B16" s="449" t="s">
        <v>487</v>
      </c>
      <c r="C16" s="125">
        <f>C5-C13</f>
        <v>248611.59999999998</v>
      </c>
      <c r="D16" s="137">
        <f>D5-D13</f>
        <v>-148895.6100000001</v>
      </c>
    </row>
    <row r="17" spans="1:10" x14ac:dyDescent="0.25">
      <c r="A17" s="124">
        <f t="shared" si="1"/>
        <v>12</v>
      </c>
      <c r="B17" s="449" t="s">
        <v>788</v>
      </c>
      <c r="C17" s="125">
        <f>C18+C19+C20+C21</f>
        <v>291756</v>
      </c>
      <c r="D17" s="137">
        <f>D18+D19+D20+D21</f>
        <v>309322</v>
      </c>
      <c r="E17" s="766" t="s">
        <v>1105</v>
      </c>
      <c r="F17" s="766"/>
      <c r="G17" s="766"/>
      <c r="H17" s="766"/>
      <c r="I17" s="748" t="s">
        <v>1070</v>
      </c>
      <c r="J17" s="747" t="s">
        <v>1071</v>
      </c>
    </row>
    <row r="18" spans="1:10" ht="34.5" x14ac:dyDescent="0.25">
      <c r="A18" s="455">
        <f t="shared" si="1"/>
        <v>13</v>
      </c>
      <c r="B18" s="468" t="s">
        <v>862</v>
      </c>
      <c r="C18" s="453">
        <v>133714</v>
      </c>
      <c r="D18" s="142">
        <v>0</v>
      </c>
      <c r="J18" s="747" t="s">
        <v>1069</v>
      </c>
    </row>
    <row r="19" spans="1:10" ht="34.5" x14ac:dyDescent="0.25">
      <c r="A19" s="455">
        <f>+A18+1</f>
        <v>14</v>
      </c>
      <c r="B19" s="468" t="s">
        <v>863</v>
      </c>
      <c r="C19" s="453">
        <v>158042</v>
      </c>
      <c r="D19" s="142">
        <v>309322</v>
      </c>
      <c r="E19" s="767" t="s">
        <v>1106</v>
      </c>
      <c r="G19" s="747"/>
      <c r="H19" s="747"/>
      <c r="I19" s="747"/>
    </row>
    <row r="20" spans="1:10" ht="34.5" x14ac:dyDescent="0.25">
      <c r="A20" s="455">
        <f t="shared" si="1"/>
        <v>15</v>
      </c>
      <c r="B20" s="468" t="s">
        <v>864</v>
      </c>
      <c r="C20" s="453"/>
      <c r="D20" s="142"/>
      <c r="G20" s="747"/>
      <c r="H20" s="747"/>
      <c r="I20" s="747"/>
    </row>
    <row r="21" spans="1:10" ht="34.5" x14ac:dyDescent="0.25">
      <c r="A21" s="455">
        <f t="shared" si="1"/>
        <v>16</v>
      </c>
      <c r="B21" s="468" t="s">
        <v>865</v>
      </c>
      <c r="C21" s="453"/>
      <c r="D21" s="142"/>
    </row>
    <row r="22" spans="1:10" ht="31.5" x14ac:dyDescent="0.25">
      <c r="A22" s="146">
        <f t="shared" si="1"/>
        <v>17</v>
      </c>
      <c r="B22" s="449" t="s">
        <v>488</v>
      </c>
      <c r="C22" s="621">
        <f>(C18*1.4 +C19*1.5+C20*1.4+C21*1.5)</f>
        <v>424262.6</v>
      </c>
      <c r="D22" s="622">
        <f>(D18*1.4+D19*1.5+D20*1.4+D21*1.5)</f>
        <v>463983</v>
      </c>
    </row>
    <row r="23" spans="1:10" ht="16.5" thickBot="1" x14ac:dyDescent="0.3">
      <c r="A23" s="147">
        <f t="shared" si="1"/>
        <v>18</v>
      </c>
      <c r="B23" s="454" t="s">
        <v>791</v>
      </c>
      <c r="C23" s="623">
        <f>IF(C18=0,0,C15/(C18+C19))</f>
        <v>2.2164445632651941</v>
      </c>
      <c r="D23" s="624">
        <f>IF(D19=0,0,D15/(D18+D19))</f>
        <v>3.903455234351259</v>
      </c>
    </row>
    <row r="24" spans="1:10" x14ac:dyDescent="0.25">
      <c r="A24" s="130"/>
      <c r="B24" s="131"/>
      <c r="C24" s="132"/>
      <c r="D24" s="132"/>
    </row>
    <row r="25" spans="1:10" x14ac:dyDescent="0.25">
      <c r="A25" s="925" t="s">
        <v>784</v>
      </c>
      <c r="B25" s="926"/>
      <c r="C25" s="926"/>
      <c r="D25" s="927"/>
    </row>
    <row r="26" spans="1:10" x14ac:dyDescent="0.25">
      <c r="A26" s="928" t="s">
        <v>787</v>
      </c>
      <c r="B26" s="929"/>
      <c r="C26" s="929"/>
      <c r="D26" s="930"/>
    </row>
    <row r="27" spans="1:10" ht="30.75" customHeight="1" x14ac:dyDescent="0.25">
      <c r="A27" s="931" t="s">
        <v>789</v>
      </c>
      <c r="B27" s="932"/>
      <c r="C27" s="932"/>
      <c r="D27" s="933"/>
      <c r="E27" s="466"/>
      <c r="F27" s="466"/>
    </row>
    <row r="28" spans="1:10" ht="32.25" customHeight="1" x14ac:dyDescent="0.25">
      <c r="A28" s="916" t="s">
        <v>790</v>
      </c>
      <c r="B28" s="917"/>
      <c r="C28" s="917"/>
      <c r="D28" s="918"/>
      <c r="E28" s="466"/>
      <c r="F28" s="466"/>
    </row>
    <row r="29" spans="1:10" x14ac:dyDescent="0.25">
      <c r="A29" s="466"/>
      <c r="B29" s="467"/>
      <c r="C29" s="466"/>
      <c r="D29" s="466"/>
      <c r="E29" s="466"/>
      <c r="F29" s="466"/>
    </row>
    <row r="30" spans="1:10" x14ac:dyDescent="0.25">
      <c r="A30" s="466"/>
      <c r="B30" s="467"/>
      <c r="C30" s="466"/>
      <c r="D30" s="466" t="s">
        <v>1077</v>
      </c>
      <c r="E30" s="466"/>
      <c r="F30" s="466"/>
    </row>
    <row r="31" spans="1:10" x14ac:dyDescent="0.25">
      <c r="D31" s="123" t="s">
        <v>1078</v>
      </c>
    </row>
  </sheetData>
  <mergeCells count="6">
    <mergeCell ref="A28:D28"/>
    <mergeCell ref="A1:D1"/>
    <mergeCell ref="A2:D2"/>
    <mergeCell ref="A25:D25"/>
    <mergeCell ref="A26:D26"/>
    <mergeCell ref="A27:D27"/>
  </mergeCells>
  <pageMargins left="0.74803149606299213" right="0.74803149606299213" top="0.59055118110236227" bottom="0.59055118110236227"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5">
    <tabColor indexed="42"/>
    <pageSetUpPr fitToPage="1"/>
  </sheetPr>
  <dimension ref="A1:H25"/>
  <sheetViews>
    <sheetView zoomScaleNormal="100" workbookViewId="0">
      <pane xSplit="2" ySplit="5" topLeftCell="C15" activePane="bottomRight" state="frozen"/>
      <selection pane="topRight" activeCell="C1" sqref="C1"/>
      <selection pane="bottomLeft" activeCell="A6" sqref="A6"/>
      <selection pane="bottomRight" activeCell="F29" sqref="F29"/>
    </sheetView>
  </sheetViews>
  <sheetFormatPr defaultColWidth="9.140625" defaultRowHeight="15.75" x14ac:dyDescent="0.25"/>
  <cols>
    <col min="1" max="1" width="9.140625" style="2"/>
    <col min="2" max="2" width="61.42578125" style="6" customWidth="1"/>
    <col min="3" max="3" width="23.42578125" style="2" customWidth="1"/>
    <col min="4" max="4" width="24.42578125" style="2" customWidth="1"/>
    <col min="5" max="5" width="10.42578125" style="108" customWidth="1"/>
    <col min="6" max="6" width="13.140625" style="2" customWidth="1"/>
    <col min="7" max="7" width="21.28515625" style="2" customWidth="1"/>
    <col min="8" max="8" width="12.42578125" style="2" customWidth="1"/>
    <col min="9" max="16384" width="9.140625" style="2"/>
  </cols>
  <sheetData>
    <row r="1" spans="1:7" s="333" customFormat="1" ht="50.1" customHeight="1" thickBot="1" x14ac:dyDescent="0.3">
      <c r="A1" s="937" t="s">
        <v>823</v>
      </c>
      <c r="B1" s="938"/>
      <c r="C1" s="938"/>
      <c r="D1" s="939"/>
      <c r="E1" s="332"/>
    </row>
    <row r="2" spans="1:7" s="333" customFormat="1" ht="27.75" customHeight="1" x14ac:dyDescent="0.25">
      <c r="A2" s="943" t="s">
        <v>1061</v>
      </c>
      <c r="B2" s="943"/>
      <c r="C2" s="943"/>
      <c r="D2" s="943"/>
      <c r="E2" s="332"/>
    </row>
    <row r="3" spans="1:7" s="333" customFormat="1" ht="18.75" customHeight="1" x14ac:dyDescent="0.25">
      <c r="A3" s="807" t="s">
        <v>80</v>
      </c>
      <c r="B3" s="940" t="s">
        <v>153</v>
      </c>
      <c r="C3" s="941" t="s">
        <v>137</v>
      </c>
      <c r="D3" s="942"/>
      <c r="E3" s="332"/>
    </row>
    <row r="4" spans="1:7" s="335" customFormat="1" ht="19.5" customHeight="1" x14ac:dyDescent="0.2">
      <c r="A4" s="807"/>
      <c r="B4" s="940"/>
      <c r="C4" s="257">
        <v>2022</v>
      </c>
      <c r="D4" s="258">
        <v>2023</v>
      </c>
      <c r="E4" s="334"/>
    </row>
    <row r="5" spans="1:7" s="335" customFormat="1" ht="15.75" customHeight="1" x14ac:dyDescent="0.2">
      <c r="A5" s="256"/>
      <c r="B5" s="336"/>
      <c r="C5" s="257" t="s">
        <v>119</v>
      </c>
      <c r="D5" s="258" t="s">
        <v>120</v>
      </c>
      <c r="E5" s="334"/>
    </row>
    <row r="6" spans="1:7" s="4" customFormat="1" x14ac:dyDescent="0.2">
      <c r="A6" s="47">
        <v>1</v>
      </c>
      <c r="B6" s="337" t="s">
        <v>82</v>
      </c>
      <c r="C6" s="625">
        <v>0</v>
      </c>
      <c r="D6" s="626">
        <f>'T13-Fondy'!F6</f>
        <v>770600.40999999992</v>
      </c>
      <c r="E6" s="109"/>
    </row>
    <row r="7" spans="1:7" s="4" customFormat="1" ht="31.5" x14ac:dyDescent="0.2">
      <c r="A7" s="47">
        <f t="shared" ref="A7:A20" si="0">A6+1</f>
        <v>2</v>
      </c>
      <c r="B7" s="238" t="s">
        <v>60</v>
      </c>
      <c r="C7" s="694">
        <f>SUM(C8:C13)</f>
        <v>1700352.2</v>
      </c>
      <c r="D7" s="695">
        <f>SUM(D8:D13)</f>
        <v>1759139.37</v>
      </c>
      <c r="E7" s="109" t="s">
        <v>1066</v>
      </c>
      <c r="F7" s="4">
        <f>'T13-Fondy'!E7</f>
        <v>1700352.2</v>
      </c>
      <c r="G7" s="4">
        <f>'T13-Fondy'!F7</f>
        <v>1759139.37</v>
      </c>
    </row>
    <row r="8" spans="1:7" s="4" customFormat="1" ht="18.75" x14ac:dyDescent="0.2">
      <c r="A8" s="47">
        <f t="shared" si="0"/>
        <v>3</v>
      </c>
      <c r="B8" s="338" t="s">
        <v>735</v>
      </c>
      <c r="C8" s="533">
        <v>0</v>
      </c>
      <c r="D8" s="572"/>
      <c r="E8" s="109"/>
    </row>
    <row r="9" spans="1:7" s="4" customFormat="1" x14ac:dyDescent="0.2">
      <c r="A9" s="47">
        <f t="shared" si="0"/>
        <v>4</v>
      </c>
      <c r="B9" s="474" t="s">
        <v>877</v>
      </c>
      <c r="C9" s="533">
        <v>1686879.9</v>
      </c>
      <c r="D9" s="572">
        <f>'T13-Fondy'!F9</f>
        <v>1759139.37</v>
      </c>
      <c r="E9" s="109"/>
    </row>
    <row r="10" spans="1:7" s="4" customFormat="1" ht="31.5" x14ac:dyDescent="0.2">
      <c r="A10" s="47">
        <f t="shared" si="0"/>
        <v>5</v>
      </c>
      <c r="B10" s="338" t="s">
        <v>525</v>
      </c>
      <c r="C10" s="533">
        <v>13472.3</v>
      </c>
      <c r="D10" s="572"/>
      <c r="E10" s="109"/>
    </row>
    <row r="11" spans="1:7" s="4" customFormat="1" x14ac:dyDescent="0.2">
      <c r="A11" s="47">
        <f t="shared" si="0"/>
        <v>6</v>
      </c>
      <c r="B11" s="338" t="s">
        <v>183</v>
      </c>
      <c r="C11" s="533"/>
      <c r="D11" s="572"/>
      <c r="E11" s="109"/>
    </row>
    <row r="12" spans="1:7" s="4" customFormat="1" x14ac:dyDescent="0.2">
      <c r="A12" s="47">
        <f t="shared" si="0"/>
        <v>7</v>
      </c>
      <c r="B12" s="338" t="s">
        <v>184</v>
      </c>
      <c r="C12" s="533"/>
      <c r="D12" s="572"/>
      <c r="E12" s="109"/>
    </row>
    <row r="13" spans="1:7" s="4" customFormat="1" ht="19.5" customHeight="1" x14ac:dyDescent="0.2">
      <c r="A13" s="47">
        <f t="shared" si="0"/>
        <v>8</v>
      </c>
      <c r="B13" s="737" t="s">
        <v>185</v>
      </c>
      <c r="C13" s="533"/>
      <c r="D13" s="572"/>
      <c r="E13" s="109"/>
    </row>
    <row r="14" spans="1:7" s="4" customFormat="1" ht="30" customHeight="1" x14ac:dyDescent="0.2">
      <c r="A14" s="47">
        <f t="shared" si="0"/>
        <v>9</v>
      </c>
      <c r="B14" s="238" t="s">
        <v>16</v>
      </c>
      <c r="C14" s="694">
        <f>C6+C7</f>
        <v>1700352.2</v>
      </c>
      <c r="D14" s="695">
        <f>D6+D7</f>
        <v>2529739.7800000003</v>
      </c>
      <c r="E14" s="109"/>
    </row>
    <row r="15" spans="1:7" s="4" customFormat="1" ht="27" customHeight="1" x14ac:dyDescent="0.2">
      <c r="A15" s="47">
        <f t="shared" si="0"/>
        <v>10</v>
      </c>
      <c r="B15" s="238" t="s">
        <v>654</v>
      </c>
      <c r="C15" s="625">
        <v>465000</v>
      </c>
      <c r="D15" s="626">
        <v>520000</v>
      </c>
      <c r="E15" s="109" t="s">
        <v>1066</v>
      </c>
      <c r="F15" s="749">
        <f>'T1-Dotácie podľa DZ'!D19</f>
        <v>520000</v>
      </c>
    </row>
    <row r="16" spans="1:7" s="4" customFormat="1" ht="31.5" x14ac:dyDescent="0.2">
      <c r="A16" s="55" t="s">
        <v>469</v>
      </c>
      <c r="B16" s="241" t="s">
        <v>560</v>
      </c>
      <c r="C16" s="625">
        <v>4587829.46</v>
      </c>
      <c r="D16" s="736">
        <f>5814574.44</f>
        <v>5814574.4400000004</v>
      </c>
      <c r="E16" s="751" t="s">
        <v>1066</v>
      </c>
      <c r="F16" s="750">
        <f>'T17-Dotácie zo ŠF EU-nová'!E35+'T17-Dotácie zo ŠF EU-nová'!F35</f>
        <v>5814574.4399999995</v>
      </c>
      <c r="G16" s="634"/>
    </row>
    <row r="17" spans="1:8" s="4" customFormat="1" ht="28.5" customHeight="1" x14ac:dyDescent="0.2">
      <c r="A17" s="47">
        <f>A15+1</f>
        <v>11</v>
      </c>
      <c r="B17" s="238" t="s">
        <v>498</v>
      </c>
      <c r="C17" s="625">
        <v>513839.48</v>
      </c>
      <c r="D17" s="626">
        <v>362900.4</v>
      </c>
      <c r="E17" s="109" t="s">
        <v>1072</v>
      </c>
      <c r="F17" s="633"/>
      <c r="G17" s="633"/>
    </row>
    <row r="18" spans="1:8" s="4" customFormat="1" ht="23.25" customHeight="1" x14ac:dyDescent="0.2">
      <c r="A18" s="47">
        <f t="shared" si="0"/>
        <v>12</v>
      </c>
      <c r="B18" s="238" t="s">
        <v>103</v>
      </c>
      <c r="C18" s="625">
        <v>0</v>
      </c>
      <c r="D18" s="626">
        <v>0</v>
      </c>
      <c r="E18" s="109"/>
    </row>
    <row r="19" spans="1:8" s="4" customFormat="1" ht="33" customHeight="1" x14ac:dyDescent="0.2">
      <c r="A19" s="47">
        <f t="shared" si="0"/>
        <v>13</v>
      </c>
      <c r="B19" s="238" t="s">
        <v>499</v>
      </c>
      <c r="C19" s="625">
        <v>2635672.1</v>
      </c>
      <c r="D19" s="626">
        <f>8144.07+2002345.39+84666.69+974011.76+31780+2527.55</f>
        <v>3103475.46</v>
      </c>
      <c r="E19" s="109" t="s">
        <v>1038</v>
      </c>
      <c r="F19" s="753"/>
      <c r="G19" s="753" t="s">
        <v>1072</v>
      </c>
      <c r="H19" s="752">
        <f>'T2-Ostatné dot mimo MŠ SR'!D14+'T2-Ostatné dot mimo MŠ SR'!D18+'T2-Ostatné dot mimo MŠ SR'!D30</f>
        <v>34307.550000000003</v>
      </c>
    </row>
    <row r="20" spans="1:8" s="4" customFormat="1" ht="21" customHeight="1" thickBot="1" x14ac:dyDescent="0.25">
      <c r="A20" s="48">
        <f t="shared" si="0"/>
        <v>14</v>
      </c>
      <c r="B20" s="240" t="s">
        <v>28</v>
      </c>
      <c r="C20" s="534">
        <f>SUM(C14:C19)</f>
        <v>9902693.2400000002</v>
      </c>
      <c r="D20" s="713">
        <f>SUM(D14:D19)</f>
        <v>12330690.080000002</v>
      </c>
      <c r="E20" s="109"/>
    </row>
    <row r="21" spans="1:8" ht="9" customHeight="1" x14ac:dyDescent="0.25">
      <c r="E21" s="109"/>
    </row>
    <row r="22" spans="1:8" ht="15.75" customHeight="1" x14ac:dyDescent="0.25">
      <c r="A22" s="902" t="s">
        <v>736</v>
      </c>
      <c r="B22" s="903"/>
      <c r="C22" s="903"/>
      <c r="D22" s="904"/>
      <c r="E22" s="109"/>
    </row>
    <row r="23" spans="1:8" ht="15.75" customHeight="1" x14ac:dyDescent="0.25">
      <c r="A23" s="934" t="s">
        <v>737</v>
      </c>
      <c r="B23" s="935"/>
      <c r="C23" s="935"/>
      <c r="D23" s="936"/>
      <c r="E23" s="109"/>
      <c r="F23" s="61"/>
      <c r="G23" s="61"/>
      <c r="H23" s="61"/>
    </row>
    <row r="24" spans="1:8" x14ac:dyDescent="0.25">
      <c r="A24" s="197"/>
      <c r="B24" s="227"/>
    </row>
    <row r="25" spans="1:8" x14ac:dyDescent="0.25">
      <c r="D25" s="2" t="s">
        <v>1067</v>
      </c>
    </row>
  </sheetData>
  <mergeCells count="7">
    <mergeCell ref="A23:D23"/>
    <mergeCell ref="A22:D22"/>
    <mergeCell ref="A1:D1"/>
    <mergeCell ref="A3:A4"/>
    <mergeCell ref="B3:B4"/>
    <mergeCell ref="C3:D3"/>
    <mergeCell ref="A2:D2"/>
  </mergeCells>
  <phoneticPr fontId="0" type="noConversion"/>
  <printOptions gridLines="1"/>
  <pageMargins left="0.74803149606299213" right="0.54" top="0.98425196850393704" bottom="0.82" header="0.51181102362204722" footer="0.51181102362204722"/>
  <pageSetup paperSize="9" scale="9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
    <tabColor indexed="42"/>
    <pageSetUpPr fitToPage="1"/>
  </sheetPr>
  <dimension ref="A1:O83"/>
  <sheetViews>
    <sheetView zoomScaleNormal="100" workbookViewId="0">
      <pane xSplit="2" ySplit="5" topLeftCell="C18" activePane="bottomRight" state="frozen"/>
      <selection pane="topRight" activeCell="C1" sqref="C1"/>
      <selection pane="bottomLeft" activeCell="A6" sqref="A6"/>
      <selection pane="bottomRight" activeCell="L23" sqref="L23"/>
    </sheetView>
  </sheetViews>
  <sheetFormatPr defaultColWidth="9.140625" defaultRowHeight="15.75" x14ac:dyDescent="0.25"/>
  <cols>
    <col min="1" max="1" width="7.42578125" style="2" customWidth="1"/>
    <col min="2" max="2" width="51.5703125" style="6" customWidth="1"/>
    <col min="3" max="3" width="22.28515625" style="6" customWidth="1"/>
    <col min="4" max="4" width="18.140625" style="2" customWidth="1"/>
    <col min="5" max="5" width="18.5703125" style="2" customWidth="1"/>
    <col min="6" max="6" width="16.28515625" style="2" customWidth="1"/>
    <col min="7" max="7" width="11.85546875" style="2" customWidth="1"/>
    <col min="8" max="8" width="15.42578125" style="2" customWidth="1"/>
    <col min="9" max="9" width="19.42578125" style="2" customWidth="1"/>
    <col min="10" max="10" width="9.140625" style="2"/>
    <col min="11" max="11" width="14.5703125" style="2" customWidth="1"/>
    <col min="12" max="16384" width="9.140625" style="2"/>
  </cols>
  <sheetData>
    <row r="1" spans="1:10" s="333" customFormat="1" ht="35.1" customHeight="1" thickBot="1" x14ac:dyDescent="0.3">
      <c r="A1" s="946" t="s">
        <v>824</v>
      </c>
      <c r="B1" s="947"/>
      <c r="C1" s="947"/>
      <c r="D1" s="947"/>
      <c r="E1" s="947"/>
      <c r="F1" s="947"/>
      <c r="G1" s="947"/>
      <c r="H1" s="947"/>
      <c r="I1" s="948"/>
    </row>
    <row r="2" spans="1:10" s="333" customFormat="1" ht="35.1" customHeight="1" x14ac:dyDescent="0.25">
      <c r="A2" s="813" t="s">
        <v>1061</v>
      </c>
      <c r="B2" s="814"/>
      <c r="C2" s="814"/>
      <c r="D2" s="814"/>
      <c r="E2" s="814"/>
      <c r="F2" s="814"/>
      <c r="G2" s="814"/>
      <c r="H2" s="814"/>
      <c r="I2" s="815"/>
    </row>
    <row r="3" spans="1:10" s="335" customFormat="1" ht="35.25" customHeight="1" x14ac:dyDescent="0.2">
      <c r="A3" s="895" t="s">
        <v>80</v>
      </c>
      <c r="B3" s="809" t="s">
        <v>153</v>
      </c>
      <c r="C3" s="951" t="s">
        <v>825</v>
      </c>
      <c r="D3" s="858" t="s">
        <v>826</v>
      </c>
      <c r="E3" s="858" t="s">
        <v>827</v>
      </c>
      <c r="F3" s="858" t="s">
        <v>574</v>
      </c>
      <c r="G3" s="949" t="s">
        <v>86</v>
      </c>
      <c r="H3" s="949" t="s">
        <v>564</v>
      </c>
      <c r="I3" s="944" t="s">
        <v>87</v>
      </c>
    </row>
    <row r="4" spans="1:10" s="335" customFormat="1" ht="72" customHeight="1" x14ac:dyDescent="0.2">
      <c r="A4" s="807"/>
      <c r="B4" s="849"/>
      <c r="C4" s="952"/>
      <c r="D4" s="859"/>
      <c r="E4" s="859"/>
      <c r="F4" s="859"/>
      <c r="G4" s="950"/>
      <c r="H4" s="950"/>
      <c r="I4" s="945"/>
    </row>
    <row r="5" spans="1:10" s="335" customFormat="1" ht="15.75" customHeight="1" x14ac:dyDescent="0.2">
      <c r="A5" s="256"/>
      <c r="B5" s="320"/>
      <c r="C5" s="323" t="s">
        <v>119</v>
      </c>
      <c r="D5" s="323" t="s">
        <v>120</v>
      </c>
      <c r="E5" s="323" t="s">
        <v>121</v>
      </c>
      <c r="F5" s="323" t="s">
        <v>127</v>
      </c>
      <c r="G5" s="323" t="s">
        <v>122</v>
      </c>
      <c r="H5" s="323" t="s">
        <v>123</v>
      </c>
      <c r="I5" s="343" t="s">
        <v>470</v>
      </c>
    </row>
    <row r="6" spans="1:10" s="4" customFormat="1" x14ac:dyDescent="0.2">
      <c r="A6" s="19">
        <v>1</v>
      </c>
      <c r="B6" s="321" t="s">
        <v>180</v>
      </c>
      <c r="C6" s="530"/>
      <c r="D6" s="530"/>
      <c r="E6" s="530"/>
      <c r="F6" s="530"/>
      <c r="G6" s="530"/>
      <c r="H6" s="530">
        <f>H8</f>
        <v>3143.58</v>
      </c>
      <c r="I6" s="531">
        <f t="shared" ref="I6:I17" si="0">SUM(C6:H6)</f>
        <v>3143.58</v>
      </c>
      <c r="J6" s="4" t="s">
        <v>1066</v>
      </c>
    </row>
    <row r="7" spans="1:10" s="4" customFormat="1" x14ac:dyDescent="0.2">
      <c r="A7" s="19"/>
      <c r="B7" s="235" t="s">
        <v>133</v>
      </c>
      <c r="C7" s="530"/>
      <c r="D7" s="530"/>
      <c r="E7" s="530"/>
      <c r="F7" s="530"/>
      <c r="G7" s="530"/>
      <c r="H7" s="530"/>
      <c r="I7" s="531"/>
    </row>
    <row r="8" spans="1:10" s="4" customFormat="1" x14ac:dyDescent="0.2">
      <c r="A8" s="19">
        <v>2</v>
      </c>
      <c r="B8" s="235" t="s">
        <v>17</v>
      </c>
      <c r="C8" s="530"/>
      <c r="D8" s="530"/>
      <c r="E8" s="530"/>
      <c r="F8" s="530"/>
      <c r="G8" s="530"/>
      <c r="H8" s="530">
        <v>3143.58</v>
      </c>
      <c r="I8" s="531">
        <f t="shared" si="0"/>
        <v>3143.58</v>
      </c>
      <c r="J8" s="4">
        <v>711003</v>
      </c>
    </row>
    <row r="9" spans="1:10" x14ac:dyDescent="0.25">
      <c r="A9" s="19">
        <v>3</v>
      </c>
      <c r="B9" s="321" t="s">
        <v>118</v>
      </c>
      <c r="C9" s="530"/>
      <c r="D9" s="530"/>
      <c r="E9" s="530"/>
      <c r="F9" s="530"/>
      <c r="G9" s="530"/>
      <c r="H9" s="530"/>
      <c r="I9" s="531">
        <f t="shared" si="0"/>
        <v>0</v>
      </c>
    </row>
    <row r="10" spans="1:10" ht="31.5" x14ac:dyDescent="0.25">
      <c r="A10" s="19">
        <v>4</v>
      </c>
      <c r="B10" s="339" t="s">
        <v>562</v>
      </c>
      <c r="C10" s="532">
        <f>SUM(C11:C16)</f>
        <v>0</v>
      </c>
      <c r="D10" s="532">
        <f t="shared" ref="D10:I10" si="1">SUM(D11:D16)</f>
        <v>5803802.9199999999</v>
      </c>
      <c r="E10" s="532">
        <f t="shared" si="1"/>
        <v>180204.76000000004</v>
      </c>
      <c r="F10" s="532">
        <f t="shared" si="1"/>
        <v>776239.41</v>
      </c>
      <c r="G10" s="532">
        <f t="shared" si="1"/>
        <v>0</v>
      </c>
      <c r="H10" s="532">
        <f t="shared" si="1"/>
        <v>219692.28</v>
      </c>
      <c r="I10" s="531">
        <f t="shared" si="1"/>
        <v>6979939.3699999992</v>
      </c>
      <c r="J10" s="2" t="s">
        <v>1066</v>
      </c>
    </row>
    <row r="11" spans="1:10" x14ac:dyDescent="0.25">
      <c r="A11" s="19">
        <v>5</v>
      </c>
      <c r="B11" s="246" t="s">
        <v>647</v>
      </c>
      <c r="C11" s="530"/>
      <c r="D11" s="530"/>
      <c r="E11" s="530"/>
      <c r="F11" s="530">
        <v>35253.279999999999</v>
      </c>
      <c r="G11" s="530"/>
      <c r="H11" s="530">
        <v>1325.6</v>
      </c>
      <c r="I11" s="531">
        <f t="shared" si="0"/>
        <v>36578.879999999997</v>
      </c>
      <c r="J11" s="4"/>
    </row>
    <row r="12" spans="1:10" x14ac:dyDescent="0.25">
      <c r="A12" s="19">
        <v>6</v>
      </c>
      <c r="B12" s="246" t="s">
        <v>648</v>
      </c>
      <c r="C12" s="530"/>
      <c r="D12" s="530"/>
      <c r="E12" s="530">
        <v>2517.19</v>
      </c>
      <c r="F12" s="530"/>
      <c r="G12" s="530"/>
      <c r="H12" s="530">
        <v>2197.42</v>
      </c>
      <c r="I12" s="531">
        <f t="shared" si="0"/>
        <v>4714.6100000000006</v>
      </c>
      <c r="J12" s="4"/>
    </row>
    <row r="13" spans="1:10" x14ac:dyDescent="0.25">
      <c r="A13" s="19">
        <v>7</v>
      </c>
      <c r="B13" s="340" t="s">
        <v>649</v>
      </c>
      <c r="C13" s="530"/>
      <c r="D13" s="530">
        <v>11958.6</v>
      </c>
      <c r="E13" s="530">
        <v>39172.800000000003</v>
      </c>
      <c r="F13" s="530">
        <v>44616.87</v>
      </c>
      <c r="G13" s="530"/>
      <c r="H13" s="530">
        <f>26316+2527.55</f>
        <v>28843.55</v>
      </c>
      <c r="I13" s="531">
        <f t="shared" si="0"/>
        <v>124591.82</v>
      </c>
      <c r="J13" s="4"/>
    </row>
    <row r="14" spans="1:10" ht="31.5" x14ac:dyDescent="0.25">
      <c r="A14" s="19">
        <v>8</v>
      </c>
      <c r="B14" s="246" t="s">
        <v>650</v>
      </c>
      <c r="C14" s="530"/>
      <c r="D14" s="530">
        <v>5791844.3200000003</v>
      </c>
      <c r="E14" s="530">
        <v>105436.85</v>
      </c>
      <c r="F14" s="530">
        <v>696369.26</v>
      </c>
      <c r="G14" s="530"/>
      <c r="H14" s="530">
        <f>65133.72+6600+41523.11</f>
        <v>113256.83</v>
      </c>
      <c r="I14" s="531">
        <f t="shared" si="0"/>
        <v>6706907.2599999998</v>
      </c>
      <c r="J14" s="4"/>
    </row>
    <row r="15" spans="1:10" ht="31.5" x14ac:dyDescent="0.25">
      <c r="A15" s="23">
        <v>9</v>
      </c>
      <c r="B15" s="246" t="s">
        <v>651</v>
      </c>
      <c r="C15" s="530"/>
      <c r="D15" s="530"/>
      <c r="E15" s="530">
        <v>4036.72</v>
      </c>
      <c r="F15" s="530"/>
      <c r="G15" s="530"/>
      <c r="H15" s="530">
        <v>7874.48</v>
      </c>
      <c r="I15" s="531">
        <f t="shared" si="0"/>
        <v>11911.199999999999</v>
      </c>
      <c r="J15" s="4"/>
    </row>
    <row r="16" spans="1:10" x14ac:dyDescent="0.25">
      <c r="A16" s="19">
        <v>10</v>
      </c>
      <c r="B16" s="246" t="s">
        <v>652</v>
      </c>
      <c r="C16" s="530"/>
      <c r="D16" s="530"/>
      <c r="E16" s="530">
        <v>29041.200000000001</v>
      </c>
      <c r="F16" s="530"/>
      <c r="G16" s="530"/>
      <c r="H16" s="530">
        <v>66194.399999999994</v>
      </c>
      <c r="I16" s="531">
        <f t="shared" si="0"/>
        <v>95235.599999999991</v>
      </c>
      <c r="J16" s="4"/>
    </row>
    <row r="17" spans="1:15" ht="31.5" x14ac:dyDescent="0.25">
      <c r="A17" s="19">
        <v>11</v>
      </c>
      <c r="B17" s="339" t="s">
        <v>64</v>
      </c>
      <c r="C17" s="530"/>
      <c r="D17" s="530"/>
      <c r="E17" s="530"/>
      <c r="F17" s="530">
        <v>55746</v>
      </c>
      <c r="G17" s="530"/>
      <c r="H17" s="530"/>
      <c r="I17" s="531">
        <f t="shared" si="0"/>
        <v>55746</v>
      </c>
      <c r="J17" s="4"/>
      <c r="L17" s="2" t="s">
        <v>1066</v>
      </c>
    </row>
    <row r="18" spans="1:15" x14ac:dyDescent="0.25">
      <c r="A18" s="23">
        <v>12</v>
      </c>
      <c r="B18" s="339" t="s">
        <v>65</v>
      </c>
      <c r="C18" s="530"/>
      <c r="D18" s="530"/>
      <c r="E18" s="530"/>
      <c r="F18" s="530">
        <v>164895.6</v>
      </c>
      <c r="G18" s="530"/>
      <c r="H18" s="530">
        <f>157860+84000</f>
        <v>241860</v>
      </c>
      <c r="I18" s="531">
        <f t="shared" ref="I18:I23" si="2">SUM(C18:H18)</f>
        <v>406755.6</v>
      </c>
      <c r="J18" s="1">
        <v>716000</v>
      </c>
      <c r="K18" s="1"/>
      <c r="L18" s="1" t="s">
        <v>1066</v>
      </c>
      <c r="M18" s="1"/>
      <c r="N18" s="1"/>
      <c r="O18" s="1"/>
    </row>
    <row r="19" spans="1:15" x14ac:dyDescent="0.25">
      <c r="A19" s="19">
        <v>13</v>
      </c>
      <c r="B19" s="339" t="s">
        <v>130</v>
      </c>
      <c r="C19" s="530">
        <v>255000</v>
      </c>
      <c r="D19" s="530">
        <v>69501.53</v>
      </c>
      <c r="E19" s="530">
        <v>34080.57</v>
      </c>
      <c r="F19" s="530">
        <v>924516.81</v>
      </c>
      <c r="G19" s="530"/>
      <c r="H19" s="530">
        <f>166007.09+132098.61+386267.11+41078.31+40000</f>
        <v>765451.11999999988</v>
      </c>
      <c r="I19" s="531">
        <f t="shared" si="2"/>
        <v>2048550.03</v>
      </c>
      <c r="J19" s="1">
        <v>717002</v>
      </c>
      <c r="K19" s="1">
        <v>717001</v>
      </c>
      <c r="L19" s="1" t="s">
        <v>1066</v>
      </c>
      <c r="M19" s="1"/>
      <c r="N19" s="1"/>
      <c r="O19" s="1"/>
    </row>
    <row r="20" spans="1:15" ht="31.5" x14ac:dyDescent="0.25">
      <c r="A20" s="19">
        <v>14</v>
      </c>
      <c r="B20" s="339" t="s">
        <v>66</v>
      </c>
      <c r="C20" s="530"/>
      <c r="D20" s="530"/>
      <c r="E20" s="530"/>
      <c r="F20" s="530">
        <v>71589.19</v>
      </c>
      <c r="G20" s="530"/>
      <c r="H20" s="530">
        <v>9640.7999999999993</v>
      </c>
      <c r="I20" s="531">
        <f t="shared" si="2"/>
        <v>81229.990000000005</v>
      </c>
      <c r="J20" s="1">
        <v>718006</v>
      </c>
      <c r="K20" s="1">
        <v>718004</v>
      </c>
      <c r="L20" s="1" t="s">
        <v>1066</v>
      </c>
      <c r="M20" s="1"/>
      <c r="N20" s="1"/>
      <c r="O20" s="1"/>
    </row>
    <row r="21" spans="1:15" x14ac:dyDescent="0.25">
      <c r="A21" s="23">
        <v>15</v>
      </c>
      <c r="B21" s="339" t="s">
        <v>138</v>
      </c>
      <c r="C21" s="530"/>
      <c r="D21" s="530"/>
      <c r="E21" s="530"/>
      <c r="F21" s="530">
        <v>3229.2</v>
      </c>
      <c r="G21" s="530"/>
      <c r="H21" s="530"/>
      <c r="I21" s="531">
        <f t="shared" si="2"/>
        <v>3229.2</v>
      </c>
      <c r="J21" s="1">
        <v>719002</v>
      </c>
      <c r="K21" s="1"/>
      <c r="L21" s="1" t="s">
        <v>1066</v>
      </c>
      <c r="M21" s="1"/>
      <c r="N21" s="1"/>
      <c r="O21" s="1"/>
    </row>
    <row r="22" spans="1:15" x14ac:dyDescent="0.25">
      <c r="A22" s="19">
        <v>16</v>
      </c>
      <c r="B22" s="341" t="s">
        <v>548</v>
      </c>
      <c r="C22" s="627"/>
      <c r="D22" s="530"/>
      <c r="E22" s="530"/>
      <c r="F22" s="530"/>
      <c r="G22" s="530"/>
      <c r="H22" s="530">
        <v>8146.03</v>
      </c>
      <c r="I22" s="531">
        <f t="shared" si="2"/>
        <v>8146.03</v>
      </c>
      <c r="J22" s="1">
        <v>719014</v>
      </c>
      <c r="K22" s="1" t="s">
        <v>1035</v>
      </c>
      <c r="L22" s="1" t="s">
        <v>1066</v>
      </c>
      <c r="M22" s="1"/>
      <c r="N22" s="1"/>
      <c r="O22" s="1"/>
    </row>
    <row r="23" spans="1:15" ht="48" thickBot="1" x14ac:dyDescent="0.3">
      <c r="A23" s="20">
        <v>17</v>
      </c>
      <c r="B23" s="342" t="s">
        <v>563</v>
      </c>
      <c r="C23" s="628">
        <f t="shared" ref="C23:H23" si="3">+C6+C9+C10+C17+C18+C19+C20+C21+C22</f>
        <v>255000</v>
      </c>
      <c r="D23" s="629">
        <f t="shared" si="3"/>
        <v>5873304.4500000002</v>
      </c>
      <c r="E23" s="629">
        <f t="shared" si="3"/>
        <v>214285.33000000005</v>
      </c>
      <c r="F23" s="629">
        <f t="shared" si="3"/>
        <v>1996216.21</v>
      </c>
      <c r="G23" s="629">
        <f t="shared" si="3"/>
        <v>0</v>
      </c>
      <c r="H23" s="629">
        <f t="shared" si="3"/>
        <v>1247933.81</v>
      </c>
      <c r="I23" s="630">
        <f t="shared" si="2"/>
        <v>9586739.8000000007</v>
      </c>
      <c r="J23" s="2" t="s">
        <v>1066</v>
      </c>
      <c r="K23" s="2">
        <v>9586739.7999999989</v>
      </c>
    </row>
    <row r="24" spans="1:15" x14ac:dyDescent="0.25">
      <c r="C24" s="107"/>
      <c r="D24" s="106"/>
      <c r="E24" s="106"/>
      <c r="F24" s="106"/>
      <c r="G24" s="106"/>
      <c r="H24" s="106"/>
    </row>
    <row r="25" spans="1:15" x14ac:dyDescent="0.25">
      <c r="A25" s="195"/>
      <c r="B25" s="196"/>
      <c r="C25" s="106"/>
      <c r="D25" s="106"/>
      <c r="E25" s="106"/>
      <c r="F25" s="106"/>
      <c r="G25" s="106"/>
      <c r="H25" s="106"/>
    </row>
    <row r="26" spans="1:15" ht="47.25" x14ac:dyDescent="0.25">
      <c r="C26" s="106"/>
      <c r="D26" s="631" t="s">
        <v>974</v>
      </c>
      <c r="E26" s="632"/>
      <c r="F26" s="632" t="s">
        <v>975</v>
      </c>
      <c r="G26" s="632"/>
      <c r="H26" s="631" t="s">
        <v>976</v>
      </c>
    </row>
    <row r="27" spans="1:15" x14ac:dyDescent="0.25">
      <c r="C27" s="106"/>
      <c r="D27" s="106"/>
      <c r="E27" s="106"/>
      <c r="F27" s="106"/>
      <c r="G27" s="106"/>
      <c r="H27" s="106"/>
      <c r="I27" s="2" t="s">
        <v>1067</v>
      </c>
    </row>
    <row r="28" spans="1:15" x14ac:dyDescent="0.25">
      <c r="C28" s="106"/>
      <c r="D28" s="106"/>
      <c r="E28" s="106"/>
      <c r="F28" s="106"/>
      <c r="G28" s="106"/>
      <c r="H28" s="106"/>
    </row>
    <row r="29" spans="1:15" x14ac:dyDescent="0.25">
      <c r="C29" s="106"/>
      <c r="D29" s="106"/>
      <c r="E29" s="106"/>
      <c r="F29" s="106"/>
      <c r="G29" s="106"/>
      <c r="H29" s="106"/>
    </row>
    <row r="30" spans="1:15" x14ac:dyDescent="0.25">
      <c r="C30" s="106"/>
      <c r="D30" s="106"/>
      <c r="E30" s="106"/>
      <c r="F30" s="106"/>
      <c r="G30" s="106"/>
      <c r="H30" s="106"/>
    </row>
    <row r="31" spans="1:15" x14ac:dyDescent="0.25">
      <c r="C31" s="106"/>
      <c r="D31" s="106"/>
      <c r="E31" s="106"/>
      <c r="F31" s="106"/>
      <c r="G31" s="106"/>
      <c r="H31" s="106"/>
    </row>
    <row r="32" spans="1:15" x14ac:dyDescent="0.25">
      <c r="C32" s="106"/>
      <c r="D32" s="106"/>
      <c r="E32" s="106"/>
      <c r="F32" s="106"/>
      <c r="G32" s="106"/>
      <c r="H32" s="106"/>
    </row>
    <row r="33" spans="3:8" x14ac:dyDescent="0.25">
      <c r="C33" s="106"/>
      <c r="D33" s="106"/>
      <c r="E33" s="106"/>
      <c r="F33" s="106"/>
      <c r="G33" s="106"/>
      <c r="H33" s="106"/>
    </row>
    <row r="34" spans="3:8" x14ac:dyDescent="0.25">
      <c r="C34" s="106"/>
      <c r="D34" s="106"/>
      <c r="E34" s="106"/>
      <c r="F34" s="106"/>
      <c r="G34" s="106"/>
      <c r="H34" s="106"/>
    </row>
    <row r="35" spans="3:8" x14ac:dyDescent="0.25">
      <c r="C35" s="106"/>
      <c r="D35" s="106"/>
      <c r="E35" s="106"/>
      <c r="F35" s="106"/>
      <c r="G35" s="106"/>
      <c r="H35" s="106"/>
    </row>
    <row r="36" spans="3:8" x14ac:dyDescent="0.25">
      <c r="C36" s="106"/>
      <c r="D36" s="106"/>
      <c r="E36" s="106"/>
      <c r="F36" s="106"/>
      <c r="G36" s="106"/>
      <c r="H36" s="106"/>
    </row>
    <row r="37" spans="3:8" x14ac:dyDescent="0.25">
      <c r="C37" s="106"/>
      <c r="D37" s="106"/>
      <c r="E37" s="106"/>
      <c r="F37" s="106"/>
      <c r="G37" s="106"/>
      <c r="H37" s="106"/>
    </row>
    <row r="38" spans="3:8" x14ac:dyDescent="0.25">
      <c r="C38" s="106"/>
      <c r="D38" s="106"/>
      <c r="E38" s="106"/>
      <c r="F38" s="106"/>
      <c r="G38" s="106"/>
      <c r="H38" s="106"/>
    </row>
    <row r="39" spans="3:8" x14ac:dyDescent="0.25">
      <c r="C39" s="106"/>
      <c r="D39" s="106"/>
      <c r="E39" s="106"/>
      <c r="F39" s="106"/>
      <c r="G39" s="106"/>
      <c r="H39" s="106"/>
    </row>
    <row r="40" spans="3:8" x14ac:dyDescent="0.25">
      <c r="C40" s="106"/>
      <c r="D40" s="106"/>
      <c r="E40" s="106"/>
      <c r="F40" s="106"/>
      <c r="G40" s="106"/>
      <c r="H40" s="106"/>
    </row>
    <row r="41" spans="3:8" x14ac:dyDescent="0.25">
      <c r="C41" s="106"/>
      <c r="D41" s="106"/>
      <c r="E41" s="106"/>
      <c r="F41" s="106"/>
      <c r="G41" s="106"/>
      <c r="H41" s="106"/>
    </row>
    <row r="42" spans="3:8" x14ac:dyDescent="0.25">
      <c r="C42" s="106"/>
      <c r="D42" s="106"/>
      <c r="E42" s="106"/>
      <c r="F42" s="106"/>
      <c r="G42" s="106"/>
      <c r="H42" s="106"/>
    </row>
    <row r="43" spans="3:8" x14ac:dyDescent="0.25">
      <c r="C43" s="106"/>
      <c r="D43" s="106"/>
      <c r="E43" s="106"/>
      <c r="F43" s="106"/>
      <c r="G43" s="106"/>
      <c r="H43" s="106"/>
    </row>
    <row r="44" spans="3:8" x14ac:dyDescent="0.25">
      <c r="C44" s="106"/>
      <c r="D44" s="106"/>
      <c r="E44" s="106"/>
      <c r="F44" s="106"/>
      <c r="G44" s="106"/>
      <c r="H44" s="106"/>
    </row>
    <row r="45" spans="3:8" x14ac:dyDescent="0.25">
      <c r="C45" s="106"/>
      <c r="D45" s="106"/>
      <c r="E45" s="106"/>
      <c r="F45" s="106"/>
      <c r="G45" s="106"/>
      <c r="H45" s="106"/>
    </row>
    <row r="46" spans="3:8" x14ac:dyDescent="0.25">
      <c r="C46" s="106"/>
      <c r="D46" s="106"/>
      <c r="E46" s="106"/>
      <c r="F46" s="106"/>
      <c r="G46" s="106"/>
      <c r="H46" s="106"/>
    </row>
    <row r="47" spans="3:8" x14ac:dyDescent="0.25">
      <c r="C47" s="106"/>
      <c r="D47" s="106"/>
      <c r="E47" s="106"/>
      <c r="F47" s="106"/>
      <c r="G47" s="106"/>
      <c r="H47" s="106"/>
    </row>
    <row r="48" spans="3:8" x14ac:dyDescent="0.25">
      <c r="C48" s="106"/>
      <c r="D48" s="106"/>
      <c r="E48" s="106"/>
      <c r="F48" s="106"/>
      <c r="G48" s="106"/>
      <c r="H48" s="106"/>
    </row>
    <row r="49" spans="3:8" x14ac:dyDescent="0.25">
      <c r="C49" s="106"/>
      <c r="D49" s="106"/>
      <c r="E49" s="106"/>
      <c r="F49" s="106"/>
      <c r="G49" s="106"/>
      <c r="H49" s="106"/>
    </row>
    <row r="50" spans="3:8" x14ac:dyDescent="0.25">
      <c r="C50" s="106"/>
      <c r="D50" s="106"/>
      <c r="E50" s="106"/>
      <c r="F50" s="106"/>
      <c r="G50" s="106"/>
      <c r="H50" s="106"/>
    </row>
    <row r="51" spans="3:8" x14ac:dyDescent="0.25">
      <c r="C51" s="106"/>
      <c r="D51" s="106"/>
      <c r="E51" s="106"/>
      <c r="F51" s="106"/>
      <c r="G51" s="106"/>
      <c r="H51" s="106"/>
    </row>
    <row r="52" spans="3:8" x14ac:dyDescent="0.25">
      <c r="C52" s="106"/>
      <c r="D52" s="106"/>
      <c r="E52" s="106"/>
      <c r="F52" s="106"/>
      <c r="G52" s="106"/>
      <c r="H52" s="106"/>
    </row>
    <row r="53" spans="3:8" x14ac:dyDescent="0.25">
      <c r="C53" s="106"/>
      <c r="D53" s="106"/>
      <c r="E53" s="106"/>
      <c r="F53" s="106"/>
      <c r="G53" s="106"/>
      <c r="H53" s="106"/>
    </row>
    <row r="54" spans="3:8" x14ac:dyDescent="0.25">
      <c r="C54" s="106"/>
      <c r="D54" s="106"/>
      <c r="E54" s="106"/>
      <c r="F54" s="106"/>
      <c r="G54" s="106"/>
      <c r="H54" s="106"/>
    </row>
    <row r="55" spans="3:8" x14ac:dyDescent="0.25">
      <c r="C55" s="106"/>
      <c r="D55" s="106"/>
      <c r="E55" s="106"/>
      <c r="F55" s="106"/>
      <c r="G55" s="106"/>
      <c r="H55" s="106"/>
    </row>
    <row r="56" spans="3:8" x14ac:dyDescent="0.25">
      <c r="C56" s="106"/>
      <c r="D56" s="106"/>
      <c r="E56" s="106"/>
      <c r="F56" s="106"/>
      <c r="G56" s="106"/>
      <c r="H56" s="106"/>
    </row>
    <row r="57" spans="3:8" x14ac:dyDescent="0.25">
      <c r="C57" s="106"/>
      <c r="D57" s="106"/>
      <c r="E57" s="106"/>
      <c r="F57" s="106"/>
      <c r="G57" s="106"/>
      <c r="H57" s="106"/>
    </row>
    <row r="58" spans="3:8" x14ac:dyDescent="0.25">
      <c r="C58" s="106"/>
      <c r="D58" s="106"/>
      <c r="E58" s="106"/>
      <c r="F58" s="106"/>
      <c r="G58" s="106"/>
      <c r="H58" s="106"/>
    </row>
    <row r="59" spans="3:8" x14ac:dyDescent="0.25">
      <c r="C59" s="106"/>
      <c r="D59" s="106"/>
      <c r="E59" s="106"/>
      <c r="F59" s="106"/>
      <c r="G59" s="106"/>
      <c r="H59" s="106"/>
    </row>
    <row r="60" spans="3:8" x14ac:dyDescent="0.25">
      <c r="C60" s="106"/>
      <c r="D60" s="106"/>
      <c r="E60" s="106"/>
      <c r="F60" s="106"/>
      <c r="G60" s="106"/>
      <c r="H60" s="106"/>
    </row>
    <row r="61" spans="3:8" x14ac:dyDescent="0.25">
      <c r="C61" s="106"/>
      <c r="D61" s="106"/>
      <c r="E61" s="106"/>
      <c r="F61" s="106"/>
      <c r="G61" s="106"/>
      <c r="H61" s="106"/>
    </row>
    <row r="62" spans="3:8" x14ac:dyDescent="0.25">
      <c r="C62" s="106"/>
      <c r="D62" s="106"/>
      <c r="E62" s="106"/>
      <c r="F62" s="106"/>
      <c r="G62" s="106"/>
      <c r="H62" s="106"/>
    </row>
    <row r="63" spans="3:8" x14ac:dyDescent="0.25">
      <c r="C63" s="106"/>
      <c r="D63" s="106"/>
      <c r="E63" s="106"/>
      <c r="F63" s="106"/>
      <c r="G63" s="106"/>
      <c r="H63" s="106"/>
    </row>
    <row r="64" spans="3:8" x14ac:dyDescent="0.25">
      <c r="C64" s="106"/>
      <c r="D64" s="106"/>
      <c r="E64" s="106"/>
      <c r="F64" s="106"/>
      <c r="G64" s="106"/>
      <c r="H64" s="106"/>
    </row>
    <row r="65" spans="3:8" x14ac:dyDescent="0.25">
      <c r="C65" s="106"/>
      <c r="D65" s="106"/>
      <c r="E65" s="106"/>
      <c r="F65" s="106"/>
      <c r="G65" s="106"/>
      <c r="H65" s="106"/>
    </row>
    <row r="66" spans="3:8" x14ac:dyDescent="0.25">
      <c r="C66" s="106"/>
      <c r="D66" s="106"/>
      <c r="E66" s="106"/>
      <c r="F66" s="106"/>
      <c r="G66" s="106"/>
      <c r="H66" s="106"/>
    </row>
    <row r="67" spans="3:8" x14ac:dyDescent="0.25">
      <c r="C67" s="106"/>
      <c r="D67" s="106"/>
      <c r="E67" s="106"/>
      <c r="F67" s="106"/>
      <c r="G67" s="106"/>
      <c r="H67" s="106"/>
    </row>
    <row r="68" spans="3:8" x14ac:dyDescent="0.25">
      <c r="C68" s="106"/>
      <c r="D68" s="106"/>
      <c r="E68" s="106"/>
      <c r="F68" s="106"/>
      <c r="G68" s="106"/>
      <c r="H68" s="106"/>
    </row>
    <row r="69" spans="3:8" x14ac:dyDescent="0.25">
      <c r="C69" s="106"/>
      <c r="D69" s="106"/>
      <c r="E69" s="106"/>
      <c r="F69" s="106"/>
      <c r="G69" s="106"/>
      <c r="H69" s="106"/>
    </row>
    <row r="70" spans="3:8" x14ac:dyDescent="0.25">
      <c r="C70" s="106"/>
      <c r="D70" s="106"/>
      <c r="E70" s="106"/>
      <c r="F70" s="106"/>
      <c r="G70" s="106"/>
      <c r="H70" s="106"/>
    </row>
    <row r="71" spans="3:8" x14ac:dyDescent="0.25">
      <c r="C71" s="106"/>
      <c r="D71" s="106"/>
      <c r="E71" s="106"/>
      <c r="F71" s="106"/>
      <c r="G71" s="106"/>
      <c r="H71" s="106"/>
    </row>
    <row r="72" spans="3:8" x14ac:dyDescent="0.25">
      <c r="C72" s="106"/>
      <c r="D72" s="106"/>
      <c r="E72" s="106"/>
      <c r="F72" s="106"/>
      <c r="G72" s="106"/>
      <c r="H72" s="106"/>
    </row>
    <row r="73" spans="3:8" x14ac:dyDescent="0.25">
      <c r="C73" s="106"/>
      <c r="D73" s="106"/>
      <c r="E73" s="106"/>
      <c r="F73" s="106"/>
      <c r="G73" s="106"/>
      <c r="H73" s="106"/>
    </row>
    <row r="74" spans="3:8" x14ac:dyDescent="0.25">
      <c r="C74" s="106"/>
      <c r="D74" s="106"/>
      <c r="E74" s="106"/>
      <c r="F74" s="106"/>
      <c r="G74" s="106"/>
      <c r="H74" s="106"/>
    </row>
    <row r="75" spans="3:8" x14ac:dyDescent="0.25">
      <c r="C75" s="106"/>
      <c r="D75" s="106"/>
      <c r="E75" s="106"/>
      <c r="F75" s="106"/>
      <c r="G75" s="106"/>
      <c r="H75" s="106"/>
    </row>
    <row r="76" spans="3:8" x14ac:dyDescent="0.25">
      <c r="C76" s="106"/>
      <c r="D76" s="106"/>
      <c r="E76" s="106"/>
      <c r="F76" s="106"/>
      <c r="G76" s="106"/>
      <c r="H76" s="106"/>
    </row>
    <row r="77" spans="3:8" x14ac:dyDescent="0.25">
      <c r="C77" s="106"/>
      <c r="D77" s="106"/>
      <c r="E77" s="106"/>
      <c r="F77" s="106"/>
      <c r="G77" s="106"/>
      <c r="H77" s="106"/>
    </row>
    <row r="78" spans="3:8" x14ac:dyDescent="0.25">
      <c r="C78" s="106"/>
      <c r="D78" s="106"/>
      <c r="E78" s="106"/>
      <c r="F78" s="106"/>
      <c r="G78" s="106"/>
      <c r="H78" s="106"/>
    </row>
    <row r="79" spans="3:8" x14ac:dyDescent="0.25">
      <c r="C79" s="106"/>
      <c r="D79" s="106"/>
      <c r="E79" s="106"/>
      <c r="F79" s="106"/>
      <c r="G79" s="106"/>
      <c r="H79" s="106"/>
    </row>
    <row r="80" spans="3:8" x14ac:dyDescent="0.25">
      <c r="C80" s="106"/>
      <c r="D80" s="106"/>
      <c r="E80" s="106"/>
      <c r="F80" s="106"/>
      <c r="G80" s="106"/>
      <c r="H80" s="106"/>
    </row>
    <row r="81" spans="3:8" x14ac:dyDescent="0.25">
      <c r="C81" s="106"/>
      <c r="D81" s="106"/>
      <c r="E81" s="106"/>
      <c r="F81" s="106"/>
      <c r="G81" s="106"/>
      <c r="H81" s="106"/>
    </row>
    <row r="82" spans="3:8" x14ac:dyDescent="0.25">
      <c r="C82" s="106"/>
      <c r="D82" s="106"/>
      <c r="E82" s="106"/>
      <c r="F82" s="106"/>
      <c r="G82" s="106"/>
      <c r="H82" s="106"/>
    </row>
    <row r="83" spans="3:8" x14ac:dyDescent="0.25">
      <c r="C83" s="106"/>
      <c r="D83" s="106"/>
      <c r="E83" s="106"/>
      <c r="F83" s="106"/>
      <c r="G83" s="106"/>
      <c r="H83" s="106"/>
    </row>
  </sheetData>
  <mergeCells count="11">
    <mergeCell ref="E3:E4"/>
    <mergeCell ref="I3:I4"/>
    <mergeCell ref="A1:I1"/>
    <mergeCell ref="A2:I2"/>
    <mergeCell ref="G3:G4"/>
    <mergeCell ref="C3:C4"/>
    <mergeCell ref="H3:H4"/>
    <mergeCell ref="A3:A4"/>
    <mergeCell ref="B3:B4"/>
    <mergeCell ref="D3:D4"/>
    <mergeCell ref="F3:F4"/>
  </mergeCells>
  <phoneticPr fontId="0" type="noConversion"/>
  <printOptions gridLines="1"/>
  <pageMargins left="0.66" right="0.44" top="0.98425196850393704" bottom="0.98425196850393704" header="0.51181102362204722" footer="0.51181102362204722"/>
  <pageSetup paperSize="9" scale="76" orientation="landscape" r:id="rId1"/>
  <headerFooter alignWithMargins="0"/>
  <ignoredErrors>
    <ignoredError sqref="I10"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IT33"/>
  <sheetViews>
    <sheetView zoomScaleNormal="100" workbookViewId="0">
      <pane xSplit="2" ySplit="5" topLeftCell="C19" activePane="bottomRight" state="frozen"/>
      <selection pane="topRight" activeCell="C1" sqref="C1"/>
      <selection pane="bottomLeft" activeCell="A6" sqref="A6"/>
      <selection pane="bottomRight" activeCell="G33" sqref="G33"/>
    </sheetView>
  </sheetViews>
  <sheetFormatPr defaultColWidth="9.140625" defaultRowHeight="15.75" x14ac:dyDescent="0.25"/>
  <cols>
    <col min="1" max="1" width="7.28515625" style="118" customWidth="1"/>
    <col min="2" max="2" width="38.85546875" style="121" customWidth="1"/>
    <col min="3" max="3" width="19" style="118" customWidth="1"/>
    <col min="4" max="4" width="18.85546875" style="118" customWidth="1"/>
    <col min="5" max="5" width="14.42578125" style="118" customWidth="1"/>
    <col min="6" max="6" width="16.5703125" style="118" customWidth="1"/>
    <col min="7" max="7" width="15.140625" style="118" customWidth="1"/>
    <col min="8" max="8" width="16.85546875" style="118" customWidth="1"/>
    <col min="9" max="9" width="13.42578125" style="118" customWidth="1"/>
    <col min="10" max="10" width="12.42578125" style="118" customWidth="1"/>
    <col min="11" max="11" width="14.5703125" style="118" customWidth="1"/>
    <col min="12" max="12" width="14.42578125" style="118" customWidth="1"/>
    <col min="13" max="14" width="17.7109375" style="118" customWidth="1"/>
    <col min="15" max="15" width="31.7109375" style="118" customWidth="1"/>
    <col min="16" max="16" width="37.140625" style="118" customWidth="1"/>
    <col min="17" max="16384" width="9.140625" style="118"/>
  </cols>
  <sheetData>
    <row r="1" spans="1:254" s="344" customFormat="1" ht="27.75" customHeight="1" thickBot="1" x14ac:dyDescent="0.3">
      <c r="A1" s="954" t="s">
        <v>828</v>
      </c>
      <c r="B1" s="955"/>
      <c r="C1" s="955"/>
      <c r="D1" s="955"/>
      <c r="E1" s="955"/>
      <c r="F1" s="955"/>
      <c r="G1" s="955"/>
      <c r="H1" s="955"/>
      <c r="I1" s="955"/>
      <c r="J1" s="955"/>
      <c r="K1" s="955"/>
      <c r="L1" s="955"/>
      <c r="M1" s="955"/>
      <c r="N1" s="956"/>
    </row>
    <row r="2" spans="1:254" s="344" customFormat="1" ht="28.5" customHeight="1" x14ac:dyDescent="0.25">
      <c r="A2" s="957" t="s">
        <v>1061</v>
      </c>
      <c r="B2" s="958"/>
      <c r="C2" s="958"/>
      <c r="D2" s="958"/>
      <c r="E2" s="958"/>
      <c r="F2" s="958"/>
      <c r="G2" s="958"/>
      <c r="H2" s="958"/>
      <c r="I2" s="959"/>
      <c r="J2" s="959"/>
      <c r="K2" s="958"/>
      <c r="L2" s="958"/>
      <c r="M2" s="958"/>
      <c r="N2" s="960"/>
    </row>
    <row r="3" spans="1:254" s="344" customFormat="1" ht="51.75" customHeight="1" x14ac:dyDescent="0.25">
      <c r="A3" s="961" t="s">
        <v>80</v>
      </c>
      <c r="B3" s="962" t="s">
        <v>508</v>
      </c>
      <c r="C3" s="940" t="s">
        <v>156</v>
      </c>
      <c r="D3" s="940"/>
      <c r="E3" s="940" t="s">
        <v>157</v>
      </c>
      <c r="F3" s="940"/>
      <c r="G3" s="940" t="s">
        <v>158</v>
      </c>
      <c r="H3" s="941"/>
      <c r="I3" s="940" t="s">
        <v>489</v>
      </c>
      <c r="J3" s="940"/>
      <c r="K3" s="964" t="s">
        <v>139</v>
      </c>
      <c r="L3" s="940"/>
      <c r="M3" s="940" t="s">
        <v>152</v>
      </c>
      <c r="N3" s="953"/>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row>
    <row r="4" spans="1:254" s="344" customFormat="1" ht="17.25" customHeight="1" x14ac:dyDescent="0.25">
      <c r="A4" s="961"/>
      <c r="B4" s="963"/>
      <c r="C4" s="257">
        <v>2022</v>
      </c>
      <c r="D4" s="257">
        <v>2023</v>
      </c>
      <c r="E4" s="257">
        <v>2022</v>
      </c>
      <c r="F4" s="257">
        <v>2023</v>
      </c>
      <c r="G4" s="257">
        <v>2022</v>
      </c>
      <c r="H4" s="257">
        <v>2023</v>
      </c>
      <c r="I4" s="257">
        <v>2022</v>
      </c>
      <c r="J4" s="257">
        <v>2023</v>
      </c>
      <c r="K4" s="257">
        <v>2022</v>
      </c>
      <c r="L4" s="257">
        <v>2023</v>
      </c>
      <c r="M4" s="257">
        <v>2022</v>
      </c>
      <c r="N4" s="258">
        <v>2023</v>
      </c>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row>
    <row r="5" spans="1:254" s="344" customFormat="1" ht="15.75" customHeight="1" x14ac:dyDescent="0.25">
      <c r="A5" s="346"/>
      <c r="B5" s="347"/>
      <c r="C5" s="323" t="s">
        <v>119</v>
      </c>
      <c r="D5" s="323" t="s">
        <v>120</v>
      </c>
      <c r="E5" s="323" t="s">
        <v>121</v>
      </c>
      <c r="F5" s="323" t="s">
        <v>127</v>
      </c>
      <c r="G5" s="323" t="s">
        <v>122</v>
      </c>
      <c r="H5" s="348" t="s">
        <v>123</v>
      </c>
      <c r="I5" s="323" t="s">
        <v>124</v>
      </c>
      <c r="J5" s="323" t="s">
        <v>125</v>
      </c>
      <c r="K5" s="323" t="s">
        <v>126</v>
      </c>
      <c r="L5" s="323" t="s">
        <v>467</v>
      </c>
      <c r="M5" s="349" t="s">
        <v>530</v>
      </c>
      <c r="N5" s="350" t="s">
        <v>531</v>
      </c>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351"/>
      <c r="BK5" s="351"/>
      <c r="BL5" s="351"/>
      <c r="BM5" s="351"/>
      <c r="BN5" s="351"/>
      <c r="BO5" s="351"/>
      <c r="BP5" s="351"/>
      <c r="BQ5" s="351"/>
      <c r="BR5" s="351"/>
      <c r="BS5" s="351"/>
      <c r="BT5" s="351"/>
      <c r="BU5" s="351"/>
      <c r="BV5" s="351"/>
      <c r="BW5" s="351"/>
      <c r="BX5" s="351"/>
      <c r="BY5" s="351"/>
      <c r="BZ5" s="351"/>
      <c r="CA5" s="351"/>
      <c r="CB5" s="351"/>
      <c r="CC5" s="351"/>
      <c r="CD5" s="351"/>
      <c r="CE5" s="351"/>
      <c r="CF5" s="351"/>
      <c r="CG5" s="351"/>
      <c r="CH5" s="351"/>
      <c r="CI5" s="351"/>
      <c r="CJ5" s="351"/>
      <c r="CK5" s="351"/>
      <c r="CL5" s="351"/>
      <c r="CM5" s="351"/>
      <c r="CN5" s="351"/>
      <c r="CO5" s="351"/>
      <c r="CP5" s="351"/>
      <c r="CQ5" s="351"/>
      <c r="CR5" s="351"/>
      <c r="CS5" s="351"/>
      <c r="CT5" s="351"/>
      <c r="CU5" s="351"/>
      <c r="CV5" s="351"/>
      <c r="CW5" s="351"/>
      <c r="CX5" s="351"/>
      <c r="CY5" s="351"/>
      <c r="CZ5" s="351"/>
      <c r="DA5" s="351"/>
      <c r="DB5" s="351"/>
      <c r="DC5" s="351"/>
      <c r="DD5" s="351"/>
      <c r="DE5" s="351"/>
      <c r="DF5" s="351"/>
      <c r="DG5" s="351"/>
      <c r="DH5" s="351"/>
      <c r="DI5" s="351"/>
      <c r="DJ5" s="351"/>
      <c r="DK5" s="351"/>
      <c r="DL5" s="351"/>
      <c r="DM5" s="351"/>
      <c r="DN5" s="351"/>
      <c r="DO5" s="351"/>
      <c r="DP5" s="351"/>
      <c r="DQ5" s="351"/>
      <c r="DR5" s="351"/>
      <c r="DS5" s="351"/>
      <c r="DT5" s="351"/>
      <c r="DU5" s="351"/>
      <c r="DV5" s="351"/>
      <c r="DW5" s="351"/>
      <c r="DX5" s="351"/>
      <c r="DY5" s="351"/>
      <c r="DZ5" s="351"/>
      <c r="EA5" s="351"/>
      <c r="EB5" s="351"/>
      <c r="EC5" s="351"/>
      <c r="ED5" s="351"/>
      <c r="EE5" s="351"/>
      <c r="EF5" s="351"/>
      <c r="EG5" s="351"/>
      <c r="EH5" s="351"/>
      <c r="EI5" s="351"/>
      <c r="EJ5" s="351"/>
      <c r="EK5" s="351"/>
      <c r="EL5" s="351"/>
      <c r="EM5" s="351"/>
      <c r="EN5" s="351"/>
      <c r="EO5" s="351"/>
      <c r="EP5" s="351"/>
      <c r="EQ5" s="351"/>
      <c r="ER5" s="351"/>
      <c r="ES5" s="351"/>
      <c r="ET5" s="351"/>
      <c r="EU5" s="351"/>
      <c r="EV5" s="351"/>
      <c r="EW5" s="351"/>
      <c r="EX5" s="351"/>
      <c r="EY5" s="351"/>
      <c r="EZ5" s="351"/>
      <c r="FA5" s="351"/>
      <c r="FB5" s="351"/>
      <c r="FC5" s="351"/>
      <c r="FD5" s="351"/>
      <c r="FE5" s="351"/>
      <c r="FF5" s="351"/>
      <c r="FG5" s="351"/>
      <c r="FH5" s="351"/>
      <c r="FI5" s="351"/>
      <c r="FJ5" s="351"/>
      <c r="FK5" s="351"/>
      <c r="FL5" s="351"/>
      <c r="FM5" s="351"/>
      <c r="FN5" s="351"/>
      <c r="FO5" s="351"/>
      <c r="FP5" s="351"/>
      <c r="FQ5" s="351"/>
      <c r="FR5" s="351"/>
      <c r="FS5" s="351"/>
      <c r="FT5" s="351"/>
      <c r="FU5" s="351"/>
      <c r="FV5" s="351"/>
      <c r="FW5" s="351"/>
      <c r="FX5" s="351"/>
      <c r="FY5" s="351"/>
      <c r="FZ5" s="351"/>
      <c r="GA5" s="351"/>
      <c r="GB5" s="351"/>
      <c r="GC5" s="351"/>
      <c r="GD5" s="351"/>
      <c r="GE5" s="351"/>
      <c r="GF5" s="351"/>
      <c r="GG5" s="351"/>
      <c r="GH5" s="351"/>
      <c r="GI5" s="351"/>
      <c r="GJ5" s="351"/>
      <c r="GK5" s="351"/>
      <c r="GL5" s="351"/>
      <c r="GM5" s="351"/>
      <c r="GN5" s="351"/>
      <c r="GO5" s="351"/>
      <c r="GP5" s="351"/>
      <c r="GQ5" s="351"/>
      <c r="GR5" s="351"/>
      <c r="GS5" s="351"/>
      <c r="GT5" s="351"/>
      <c r="GU5" s="351"/>
      <c r="GV5" s="351"/>
      <c r="GW5" s="351"/>
      <c r="GX5" s="351"/>
      <c r="GY5" s="351"/>
      <c r="GZ5" s="351"/>
      <c r="HA5" s="351"/>
      <c r="HB5" s="351"/>
      <c r="HC5" s="351"/>
      <c r="HD5" s="351"/>
      <c r="HE5" s="351"/>
      <c r="HF5" s="351"/>
      <c r="HG5" s="351"/>
      <c r="HH5" s="351"/>
      <c r="HI5" s="351"/>
      <c r="HJ5" s="351"/>
      <c r="HK5" s="351"/>
      <c r="HL5" s="351"/>
      <c r="HM5" s="351"/>
      <c r="HN5" s="351"/>
      <c r="HO5" s="351"/>
      <c r="HP5" s="351"/>
      <c r="HQ5" s="351"/>
      <c r="HR5" s="351"/>
      <c r="HS5" s="351"/>
      <c r="HT5" s="351"/>
      <c r="HU5" s="351"/>
      <c r="HV5" s="351"/>
      <c r="HW5" s="351"/>
      <c r="HX5" s="351"/>
      <c r="HY5" s="351"/>
      <c r="HZ5" s="351"/>
      <c r="IA5" s="351"/>
      <c r="IB5" s="351"/>
      <c r="IC5" s="351"/>
      <c r="ID5" s="351"/>
      <c r="IE5" s="351"/>
      <c r="IF5" s="351"/>
      <c r="IG5" s="351"/>
      <c r="IH5" s="351"/>
      <c r="II5" s="351"/>
      <c r="IJ5" s="351"/>
      <c r="IK5" s="351"/>
      <c r="IL5" s="351"/>
      <c r="IM5" s="351"/>
      <c r="IN5" s="351"/>
      <c r="IO5" s="351"/>
      <c r="IP5" s="351"/>
      <c r="IQ5" s="351"/>
      <c r="IR5" s="351"/>
      <c r="IS5" s="351"/>
      <c r="IT5" s="351"/>
    </row>
    <row r="6" spans="1:254" ht="31.5" x14ac:dyDescent="0.25">
      <c r="A6" s="23">
        <v>1</v>
      </c>
      <c r="B6" s="352" t="s">
        <v>76</v>
      </c>
      <c r="C6" s="635">
        <v>16638944.9</v>
      </c>
      <c r="D6" s="636">
        <f>C17</f>
        <v>18109163.150000002</v>
      </c>
      <c r="E6" s="635">
        <v>0</v>
      </c>
      <c r="F6" s="636">
        <f>E17</f>
        <v>770600.40999999992</v>
      </c>
      <c r="G6" s="637">
        <v>397215.27</v>
      </c>
      <c r="H6" s="638">
        <f>G17</f>
        <v>736554.43000000017</v>
      </c>
      <c r="I6" s="635"/>
      <c r="J6" s="636">
        <f>SUM(I17)</f>
        <v>0</v>
      </c>
      <c r="K6" s="635"/>
      <c r="L6" s="636">
        <f>SUM(K17)</f>
        <v>0</v>
      </c>
      <c r="M6" s="636">
        <f t="shared" ref="M6:N8" si="0">C6+E6+G6+I6+K6</f>
        <v>17036160.170000002</v>
      </c>
      <c r="N6" s="639">
        <f t="shared" si="0"/>
        <v>19616317.990000002</v>
      </c>
    </row>
    <row r="7" spans="1:254" ht="31.5" x14ac:dyDescent="0.25">
      <c r="A7" s="23">
        <v>2</v>
      </c>
      <c r="B7" s="353" t="s">
        <v>484</v>
      </c>
      <c r="C7" s="636">
        <f t="shared" ref="C7:L7" si="1">SUM(C8:C15)</f>
        <v>3650648.88</v>
      </c>
      <c r="D7" s="636">
        <f t="shared" si="1"/>
        <v>757770.41</v>
      </c>
      <c r="E7" s="636">
        <f t="shared" si="1"/>
        <v>1700352.2</v>
      </c>
      <c r="F7" s="636">
        <f t="shared" si="1"/>
        <v>1759139.37</v>
      </c>
      <c r="G7" s="638">
        <f>SUM(G8:G15)</f>
        <v>1429402.06</v>
      </c>
      <c r="H7" s="638">
        <f>SUM(H8:H15)</f>
        <v>1540933.78</v>
      </c>
      <c r="I7" s="636">
        <f t="shared" si="1"/>
        <v>0</v>
      </c>
      <c r="J7" s="636">
        <f t="shared" si="1"/>
        <v>0</v>
      </c>
      <c r="K7" s="636">
        <f t="shared" si="1"/>
        <v>0</v>
      </c>
      <c r="L7" s="636">
        <f t="shared" si="1"/>
        <v>0</v>
      </c>
      <c r="M7" s="636">
        <f t="shared" si="0"/>
        <v>6780403.1400000006</v>
      </c>
      <c r="N7" s="639">
        <f t="shared" si="0"/>
        <v>4057843.5600000005</v>
      </c>
    </row>
    <row r="8" spans="1:254" ht="22.5" customHeight="1" x14ac:dyDescent="0.25">
      <c r="A8" s="23">
        <v>3</v>
      </c>
      <c r="B8" s="354" t="s">
        <v>29</v>
      </c>
      <c r="C8" s="640">
        <v>3650648.88</v>
      </c>
      <c r="D8" s="640">
        <v>757770.41</v>
      </c>
      <c r="E8" s="640"/>
      <c r="F8" s="640"/>
      <c r="G8" s="641"/>
      <c r="H8" s="641"/>
      <c r="I8" s="640"/>
      <c r="J8" s="640"/>
      <c r="K8" s="640"/>
      <c r="L8" s="640"/>
      <c r="M8" s="636">
        <f t="shared" si="0"/>
        <v>3650648.88</v>
      </c>
      <c r="N8" s="639">
        <f t="shared" si="0"/>
        <v>757770.41</v>
      </c>
    </row>
    <row r="9" spans="1:254" ht="83.25" customHeight="1" x14ac:dyDescent="0.25">
      <c r="A9" s="23">
        <v>4</v>
      </c>
      <c r="B9" s="354" t="s">
        <v>141</v>
      </c>
      <c r="C9" s="642" t="s">
        <v>140</v>
      </c>
      <c r="D9" s="642" t="s">
        <v>140</v>
      </c>
      <c r="E9" s="640">
        <v>1686879.9</v>
      </c>
      <c r="F9" s="643">
        <v>1759139.37</v>
      </c>
      <c r="G9" s="642" t="s">
        <v>140</v>
      </c>
      <c r="H9" s="642" t="s">
        <v>140</v>
      </c>
      <c r="I9" s="644" t="s">
        <v>140</v>
      </c>
      <c r="J9" s="644" t="s">
        <v>140</v>
      </c>
      <c r="K9" s="642" t="s">
        <v>140</v>
      </c>
      <c r="L9" s="642" t="s">
        <v>140</v>
      </c>
      <c r="M9" s="636">
        <f>E9</f>
        <v>1686879.9</v>
      </c>
      <c r="N9" s="639">
        <f>F9</f>
        <v>1759139.37</v>
      </c>
      <c r="O9" s="741" t="s">
        <v>1046</v>
      </c>
    </row>
    <row r="10" spans="1:254" ht="31.5" x14ac:dyDescent="0.25">
      <c r="A10" s="23">
        <v>5</v>
      </c>
      <c r="B10" s="354" t="s">
        <v>653</v>
      </c>
      <c r="C10" s="642" t="s">
        <v>140</v>
      </c>
      <c r="D10" s="642" t="s">
        <v>140</v>
      </c>
      <c r="E10" s="640">
        <v>13472.3</v>
      </c>
      <c r="F10" s="640"/>
      <c r="G10" s="642" t="s">
        <v>140</v>
      </c>
      <c r="H10" s="642" t="s">
        <v>140</v>
      </c>
      <c r="I10" s="644" t="s">
        <v>140</v>
      </c>
      <c r="J10" s="644" t="s">
        <v>140</v>
      </c>
      <c r="K10" s="642" t="s">
        <v>140</v>
      </c>
      <c r="L10" s="642" t="s">
        <v>140</v>
      </c>
      <c r="M10" s="636">
        <f>E10</f>
        <v>13472.3</v>
      </c>
      <c r="N10" s="639">
        <f>F10</f>
        <v>0</v>
      </c>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19"/>
      <c r="HS10" s="119"/>
      <c r="HT10" s="119"/>
      <c r="HU10" s="119"/>
      <c r="HV10" s="119"/>
      <c r="HW10" s="119"/>
      <c r="HX10" s="119"/>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row>
    <row r="11" spans="1:254" ht="31.5" x14ac:dyDescent="0.25">
      <c r="A11" s="23">
        <v>6</v>
      </c>
      <c r="B11" s="354" t="s">
        <v>142</v>
      </c>
      <c r="C11" s="642" t="s">
        <v>140</v>
      </c>
      <c r="D11" s="642" t="s">
        <v>140</v>
      </c>
      <c r="E11" s="640"/>
      <c r="F11" s="640"/>
      <c r="G11" s="641"/>
      <c r="H11" s="641"/>
      <c r="I11" s="645"/>
      <c r="J11" s="645"/>
      <c r="K11" s="635"/>
      <c r="L11" s="635"/>
      <c r="M11" s="636">
        <f>E11+G11+I11+K11</f>
        <v>0</v>
      </c>
      <c r="N11" s="639">
        <f>F11+H11+J11+L11</f>
        <v>0</v>
      </c>
    </row>
    <row r="12" spans="1:254" ht="17.25" customHeight="1" x14ac:dyDescent="0.25">
      <c r="A12" s="23">
        <v>7</v>
      </c>
      <c r="B12" s="354" t="s">
        <v>143</v>
      </c>
      <c r="C12" s="640"/>
      <c r="D12" s="640"/>
      <c r="E12" s="640"/>
      <c r="F12" s="640"/>
      <c r="G12" s="641"/>
      <c r="H12" s="641"/>
      <c r="I12" s="645"/>
      <c r="J12" s="645"/>
      <c r="K12" s="640"/>
      <c r="L12" s="640"/>
      <c r="M12" s="636">
        <f>C12+E12+G12+I12+K12</f>
        <v>0</v>
      </c>
      <c r="N12" s="639">
        <f>D12+F12+H12+J12+L12</f>
        <v>0</v>
      </c>
    </row>
    <row r="13" spans="1:254" ht="112.5" customHeight="1" x14ac:dyDescent="0.25">
      <c r="A13" s="23">
        <v>8</v>
      </c>
      <c r="B13" s="355" t="s">
        <v>30</v>
      </c>
      <c r="C13" s="642" t="s">
        <v>140</v>
      </c>
      <c r="D13" s="642" t="s">
        <v>140</v>
      </c>
      <c r="E13" s="642" t="s">
        <v>140</v>
      </c>
      <c r="F13" s="642" t="s">
        <v>140</v>
      </c>
      <c r="G13" s="641">
        <v>1343417</v>
      </c>
      <c r="H13" s="641">
        <v>1490235</v>
      </c>
      <c r="I13" s="645"/>
      <c r="J13" s="645"/>
      <c r="K13" s="646" t="s">
        <v>140</v>
      </c>
      <c r="L13" s="646" t="s">
        <v>140</v>
      </c>
      <c r="M13" s="636">
        <f>G13</f>
        <v>1343417</v>
      </c>
      <c r="N13" s="639">
        <f>H13</f>
        <v>1490235</v>
      </c>
      <c r="O13" s="740" t="s">
        <v>1044</v>
      </c>
      <c r="P13" s="741" t="s">
        <v>1045</v>
      </c>
    </row>
    <row r="14" spans="1:254" ht="19.5" customHeight="1" x14ac:dyDescent="0.25">
      <c r="A14" s="23">
        <v>9</v>
      </c>
      <c r="B14" s="354" t="s">
        <v>4</v>
      </c>
      <c r="C14" s="642" t="s">
        <v>140</v>
      </c>
      <c r="D14" s="642" t="s">
        <v>140</v>
      </c>
      <c r="E14" s="642" t="s">
        <v>140</v>
      </c>
      <c r="F14" s="642" t="s">
        <v>140</v>
      </c>
      <c r="G14" s="641">
        <v>85985.06</v>
      </c>
      <c r="H14" s="641">
        <v>50698.78</v>
      </c>
      <c r="I14" s="647" t="s">
        <v>140</v>
      </c>
      <c r="J14" s="647" t="s">
        <v>140</v>
      </c>
      <c r="K14" s="646" t="s">
        <v>140</v>
      </c>
      <c r="L14" s="646" t="s">
        <v>140</v>
      </c>
      <c r="M14" s="636">
        <f>G14</f>
        <v>85985.06</v>
      </c>
      <c r="N14" s="639">
        <f>H14</f>
        <v>50698.78</v>
      </c>
    </row>
    <row r="15" spans="1:254" ht="18.75" x14ac:dyDescent="0.25">
      <c r="A15" s="23">
        <v>10</v>
      </c>
      <c r="B15" s="354" t="s">
        <v>31</v>
      </c>
      <c r="C15" s="640"/>
      <c r="D15" s="640"/>
      <c r="E15" s="640"/>
      <c r="F15" s="640"/>
      <c r="G15" s="641"/>
      <c r="H15" s="641"/>
      <c r="I15" s="645"/>
      <c r="J15" s="645"/>
      <c r="K15" s="640"/>
      <c r="L15" s="640"/>
      <c r="M15" s="636">
        <f>C15+E15+G15+I15+K15</f>
        <v>0</v>
      </c>
      <c r="N15" s="639">
        <f>D15+F15+H15+J15+L15</f>
        <v>0</v>
      </c>
    </row>
    <row r="16" spans="1:254" ht="94.5" x14ac:dyDescent="0.25">
      <c r="A16" s="23">
        <v>11</v>
      </c>
      <c r="B16" s="352" t="s">
        <v>77</v>
      </c>
      <c r="C16" s="635">
        <v>2180430.63</v>
      </c>
      <c r="D16" s="635">
        <v>3880507.86</v>
      </c>
      <c r="E16" s="635">
        <v>929751.79</v>
      </c>
      <c r="F16" s="635">
        <v>1970881.73</v>
      </c>
      <c r="G16" s="641">
        <v>1090062.8999999999</v>
      </c>
      <c r="H16" s="641">
        <v>1415852</v>
      </c>
      <c r="I16" s="635"/>
      <c r="J16" s="635"/>
      <c r="K16" s="635"/>
      <c r="L16" s="635"/>
      <c r="M16" s="636">
        <f t="shared" ref="M16:N18" si="2">C16+E16+G16+I16+K16</f>
        <v>4200245.32</v>
      </c>
      <c r="N16" s="639">
        <f t="shared" si="2"/>
        <v>7267241.5899999999</v>
      </c>
      <c r="O16" s="741" t="s">
        <v>1090</v>
      </c>
    </row>
    <row r="17" spans="1:24" ht="31.5" x14ac:dyDescent="0.25">
      <c r="A17" s="23">
        <v>12</v>
      </c>
      <c r="B17" s="352" t="s">
        <v>5</v>
      </c>
      <c r="C17" s="636">
        <f t="shared" ref="C17:L17" si="3">C6+C7-C16</f>
        <v>18109163.150000002</v>
      </c>
      <c r="D17" s="636">
        <f t="shared" si="3"/>
        <v>14986425.700000003</v>
      </c>
      <c r="E17" s="636">
        <f t="shared" si="3"/>
        <v>770600.40999999992</v>
      </c>
      <c r="F17" s="636">
        <f t="shared" si="3"/>
        <v>558858.05000000028</v>
      </c>
      <c r="G17" s="638">
        <f t="shared" si="3"/>
        <v>736554.43000000017</v>
      </c>
      <c r="H17" s="638">
        <f t="shared" si="3"/>
        <v>861636.21</v>
      </c>
      <c r="I17" s="636">
        <f t="shared" si="3"/>
        <v>0</v>
      </c>
      <c r="J17" s="636">
        <f t="shared" si="3"/>
        <v>0</v>
      </c>
      <c r="K17" s="636">
        <f t="shared" si="3"/>
        <v>0</v>
      </c>
      <c r="L17" s="636">
        <f t="shared" si="3"/>
        <v>0</v>
      </c>
      <c r="M17" s="636">
        <f t="shared" si="2"/>
        <v>19616317.990000002</v>
      </c>
      <c r="N17" s="639">
        <f t="shared" si="2"/>
        <v>16406919.960000005</v>
      </c>
    </row>
    <row r="18" spans="1:24" ht="48.75" customHeight="1" thickBot="1" x14ac:dyDescent="0.3">
      <c r="A18" s="120">
        <v>13</v>
      </c>
      <c r="B18" s="356" t="s">
        <v>507</v>
      </c>
      <c r="C18" s="648">
        <v>0</v>
      </c>
      <c r="D18" s="648">
        <v>0</v>
      </c>
      <c r="E18" s="648">
        <v>0</v>
      </c>
      <c r="F18" s="648">
        <v>0</v>
      </c>
      <c r="G18" s="649">
        <v>0</v>
      </c>
      <c r="H18" s="649">
        <v>0</v>
      </c>
      <c r="I18" s="648">
        <v>0</v>
      </c>
      <c r="J18" s="648">
        <v>0</v>
      </c>
      <c r="K18" s="648">
        <v>0</v>
      </c>
      <c r="L18" s="648">
        <v>0</v>
      </c>
      <c r="M18" s="650">
        <f t="shared" si="2"/>
        <v>0</v>
      </c>
      <c r="N18" s="651">
        <f t="shared" si="2"/>
        <v>0</v>
      </c>
    </row>
    <row r="19" spans="1:24" x14ac:dyDescent="0.25">
      <c r="F19" s="193">
        <f>+'T5 - Analýza nákladov'!E93+'T5 - Analýza nákladov'!F93</f>
        <v>1751255.13</v>
      </c>
      <c r="H19" s="193">
        <f>'T1-Dotácie podľa DZ'!C16+'T1-Dotácie podľa DZ'!C17</f>
        <v>836135</v>
      </c>
      <c r="I19" s="122"/>
      <c r="J19" s="122"/>
    </row>
    <row r="20" spans="1:24" s="344" customFormat="1" x14ac:dyDescent="0.25">
      <c r="A20" s="357" t="s">
        <v>736</v>
      </c>
      <c r="B20" s="357"/>
      <c r="C20" s="357"/>
      <c r="H20" s="357"/>
      <c r="I20" s="357"/>
      <c r="J20" s="357"/>
      <c r="K20" s="357"/>
      <c r="L20" s="357"/>
      <c r="M20" s="357"/>
      <c r="N20" s="357"/>
    </row>
    <row r="21" spans="1:24" s="344" customFormat="1" x14ac:dyDescent="0.25">
      <c r="A21" s="357" t="s">
        <v>738</v>
      </c>
      <c r="B21" s="357"/>
      <c r="C21" s="357"/>
      <c r="D21" s="357"/>
      <c r="H21" s="357"/>
      <c r="I21" s="358"/>
      <c r="J21" s="359"/>
      <c r="K21" s="359"/>
      <c r="L21" s="359"/>
      <c r="M21" s="359"/>
      <c r="N21" s="359"/>
      <c r="O21" s="360"/>
      <c r="P21" s="360"/>
      <c r="Q21" s="360"/>
      <c r="R21" s="360"/>
    </row>
    <row r="22" spans="1:24" s="344" customFormat="1" ht="15.75" customHeight="1" x14ac:dyDescent="0.25">
      <c r="A22" s="361" t="s">
        <v>739</v>
      </c>
      <c r="B22" s="361"/>
      <c r="C22" s="361"/>
      <c r="D22" s="357"/>
      <c r="H22" s="357"/>
      <c r="I22" s="362"/>
      <c r="J22" s="357"/>
      <c r="K22" s="357"/>
      <c r="L22" s="357"/>
      <c r="M22" s="357"/>
      <c r="N22" s="357"/>
    </row>
    <row r="23" spans="1:24" x14ac:dyDescent="0.25">
      <c r="A23" s="118" t="s">
        <v>873</v>
      </c>
      <c r="L23" s="122"/>
    </row>
    <row r="27" spans="1:24" x14ac:dyDescent="0.25">
      <c r="B27" s="758" t="s">
        <v>1075</v>
      </c>
    </row>
    <row r="28" spans="1:24" x14ac:dyDescent="0.25">
      <c r="B28" s="758"/>
    </row>
    <row r="29" spans="1:24" x14ac:dyDescent="0.25">
      <c r="B29" s="758" t="s">
        <v>1076</v>
      </c>
    </row>
    <row r="30" spans="1:24" x14ac:dyDescent="0.25">
      <c r="B30" s="758"/>
    </row>
    <row r="31" spans="1:24" x14ac:dyDescent="0.25">
      <c r="B31" s="24" t="s">
        <v>1095</v>
      </c>
      <c r="C31" s="757"/>
      <c r="D31" s="24"/>
      <c r="E31" s="24"/>
      <c r="F31" s="24"/>
      <c r="G31" s="24"/>
      <c r="H31" s="24"/>
      <c r="I31" s="24"/>
      <c r="J31" s="24"/>
      <c r="K31" s="24"/>
      <c r="L31" s="24"/>
      <c r="M31" s="24"/>
      <c r="N31" s="24"/>
      <c r="O31" s="24"/>
      <c r="P31" s="50"/>
      <c r="Q31" s="50"/>
      <c r="R31" s="50"/>
      <c r="S31" s="50"/>
      <c r="T31" s="50"/>
      <c r="U31" s="50"/>
      <c r="V31" s="50"/>
      <c r="W31" s="50"/>
      <c r="X31" s="50"/>
    </row>
    <row r="32" spans="1:24" ht="78.75" x14ac:dyDescent="0.25">
      <c r="B32" s="762" t="s">
        <v>1094</v>
      </c>
    </row>
    <row r="33" spans="2:5" ht="126" x14ac:dyDescent="0.25">
      <c r="B33" s="121" t="s">
        <v>1098</v>
      </c>
      <c r="C33" s="763" t="s">
        <v>1092</v>
      </c>
      <c r="D33" s="763" t="s">
        <v>1097</v>
      </c>
      <c r="E33" s="769" t="s">
        <v>1099</v>
      </c>
    </row>
  </sheetData>
  <mergeCells count="10">
    <mergeCell ref="M3:N3"/>
    <mergeCell ref="A1:N1"/>
    <mergeCell ref="A2:N2"/>
    <mergeCell ref="A3:A4"/>
    <mergeCell ref="B3:B4"/>
    <mergeCell ref="C3:D3"/>
    <mergeCell ref="E3:F3"/>
    <mergeCell ref="G3:H3"/>
    <mergeCell ref="I3:J3"/>
    <mergeCell ref="K3:L3"/>
  </mergeCells>
  <pageMargins left="0.42" right="0.28999999999999998" top="0.74803149606299213" bottom="0.74803149606299213" header="0.31496062992125984"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32"/>
  <sheetViews>
    <sheetView zoomScaleNormal="100" workbookViewId="0">
      <pane xSplit="2" ySplit="4" topLeftCell="C5" activePane="bottomRight" state="frozen"/>
      <selection pane="topRight" activeCell="C1" sqref="C1"/>
      <selection pane="bottomLeft" activeCell="A5" sqref="A5"/>
      <selection pane="bottomRight" sqref="A1:E1"/>
    </sheetView>
  </sheetViews>
  <sheetFormatPr defaultColWidth="9.140625" defaultRowHeight="18.75" x14ac:dyDescent="0.25"/>
  <cols>
    <col min="1" max="1" width="7.42578125" style="123" customWidth="1"/>
    <col min="2" max="2" width="42.140625" style="134" customWidth="1"/>
    <col min="3" max="3" width="31.5703125" style="151" customWidth="1"/>
    <col min="4" max="4" width="31.5703125" style="123" customWidth="1"/>
    <col min="5" max="5" width="18.28515625" style="123" customWidth="1"/>
    <col min="6" max="16384" width="9.140625" style="123"/>
  </cols>
  <sheetData>
    <row r="1" spans="1:6" s="329" customFormat="1" ht="50.1" customHeight="1" thickBot="1" x14ac:dyDescent="0.3">
      <c r="A1" s="965" t="s">
        <v>829</v>
      </c>
      <c r="B1" s="966"/>
      <c r="C1" s="966"/>
      <c r="D1" s="966"/>
      <c r="E1" s="967"/>
      <c r="F1" s="433"/>
    </row>
    <row r="2" spans="1:6" s="329" customFormat="1" ht="35.1" customHeight="1" x14ac:dyDescent="0.25">
      <c r="A2" s="813" t="s">
        <v>1057</v>
      </c>
      <c r="B2" s="814"/>
      <c r="C2" s="814"/>
      <c r="D2" s="814"/>
      <c r="E2" s="815"/>
    </row>
    <row r="3" spans="1:6" s="329" customFormat="1" ht="63" x14ac:dyDescent="0.25">
      <c r="A3" s="363" t="s">
        <v>80</v>
      </c>
      <c r="B3" s="364" t="s">
        <v>153</v>
      </c>
      <c r="C3" s="364" t="s">
        <v>635</v>
      </c>
      <c r="D3" s="364" t="s">
        <v>636</v>
      </c>
      <c r="E3" s="365" t="s">
        <v>830</v>
      </c>
    </row>
    <row r="4" spans="1:6" s="329" customFormat="1" ht="15.75" customHeight="1" x14ac:dyDescent="0.25">
      <c r="A4" s="253"/>
      <c r="B4" s="237"/>
      <c r="C4" s="323" t="s">
        <v>119</v>
      </c>
      <c r="D4" s="323" t="s">
        <v>120</v>
      </c>
      <c r="E4" s="328" t="s">
        <v>8</v>
      </c>
    </row>
    <row r="5" spans="1:6" ht="15.75" customHeight="1" x14ac:dyDescent="0.25">
      <c r="A5" s="135">
        <v>1</v>
      </c>
      <c r="B5" s="366" t="s">
        <v>626</v>
      </c>
      <c r="C5" s="652">
        <v>700788.4</v>
      </c>
      <c r="D5" s="652">
        <v>0</v>
      </c>
      <c r="E5" s="653">
        <f t="shared" ref="E5:E18" si="0">C5+D5</f>
        <v>700788.4</v>
      </c>
    </row>
    <row r="6" spans="1:6" ht="15.75" customHeight="1" x14ac:dyDescent="0.25">
      <c r="A6" s="135">
        <f>A5+1</f>
        <v>2</v>
      </c>
      <c r="B6" s="366" t="s">
        <v>627</v>
      </c>
      <c r="C6" s="652">
        <v>0</v>
      </c>
      <c r="D6" s="652">
        <v>0</v>
      </c>
      <c r="E6" s="653">
        <f t="shared" si="0"/>
        <v>0</v>
      </c>
    </row>
    <row r="7" spans="1:6" ht="18.75" customHeight="1" x14ac:dyDescent="0.25">
      <c r="A7" s="135">
        <f>A6+1</f>
        <v>3</v>
      </c>
      <c r="B7" s="367" t="s">
        <v>631</v>
      </c>
      <c r="C7" s="654">
        <f>SUM(C5:C6)</f>
        <v>700788.4</v>
      </c>
      <c r="D7" s="654">
        <f>SUM(D5:D6)</f>
        <v>0</v>
      </c>
      <c r="E7" s="655">
        <f t="shared" si="0"/>
        <v>700788.4</v>
      </c>
    </row>
    <row r="8" spans="1:6" ht="15.75" customHeight="1" x14ac:dyDescent="0.25">
      <c r="A8" s="135">
        <f>A7+1</f>
        <v>4</v>
      </c>
      <c r="B8" s="366" t="s">
        <v>628</v>
      </c>
      <c r="C8" s="652">
        <v>294000</v>
      </c>
      <c r="D8" s="652">
        <v>0</v>
      </c>
      <c r="E8" s="653">
        <f t="shared" si="0"/>
        <v>294000</v>
      </c>
    </row>
    <row r="9" spans="1:6" ht="15.75" customHeight="1" x14ac:dyDescent="0.25">
      <c r="A9" s="135">
        <f>A8+1</f>
        <v>5</v>
      </c>
      <c r="B9" s="366" t="s">
        <v>629</v>
      </c>
      <c r="C9" s="652"/>
      <c r="D9" s="652"/>
      <c r="E9" s="653">
        <f t="shared" si="0"/>
        <v>0</v>
      </c>
    </row>
    <row r="10" spans="1:6" ht="18.75" customHeight="1" x14ac:dyDescent="0.25">
      <c r="A10" s="135">
        <v>6</v>
      </c>
      <c r="B10" s="367" t="s">
        <v>630</v>
      </c>
      <c r="C10" s="654">
        <f>SUM(C8,C9)</f>
        <v>294000</v>
      </c>
      <c r="D10" s="654">
        <f>SUM(D8,D9)</f>
        <v>0</v>
      </c>
      <c r="E10" s="655">
        <f t="shared" si="0"/>
        <v>294000</v>
      </c>
    </row>
    <row r="11" spans="1:6" ht="31.5" x14ac:dyDescent="0.25">
      <c r="A11" s="135">
        <v>13</v>
      </c>
      <c r="B11" s="367" t="s">
        <v>632</v>
      </c>
      <c r="C11" s="654">
        <f>SUM(C7,C10)</f>
        <v>994788.4</v>
      </c>
      <c r="D11" s="654">
        <f>SUM(D7,D10)</f>
        <v>0</v>
      </c>
      <c r="E11" s="655">
        <f t="shared" si="0"/>
        <v>994788.4</v>
      </c>
    </row>
    <row r="12" spans="1:6" ht="31.5" x14ac:dyDescent="0.25">
      <c r="A12" s="135">
        <v>14</v>
      </c>
      <c r="B12" s="367" t="s">
        <v>606</v>
      </c>
      <c r="C12" s="654">
        <f>C13+C16</f>
        <v>558982</v>
      </c>
      <c r="D12" s="654">
        <f>D13+D16</f>
        <v>0</v>
      </c>
      <c r="E12" s="655">
        <f t="shared" si="0"/>
        <v>558982</v>
      </c>
    </row>
    <row r="13" spans="1:6" ht="15.75" customHeight="1" x14ac:dyDescent="0.25">
      <c r="A13" s="135">
        <v>15</v>
      </c>
      <c r="B13" s="368" t="s">
        <v>633</v>
      </c>
      <c r="C13" s="654">
        <f>SUM(C14:C15)</f>
        <v>0</v>
      </c>
      <c r="D13" s="654">
        <f>SUM(D14:D15)</f>
        <v>0</v>
      </c>
      <c r="E13" s="655">
        <f t="shared" si="0"/>
        <v>0</v>
      </c>
    </row>
    <row r="14" spans="1:6" ht="15.75" customHeight="1" x14ac:dyDescent="0.25">
      <c r="A14" s="135">
        <v>16</v>
      </c>
      <c r="B14" s="369" t="s">
        <v>626</v>
      </c>
      <c r="C14" s="652"/>
      <c r="D14" s="652"/>
      <c r="E14" s="653">
        <f t="shared" si="0"/>
        <v>0</v>
      </c>
    </row>
    <row r="15" spans="1:6" ht="15.75" customHeight="1" x14ac:dyDescent="0.25">
      <c r="A15" s="135">
        <v>17</v>
      </c>
      <c r="B15" s="369" t="s">
        <v>627</v>
      </c>
      <c r="C15" s="656"/>
      <c r="D15" s="652"/>
      <c r="E15" s="653">
        <f t="shared" si="0"/>
        <v>0</v>
      </c>
    </row>
    <row r="16" spans="1:6" ht="15.75" customHeight="1" x14ac:dyDescent="0.25">
      <c r="A16" s="135">
        <v>18</v>
      </c>
      <c r="B16" s="370" t="s">
        <v>634</v>
      </c>
      <c r="C16" s="654">
        <f>SUM(C17:C21)</f>
        <v>558982</v>
      </c>
      <c r="D16" s="654">
        <f>SUM(D17:D21)</f>
        <v>0</v>
      </c>
      <c r="E16" s="655">
        <f t="shared" si="0"/>
        <v>558982</v>
      </c>
    </row>
    <row r="17" spans="1:6" ht="15.75" customHeight="1" x14ac:dyDescent="0.25">
      <c r="A17" s="186">
        <v>19</v>
      </c>
      <c r="B17" s="369" t="s">
        <v>1031</v>
      </c>
      <c r="C17" s="652">
        <v>558982</v>
      </c>
      <c r="D17" s="652"/>
      <c r="E17" s="653">
        <f t="shared" si="0"/>
        <v>558982</v>
      </c>
    </row>
    <row r="18" spans="1:6" ht="15.75" customHeight="1" x14ac:dyDescent="0.25">
      <c r="A18" s="135">
        <v>20</v>
      </c>
      <c r="B18" s="369" t="s">
        <v>629</v>
      </c>
      <c r="C18" s="652"/>
      <c r="D18" s="652"/>
      <c r="E18" s="653">
        <f t="shared" si="0"/>
        <v>0</v>
      </c>
    </row>
    <row r="19" spans="1:6" ht="15.75" customHeight="1" x14ac:dyDescent="0.25">
      <c r="A19" s="135">
        <v>21</v>
      </c>
      <c r="B19" s="369"/>
      <c r="C19" s="652"/>
      <c r="D19" s="652"/>
      <c r="E19" s="657"/>
    </row>
    <row r="20" spans="1:6" ht="15.75" customHeight="1" x14ac:dyDescent="0.25">
      <c r="A20" s="135">
        <v>22</v>
      </c>
      <c r="B20" s="369"/>
      <c r="C20" s="652"/>
      <c r="D20" s="652"/>
      <c r="E20" s="657"/>
    </row>
    <row r="21" spans="1:6" ht="15.75" customHeight="1" x14ac:dyDescent="0.25">
      <c r="A21" s="135">
        <v>23</v>
      </c>
      <c r="B21" s="369"/>
      <c r="C21" s="652"/>
      <c r="D21" s="652"/>
      <c r="E21" s="657"/>
    </row>
    <row r="22" spans="1:6" ht="15.75" customHeight="1" thickBot="1" x14ac:dyDescent="0.3">
      <c r="A22" s="136">
        <v>24</v>
      </c>
      <c r="B22" s="371" t="s">
        <v>623</v>
      </c>
      <c r="C22" s="658">
        <f>C11+C12</f>
        <v>1553770.4</v>
      </c>
      <c r="D22" s="658">
        <f>D11+D12</f>
        <v>0</v>
      </c>
      <c r="E22" s="659">
        <f>C22+D22</f>
        <v>1553770.4</v>
      </c>
    </row>
    <row r="23" spans="1:6" ht="15.75" x14ac:dyDescent="0.25">
      <c r="A23" s="14"/>
      <c r="B23" s="15"/>
      <c r="C23" s="16"/>
      <c r="D23" s="16"/>
      <c r="E23" s="16"/>
      <c r="F23" s="123" t="s">
        <v>1065</v>
      </c>
    </row>
    <row r="24" spans="1:6" s="329" customFormat="1" ht="15.75" x14ac:dyDescent="0.25">
      <c r="A24" s="372" t="s">
        <v>561</v>
      </c>
      <c r="B24" s="373" t="s">
        <v>637</v>
      </c>
      <c r="C24" s="373"/>
      <c r="D24" s="374"/>
      <c r="E24" s="374"/>
    </row>
    <row r="27" spans="1:6" x14ac:dyDescent="0.25">
      <c r="B27" s="660"/>
      <c r="C27" s="661" t="s">
        <v>977</v>
      </c>
      <c r="D27" s="662" t="s">
        <v>978</v>
      </c>
    </row>
    <row r="28" spans="1:6" x14ac:dyDescent="0.25">
      <c r="B28" s="743" t="s">
        <v>1048</v>
      </c>
      <c r="C28" s="744">
        <v>367000</v>
      </c>
      <c r="D28" s="745">
        <v>294000</v>
      </c>
    </row>
    <row r="29" spans="1:6" x14ac:dyDescent="0.25">
      <c r="B29" s="743" t="s">
        <v>1047</v>
      </c>
      <c r="C29" s="746">
        <v>333788.40000000002</v>
      </c>
      <c r="D29" s="745"/>
    </row>
    <row r="30" spans="1:6" x14ac:dyDescent="0.25">
      <c r="B30" s="660" t="s">
        <v>1049</v>
      </c>
      <c r="C30" s="661"/>
      <c r="D30" s="662">
        <v>208086.65</v>
      </c>
    </row>
    <row r="31" spans="1:6" x14ac:dyDescent="0.25">
      <c r="B31" s="660" t="s">
        <v>1050</v>
      </c>
      <c r="C31" s="661"/>
      <c r="D31" s="662">
        <v>350895.25</v>
      </c>
    </row>
    <row r="32" spans="1:6" x14ac:dyDescent="0.25">
      <c r="B32" s="660"/>
      <c r="C32" s="663"/>
      <c r="D32" s="662"/>
    </row>
  </sheetData>
  <mergeCells count="2">
    <mergeCell ref="A1:E1"/>
    <mergeCell ref="A2:E2"/>
  </mergeCells>
  <printOptions horizontalCentered="1"/>
  <pageMargins left="0.65" right="0.64" top="0.98425196850393704" bottom="0.73" header="0.51181102362204722" footer="0.51181102362204722"/>
  <pageSetup paperSize="9" scale="8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sheetPr>
  <dimension ref="A1:F7"/>
  <sheetViews>
    <sheetView zoomScaleNormal="100" workbookViewId="0">
      <selection sqref="A1:E1"/>
    </sheetView>
  </sheetViews>
  <sheetFormatPr defaultRowHeight="12.75" x14ac:dyDescent="0.2"/>
  <cols>
    <col min="1" max="1" width="7.42578125" customWidth="1"/>
    <col min="2" max="2" width="14" customWidth="1"/>
    <col min="3" max="4" width="25.42578125" customWidth="1"/>
    <col min="5" max="5" width="15.5703125" customWidth="1"/>
  </cols>
  <sheetData>
    <row r="1" spans="1:6" s="375" customFormat="1" ht="50.1" customHeight="1" thickBot="1" x14ac:dyDescent="0.25">
      <c r="A1" s="965" t="s">
        <v>831</v>
      </c>
      <c r="B1" s="966"/>
      <c r="C1" s="966"/>
      <c r="D1" s="966"/>
      <c r="E1" s="967"/>
    </row>
    <row r="2" spans="1:6" s="375" customFormat="1" ht="33.6" customHeight="1" x14ac:dyDescent="0.2">
      <c r="A2" s="813" t="s">
        <v>1057</v>
      </c>
      <c r="B2" s="814"/>
      <c r="C2" s="814"/>
      <c r="D2" s="814"/>
      <c r="E2" s="815"/>
    </row>
    <row r="3" spans="1:6" s="375" customFormat="1" ht="47.25" x14ac:dyDescent="0.2">
      <c r="A3" s="363" t="s">
        <v>80</v>
      </c>
      <c r="B3" s="364" t="s">
        <v>153</v>
      </c>
      <c r="C3" s="469" t="s">
        <v>871</v>
      </c>
      <c r="D3" s="469" t="s">
        <v>872</v>
      </c>
      <c r="E3" s="365" t="s">
        <v>832</v>
      </c>
    </row>
    <row r="4" spans="1:6" s="375" customFormat="1" ht="15.75" x14ac:dyDescent="0.2">
      <c r="A4" s="253"/>
      <c r="B4" s="237"/>
      <c r="C4" s="323" t="s">
        <v>119</v>
      </c>
      <c r="D4" s="323" t="s">
        <v>120</v>
      </c>
      <c r="E4" s="328" t="s">
        <v>8</v>
      </c>
    </row>
    <row r="5" spans="1:6" ht="16.5" thickBot="1" x14ac:dyDescent="0.25">
      <c r="A5" s="136">
        <v>1</v>
      </c>
      <c r="B5" s="376" t="s">
        <v>639</v>
      </c>
      <c r="C5" s="232">
        <v>0</v>
      </c>
      <c r="D5" s="232">
        <v>0</v>
      </c>
      <c r="E5" s="233">
        <f>C5+D5</f>
        <v>0</v>
      </c>
    </row>
    <row r="6" spans="1:6" x14ac:dyDescent="0.2">
      <c r="F6" t="s">
        <v>1065</v>
      </c>
    </row>
    <row r="7" spans="1:6" x14ac:dyDescent="0.2">
      <c r="B7" t="s">
        <v>979</v>
      </c>
    </row>
  </sheetData>
  <mergeCells count="2">
    <mergeCell ref="A1:E1"/>
    <mergeCell ref="A2:E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H26"/>
  <sheetViews>
    <sheetView zoomScaleNormal="100" workbookViewId="0">
      <pane xSplit="2" ySplit="4" topLeftCell="C23" activePane="bottomRight" state="frozen"/>
      <selection pane="topRight" activeCell="C1" sqref="C1"/>
      <selection pane="bottomLeft" activeCell="A5" sqref="A5"/>
      <selection pane="bottomRight" sqref="A1:D1"/>
    </sheetView>
  </sheetViews>
  <sheetFormatPr defaultColWidth="9.140625" defaultRowHeight="15.75" x14ac:dyDescent="0.2"/>
  <cols>
    <col min="1" max="1" width="10.5703125" style="10" customWidth="1"/>
    <col min="2" max="2" width="43.140625" style="38" customWidth="1"/>
    <col min="3" max="3" width="28.42578125" style="9" customWidth="1"/>
    <col min="4" max="4" width="46.5703125" style="9" customWidth="1"/>
    <col min="5" max="5" width="21.42578125" style="9" customWidth="1"/>
    <col min="6" max="6" width="9.140625" style="9"/>
    <col min="7" max="7" width="12.7109375" style="9" customWidth="1"/>
    <col min="8" max="16384" width="9.140625" style="9"/>
  </cols>
  <sheetData>
    <row r="1" spans="1:8" ht="50.1" customHeight="1" thickBot="1" x14ac:dyDescent="0.25">
      <c r="A1" s="968" t="s">
        <v>833</v>
      </c>
      <c r="B1" s="969"/>
      <c r="C1" s="969"/>
      <c r="D1" s="970"/>
    </row>
    <row r="2" spans="1:8" ht="35.1" customHeight="1" x14ac:dyDescent="0.2">
      <c r="A2" s="971" t="s">
        <v>980</v>
      </c>
      <c r="B2" s="972"/>
      <c r="C2" s="972"/>
      <c r="D2" s="973"/>
    </row>
    <row r="3" spans="1:8" ht="31.5" x14ac:dyDescent="0.2">
      <c r="A3" s="664" t="s">
        <v>80</v>
      </c>
      <c r="B3" s="665" t="s">
        <v>128</v>
      </c>
      <c r="C3" s="665" t="s">
        <v>834</v>
      </c>
      <c r="D3" s="666" t="s">
        <v>638</v>
      </c>
    </row>
    <row r="4" spans="1:8" s="11" customFormat="1" ht="18" customHeight="1" x14ac:dyDescent="0.2">
      <c r="A4" s="47"/>
      <c r="B4" s="665" t="s">
        <v>119</v>
      </c>
      <c r="C4" s="665" t="s">
        <v>120</v>
      </c>
      <c r="D4" s="666" t="s">
        <v>121</v>
      </c>
      <c r="F4" s="9"/>
      <c r="G4" s="9"/>
      <c r="H4" s="9"/>
    </row>
    <row r="5" spans="1:8" s="11" customFormat="1" ht="124.5" customHeight="1" x14ac:dyDescent="0.2">
      <c r="A5" s="47">
        <v>1</v>
      </c>
      <c r="B5" s="460" t="s">
        <v>981</v>
      </c>
      <c r="C5" s="532">
        <f>C6+C7+C8+C12+C13+C14+C15+C16+C17+C18+C19+C20+C21+C22</f>
        <v>22743455.189999998</v>
      </c>
      <c r="D5" s="37"/>
      <c r="E5" s="11" t="s">
        <v>982</v>
      </c>
      <c r="H5" s="9"/>
    </row>
    <row r="6" spans="1:8" ht="101.25" customHeight="1" x14ac:dyDescent="0.2">
      <c r="A6" s="47">
        <v>2</v>
      </c>
      <c r="B6" s="667" t="s">
        <v>583</v>
      </c>
      <c r="C6" s="66">
        <v>0</v>
      </c>
      <c r="D6" s="51" t="s">
        <v>983</v>
      </c>
      <c r="F6" s="11"/>
      <c r="G6" s="11"/>
    </row>
    <row r="7" spans="1:8" ht="125.25" customHeight="1" x14ac:dyDescent="0.2">
      <c r="A7" s="47" t="s">
        <v>145</v>
      </c>
      <c r="B7" s="668" t="s">
        <v>878</v>
      </c>
      <c r="C7" s="533">
        <v>9669933.7899999991</v>
      </c>
      <c r="D7" s="51" t="s">
        <v>984</v>
      </c>
      <c r="F7" s="11"/>
      <c r="G7" s="11"/>
    </row>
    <row r="8" spans="1:8" ht="31.5" x14ac:dyDescent="0.2">
      <c r="A8" s="47">
        <v>3</v>
      </c>
      <c r="B8" s="669" t="s">
        <v>591</v>
      </c>
      <c r="C8" s="34">
        <f>C9+C10+C11</f>
        <v>1482973.96</v>
      </c>
      <c r="D8" s="62"/>
    </row>
    <row r="9" spans="1:8" x14ac:dyDescent="0.2">
      <c r="A9" s="47">
        <v>4</v>
      </c>
      <c r="B9" s="670" t="s">
        <v>575</v>
      </c>
      <c r="C9" s="66">
        <v>0</v>
      </c>
      <c r="D9" s="51"/>
    </row>
    <row r="10" spans="1:8" x14ac:dyDescent="0.2">
      <c r="A10" s="47">
        <v>5</v>
      </c>
      <c r="B10" s="670" t="s">
        <v>576</v>
      </c>
      <c r="C10" s="533">
        <v>101819.99</v>
      </c>
      <c r="D10" s="51" t="s">
        <v>985</v>
      </c>
    </row>
    <row r="11" spans="1:8" ht="318.75" customHeight="1" x14ac:dyDescent="0.2">
      <c r="A11" s="47">
        <v>6</v>
      </c>
      <c r="B11" s="670" t="s">
        <v>577</v>
      </c>
      <c r="C11" s="533">
        <v>1381153.97</v>
      </c>
      <c r="D11" s="51" t="s">
        <v>986</v>
      </c>
    </row>
    <row r="12" spans="1:8" ht="54.75" customHeight="1" x14ac:dyDescent="0.2">
      <c r="A12" s="47">
        <v>7</v>
      </c>
      <c r="B12" s="669" t="s">
        <v>584</v>
      </c>
      <c r="C12" s="533">
        <v>40091.54</v>
      </c>
      <c r="D12" s="51" t="s">
        <v>987</v>
      </c>
      <c r="E12" s="9" t="s">
        <v>988</v>
      </c>
    </row>
    <row r="13" spans="1:8" x14ac:dyDescent="0.2">
      <c r="A13" s="47">
        <v>8</v>
      </c>
      <c r="B13" s="671" t="s">
        <v>578</v>
      </c>
      <c r="C13" s="66">
        <v>0</v>
      </c>
      <c r="D13" s="51"/>
    </row>
    <row r="14" spans="1:8" x14ac:dyDescent="0.2">
      <c r="A14" s="47">
        <v>9</v>
      </c>
      <c r="B14" s="671" t="s">
        <v>579</v>
      </c>
      <c r="C14" s="66">
        <v>0</v>
      </c>
      <c r="D14" s="51"/>
    </row>
    <row r="15" spans="1:8" ht="85.5" customHeight="1" x14ac:dyDescent="0.2">
      <c r="A15" s="47">
        <v>10</v>
      </c>
      <c r="B15" s="671" t="s">
        <v>580</v>
      </c>
      <c r="C15" s="66">
        <v>0</v>
      </c>
      <c r="D15" s="51" t="s">
        <v>989</v>
      </c>
    </row>
    <row r="16" spans="1:8" ht="31.5" x14ac:dyDescent="0.2">
      <c r="A16" s="47">
        <v>11</v>
      </c>
      <c r="B16" s="671" t="s">
        <v>581</v>
      </c>
      <c r="C16" s="66">
        <v>0</v>
      </c>
      <c r="D16" s="62"/>
    </row>
    <row r="17" spans="1:5" x14ac:dyDescent="0.2">
      <c r="A17" s="47">
        <v>12</v>
      </c>
      <c r="B17" s="671" t="s">
        <v>582</v>
      </c>
      <c r="C17" s="66">
        <v>0</v>
      </c>
      <c r="D17" s="62"/>
    </row>
    <row r="18" spans="1:5" ht="118.5" customHeight="1" x14ac:dyDescent="0.2">
      <c r="A18" s="47">
        <v>13</v>
      </c>
      <c r="B18" s="671" t="s">
        <v>585</v>
      </c>
      <c r="C18" s="533">
        <v>155261.28</v>
      </c>
      <c r="D18" s="51" t="s">
        <v>990</v>
      </c>
    </row>
    <row r="19" spans="1:5" ht="111.75" customHeight="1" x14ac:dyDescent="0.2">
      <c r="A19" s="47">
        <v>14</v>
      </c>
      <c r="B19" s="669" t="s">
        <v>586</v>
      </c>
      <c r="C19" s="533">
        <v>569166.94999999995</v>
      </c>
      <c r="D19" s="51" t="s">
        <v>991</v>
      </c>
    </row>
    <row r="20" spans="1:5" x14ac:dyDescent="0.2">
      <c r="A20" s="47">
        <v>15</v>
      </c>
      <c r="B20" s="9" t="s">
        <v>587</v>
      </c>
      <c r="C20" s="66">
        <v>0</v>
      </c>
      <c r="D20" s="51"/>
    </row>
    <row r="21" spans="1:5" x14ac:dyDescent="0.2">
      <c r="A21" s="47">
        <v>16</v>
      </c>
      <c r="B21" s="669" t="s">
        <v>588</v>
      </c>
      <c r="C21" s="66">
        <v>0</v>
      </c>
      <c r="D21" s="51" t="s">
        <v>992</v>
      </c>
    </row>
    <row r="22" spans="1:5" ht="386.25" customHeight="1" x14ac:dyDescent="0.2">
      <c r="A22" s="47">
        <v>17</v>
      </c>
      <c r="B22" s="669" t="s">
        <v>590</v>
      </c>
      <c r="C22" s="672">
        <v>10826027.67</v>
      </c>
      <c r="D22" s="63" t="s">
        <v>993</v>
      </c>
      <c r="E22" s="9" t="s">
        <v>994</v>
      </c>
    </row>
    <row r="23" spans="1:5" x14ac:dyDescent="0.2">
      <c r="A23" s="205">
        <v>18</v>
      </c>
      <c r="B23" s="460" t="s">
        <v>589</v>
      </c>
      <c r="C23" s="79"/>
      <c r="D23" s="63"/>
    </row>
    <row r="24" spans="1:5" ht="78.75" x14ac:dyDescent="0.2">
      <c r="A24" s="205">
        <v>19</v>
      </c>
      <c r="B24" s="673" t="s">
        <v>474</v>
      </c>
      <c r="C24" s="79">
        <v>108.25</v>
      </c>
      <c r="D24" s="63"/>
      <c r="E24" s="9" t="s">
        <v>995</v>
      </c>
    </row>
    <row r="25" spans="1:5" ht="32.25" thickBot="1" x14ac:dyDescent="0.25">
      <c r="A25" s="48">
        <v>20</v>
      </c>
      <c r="B25" s="461" t="s">
        <v>592</v>
      </c>
      <c r="C25" s="174">
        <f>+C5+C23+C24</f>
        <v>22743563.439999998</v>
      </c>
      <c r="D25" s="41"/>
    </row>
    <row r="26" spans="1:5" x14ac:dyDescent="0.2">
      <c r="E26" s="9" t="s">
        <v>1065</v>
      </c>
    </row>
  </sheetData>
  <mergeCells count="2">
    <mergeCell ref="A1:D1"/>
    <mergeCell ref="A2:D2"/>
  </mergeCells>
  <printOptions gridLines="1"/>
  <pageMargins left="0.74803149606299213" right="0.74803149606299213" top="0.98425196850393704" bottom="0.79" header="0.51181102362204722" footer="0.51181102362204722"/>
  <pageSetup paperSize="9" scale="2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Q37"/>
  <sheetViews>
    <sheetView zoomScaleNormal="100" workbookViewId="0">
      <pane xSplit="2" ySplit="5" topLeftCell="C24" activePane="bottomRight" state="frozen"/>
      <selection pane="topRight" activeCell="C1" sqref="C1"/>
      <selection pane="bottomLeft" activeCell="A6" sqref="A6"/>
      <selection pane="bottomRight" activeCell="H44" sqref="H44"/>
    </sheetView>
  </sheetViews>
  <sheetFormatPr defaultColWidth="9.140625" defaultRowHeight="15.75" x14ac:dyDescent="0.2"/>
  <cols>
    <col min="1" max="1" width="7.7109375" style="14" customWidth="1"/>
    <col min="2" max="2" width="47.5703125" style="15" customWidth="1"/>
    <col min="3" max="3" width="17.85546875" style="16" customWidth="1"/>
    <col min="4" max="4" width="16.85546875" style="16" customWidth="1"/>
    <col min="5" max="5" width="17.140625" style="16" customWidth="1"/>
    <col min="6" max="6" width="18.140625" style="16" customWidth="1"/>
    <col min="7" max="7" width="17.42578125" style="16" customWidth="1"/>
    <col min="8" max="8" width="17" style="16" customWidth="1"/>
    <col min="9" max="9" width="9.140625" style="16"/>
    <col min="10" max="10" width="11.5703125" style="16" customWidth="1"/>
    <col min="11" max="11" width="14.28515625" style="16" customWidth="1"/>
    <col min="12" max="12" width="12.28515625" style="16" customWidth="1"/>
    <col min="13" max="13" width="13.85546875" style="16" customWidth="1"/>
    <col min="14" max="14" width="13.28515625" style="16" customWidth="1"/>
    <col min="15" max="15" width="16.140625" style="16" customWidth="1"/>
    <col min="16" max="16" width="13.5703125" style="16" customWidth="1"/>
    <col min="17" max="16384" width="9.140625" style="16"/>
  </cols>
  <sheetData>
    <row r="1" spans="1:17" s="378" customFormat="1" ht="50.1" customHeight="1" thickBot="1" x14ac:dyDescent="0.25">
      <c r="A1" s="965" t="s">
        <v>879</v>
      </c>
      <c r="B1" s="966"/>
      <c r="C1" s="966"/>
      <c r="D1" s="966"/>
      <c r="E1" s="966"/>
      <c r="F1" s="966"/>
      <c r="G1" s="966"/>
      <c r="H1" s="967"/>
    </row>
    <row r="2" spans="1:17" s="378" customFormat="1" ht="35.1" customHeight="1" x14ac:dyDescent="0.2">
      <c r="A2" s="813" t="s">
        <v>1057</v>
      </c>
      <c r="B2" s="814"/>
      <c r="C2" s="814"/>
      <c r="D2" s="814"/>
      <c r="E2" s="814"/>
      <c r="F2" s="814"/>
      <c r="G2" s="814"/>
      <c r="H2" s="815"/>
    </row>
    <row r="3" spans="1:17" s="374" customFormat="1" ht="27" customHeight="1" x14ac:dyDescent="0.2">
      <c r="A3" s="895" t="s">
        <v>80</v>
      </c>
      <c r="B3" s="809" t="s">
        <v>153</v>
      </c>
      <c r="C3" s="809" t="s">
        <v>134</v>
      </c>
      <c r="D3" s="809"/>
      <c r="E3" s="809" t="s">
        <v>135</v>
      </c>
      <c r="F3" s="809"/>
      <c r="G3" s="974" t="s">
        <v>84</v>
      </c>
      <c r="H3" s="975"/>
    </row>
    <row r="4" spans="1:17" s="374" customFormat="1" ht="33" customHeight="1" x14ac:dyDescent="0.2">
      <c r="A4" s="807"/>
      <c r="B4" s="849"/>
      <c r="C4" s="237" t="s">
        <v>25</v>
      </c>
      <c r="D4" s="237" t="s">
        <v>73</v>
      </c>
      <c r="E4" s="237" t="s">
        <v>25</v>
      </c>
      <c r="F4" s="237" t="s">
        <v>73</v>
      </c>
      <c r="G4" s="237" t="s">
        <v>25</v>
      </c>
      <c r="H4" s="261" t="s">
        <v>73</v>
      </c>
    </row>
    <row r="5" spans="1:17" s="374" customFormat="1" ht="15.75" customHeight="1" x14ac:dyDescent="0.2">
      <c r="A5" s="253"/>
      <c r="B5" s="237"/>
      <c r="C5" s="323" t="s">
        <v>119</v>
      </c>
      <c r="D5" s="323" t="s">
        <v>120</v>
      </c>
      <c r="E5" s="323" t="s">
        <v>121</v>
      </c>
      <c r="F5" s="323" t="s">
        <v>127</v>
      </c>
      <c r="G5" s="323" t="s">
        <v>11</v>
      </c>
      <c r="H5" s="328" t="s">
        <v>12</v>
      </c>
    </row>
    <row r="6" spans="1:17" ht="18" customHeight="1" x14ac:dyDescent="0.2">
      <c r="A6" s="135">
        <v>1</v>
      </c>
      <c r="B6" s="367" t="s">
        <v>565</v>
      </c>
      <c r="C6" s="654">
        <f>C7</f>
        <v>0</v>
      </c>
      <c r="D6" s="654">
        <f>D8</f>
        <v>0</v>
      </c>
      <c r="E6" s="654">
        <f>E7</f>
        <v>0</v>
      </c>
      <c r="F6" s="654">
        <f>F8</f>
        <v>0</v>
      </c>
      <c r="G6" s="654">
        <f>C6+E6</f>
        <v>0</v>
      </c>
      <c r="H6" s="655">
        <f>D6+F6</f>
        <v>0</v>
      </c>
      <c r="J6" s="185"/>
    </row>
    <row r="7" spans="1:17" ht="18" customHeight="1" x14ac:dyDescent="0.2">
      <c r="A7" s="135">
        <v>2</v>
      </c>
      <c r="B7" s="366" t="s">
        <v>594</v>
      </c>
      <c r="C7" s="674"/>
      <c r="D7" s="656" t="s">
        <v>496</v>
      </c>
      <c r="E7" s="674"/>
      <c r="F7" s="656" t="s">
        <v>496</v>
      </c>
      <c r="G7" s="675">
        <f>C7+E7</f>
        <v>0</v>
      </c>
      <c r="H7" s="657" t="s">
        <v>496</v>
      </c>
      <c r="J7" s="185"/>
    </row>
    <row r="8" spans="1:17" ht="18" customHeight="1" x14ac:dyDescent="0.2">
      <c r="A8" s="135">
        <f>A7+1</f>
        <v>3</v>
      </c>
      <c r="B8" s="366" t="s">
        <v>595</v>
      </c>
      <c r="C8" s="656" t="s">
        <v>496</v>
      </c>
      <c r="D8" s="674"/>
      <c r="E8" s="656" t="s">
        <v>496</v>
      </c>
      <c r="F8" s="674"/>
      <c r="G8" s="676" t="s">
        <v>496</v>
      </c>
      <c r="H8" s="653">
        <f>D8+F8</f>
        <v>0</v>
      </c>
      <c r="I8" s="185"/>
      <c r="J8" s="185"/>
    </row>
    <row r="9" spans="1:17" ht="18" customHeight="1" x14ac:dyDescent="0.2">
      <c r="A9" s="135">
        <f>A8+1</f>
        <v>4</v>
      </c>
      <c r="B9" s="367" t="s">
        <v>566</v>
      </c>
      <c r="C9" s="654">
        <f>SUM(C10:C11)</f>
        <v>0</v>
      </c>
      <c r="D9" s="654">
        <f>SUM(D10:D11)</f>
        <v>0</v>
      </c>
      <c r="E9" s="654">
        <f>SUM(E10:E11)</f>
        <v>0</v>
      </c>
      <c r="F9" s="654">
        <f>SUM(F10:F11)</f>
        <v>0</v>
      </c>
      <c r="G9" s="654">
        <f>C9+E9</f>
        <v>0</v>
      </c>
      <c r="H9" s="655">
        <f>D9+F9</f>
        <v>0</v>
      </c>
      <c r="I9" s="185"/>
      <c r="J9" s="185"/>
    </row>
    <row r="10" spans="1:17" ht="18" customHeight="1" x14ac:dyDescent="0.2">
      <c r="A10" s="135">
        <f>A9+1</f>
        <v>5</v>
      </c>
      <c r="B10" s="366" t="s">
        <v>596</v>
      </c>
      <c r="C10" s="674"/>
      <c r="D10" s="656" t="s">
        <v>496</v>
      </c>
      <c r="E10" s="674"/>
      <c r="F10" s="656" t="s">
        <v>496</v>
      </c>
      <c r="G10" s="675">
        <f>C10+E10</f>
        <v>0</v>
      </c>
      <c r="H10" s="657" t="s">
        <v>496</v>
      </c>
      <c r="I10" s="185"/>
      <c r="J10" s="487"/>
      <c r="K10" s="13" t="s">
        <v>1001</v>
      </c>
      <c r="L10" s="13" t="s">
        <v>1001</v>
      </c>
      <c r="M10" s="13" t="s">
        <v>1002</v>
      </c>
      <c r="N10" s="13" t="s">
        <v>1002</v>
      </c>
      <c r="O10" s="13" t="s">
        <v>1003</v>
      </c>
      <c r="P10" s="13"/>
      <c r="Q10" s="13"/>
    </row>
    <row r="11" spans="1:17" ht="18" customHeight="1" x14ac:dyDescent="0.2">
      <c r="A11" s="135">
        <f>A10+1</f>
        <v>6</v>
      </c>
      <c r="B11" s="366" t="s">
        <v>597</v>
      </c>
      <c r="C11" s="656" t="s">
        <v>496</v>
      </c>
      <c r="D11" s="674"/>
      <c r="E11" s="656" t="s">
        <v>496</v>
      </c>
      <c r="F11" s="674"/>
      <c r="G11" s="676" t="s">
        <v>496</v>
      </c>
      <c r="H11" s="653">
        <f>D11+F11</f>
        <v>0</v>
      </c>
      <c r="I11" s="185"/>
      <c r="J11" s="487"/>
      <c r="K11" s="13" t="s">
        <v>1004</v>
      </c>
      <c r="L11" s="13" t="s">
        <v>1005</v>
      </c>
      <c r="M11" s="13" t="s">
        <v>1004</v>
      </c>
      <c r="N11" s="13" t="s">
        <v>1006</v>
      </c>
      <c r="O11" s="13" t="s">
        <v>1004</v>
      </c>
      <c r="P11" s="13" t="s">
        <v>1007</v>
      </c>
      <c r="Q11" s="13"/>
    </row>
    <row r="12" spans="1:17" ht="18" customHeight="1" x14ac:dyDescent="0.2">
      <c r="A12" s="135">
        <v>7</v>
      </c>
      <c r="B12" s="367" t="s">
        <v>544</v>
      </c>
      <c r="C12" s="654">
        <f>SUM(C13:C14)</f>
        <v>5336271.6900000004</v>
      </c>
      <c r="D12" s="654">
        <f>SUM(D13:D14)</f>
        <v>587253.36</v>
      </c>
      <c r="E12" s="654">
        <f>SUM(E13:E14)</f>
        <v>5113012.21</v>
      </c>
      <c r="F12" s="654">
        <f>SUM(F13:F14)</f>
        <v>601530.84</v>
      </c>
      <c r="G12" s="654">
        <f>C12+E12</f>
        <v>10449283.9</v>
      </c>
      <c r="H12" s="655">
        <f>D12+F12</f>
        <v>1188784.2</v>
      </c>
      <c r="I12" s="185"/>
      <c r="J12" s="487"/>
      <c r="K12" s="683" t="s">
        <v>1008</v>
      </c>
      <c r="L12" s="684" t="s">
        <v>1009</v>
      </c>
      <c r="M12" s="683" t="s">
        <v>1008</v>
      </c>
      <c r="N12" s="684" t="s">
        <v>1009</v>
      </c>
      <c r="O12" s="711" t="s">
        <v>1008</v>
      </c>
      <c r="P12" s="712" t="s">
        <v>1009</v>
      </c>
      <c r="Q12" s="13"/>
    </row>
    <row r="13" spans="1:17" ht="18" customHeight="1" x14ac:dyDescent="0.2">
      <c r="A13" s="135">
        <v>8</v>
      </c>
      <c r="B13" s="692" t="s">
        <v>546</v>
      </c>
      <c r="C13" s="656">
        <v>5336271.6900000004</v>
      </c>
      <c r="D13" s="656" t="s">
        <v>496</v>
      </c>
      <c r="E13" s="656">
        <v>5113012.21</v>
      </c>
      <c r="F13" s="656" t="s">
        <v>496</v>
      </c>
      <c r="G13" s="675">
        <f>C13+E13</f>
        <v>10449283.9</v>
      </c>
      <c r="H13" s="657" t="s">
        <v>496</v>
      </c>
      <c r="I13" s="185"/>
      <c r="J13" s="685" t="s">
        <v>1010</v>
      </c>
      <c r="K13" s="686">
        <v>5336271.6900000004</v>
      </c>
      <c r="L13" s="687">
        <v>587253.36</v>
      </c>
      <c r="M13" s="686">
        <v>5113012.21</v>
      </c>
      <c r="N13" s="687">
        <v>601530.84</v>
      </c>
      <c r="O13" s="688">
        <f>K13+M13</f>
        <v>10449283.9</v>
      </c>
      <c r="P13" s="689">
        <f>L13+N13</f>
        <v>1188784.2</v>
      </c>
      <c r="Q13" s="13"/>
    </row>
    <row r="14" spans="1:17" ht="18" customHeight="1" x14ac:dyDescent="0.2">
      <c r="A14" s="135">
        <v>9</v>
      </c>
      <c r="B14" s="693" t="s">
        <v>547</v>
      </c>
      <c r="C14" s="656" t="s">
        <v>496</v>
      </c>
      <c r="D14" s="674">
        <v>587253.36</v>
      </c>
      <c r="E14" s="656" t="s">
        <v>496</v>
      </c>
      <c r="F14" s="674">
        <v>601530.84</v>
      </c>
      <c r="G14" s="676" t="s">
        <v>496</v>
      </c>
      <c r="H14" s="653">
        <f>D14+F14</f>
        <v>1188784.2</v>
      </c>
      <c r="I14" s="185"/>
      <c r="J14" s="685" t="s">
        <v>1011</v>
      </c>
      <c r="K14" s="686">
        <v>73633.08</v>
      </c>
      <c r="L14" s="687">
        <v>8662.7099999999991</v>
      </c>
      <c r="M14" s="686">
        <v>0</v>
      </c>
      <c r="N14" s="687">
        <v>0</v>
      </c>
      <c r="O14" s="688">
        <f t="shared" ref="O14:P15" si="0">K14+M14</f>
        <v>73633.08</v>
      </c>
      <c r="P14" s="689">
        <f t="shared" si="0"/>
        <v>8662.7099999999991</v>
      </c>
      <c r="Q14" s="13"/>
    </row>
    <row r="15" spans="1:17" ht="39" customHeight="1" x14ac:dyDescent="0.2">
      <c r="A15" s="135">
        <v>10</v>
      </c>
      <c r="B15" s="368" t="s">
        <v>545</v>
      </c>
      <c r="C15" s="654">
        <f>SUM(C16:C17)</f>
        <v>44021.89</v>
      </c>
      <c r="D15" s="654">
        <f>SUM(D16:D17)</f>
        <v>5743.5</v>
      </c>
      <c r="E15" s="654">
        <f>SUM(E16:E17)</f>
        <v>0</v>
      </c>
      <c r="F15" s="654">
        <f>SUM(F16:F17)</f>
        <v>0</v>
      </c>
      <c r="G15" s="654">
        <f>C15+E15</f>
        <v>44021.89</v>
      </c>
      <c r="H15" s="655">
        <f>D15+F15</f>
        <v>5743.5</v>
      </c>
      <c r="I15" s="185"/>
      <c r="J15" s="690" t="s">
        <v>1012</v>
      </c>
      <c r="K15" s="691">
        <f>SUM(K13:K14)</f>
        <v>5409904.7700000005</v>
      </c>
      <c r="L15" s="691">
        <f>SUM(L13:L14)</f>
        <v>595916.06999999995</v>
      </c>
      <c r="M15" s="691">
        <f>SUM(M13:M14)</f>
        <v>5113012.21</v>
      </c>
      <c r="N15" s="691">
        <f>SUM(N13:N14)</f>
        <v>601530.84</v>
      </c>
      <c r="O15" s="688">
        <f t="shared" si="0"/>
        <v>10522916.98</v>
      </c>
      <c r="P15" s="689">
        <f t="shared" si="0"/>
        <v>1197446.9099999999</v>
      </c>
      <c r="Q15" s="13"/>
    </row>
    <row r="16" spans="1:17" ht="18" customHeight="1" x14ac:dyDescent="0.2">
      <c r="A16" s="135">
        <v>11</v>
      </c>
      <c r="B16" s="369" t="s">
        <v>598</v>
      </c>
      <c r="C16" s="656">
        <v>44021.89</v>
      </c>
      <c r="D16" s="656" t="s">
        <v>496</v>
      </c>
      <c r="E16" s="656"/>
      <c r="F16" s="656" t="s">
        <v>496</v>
      </c>
      <c r="G16" s="675">
        <f>C16+E16</f>
        <v>44021.89</v>
      </c>
      <c r="H16" s="657" t="s">
        <v>496</v>
      </c>
      <c r="I16" s="185"/>
      <c r="J16" s="185"/>
    </row>
    <row r="17" spans="1:14" ht="18" customHeight="1" x14ac:dyDescent="0.2">
      <c r="A17" s="135">
        <v>12</v>
      </c>
      <c r="B17" s="369" t="s">
        <v>764</v>
      </c>
      <c r="C17" s="656" t="s">
        <v>496</v>
      </c>
      <c r="D17" s="674">
        <v>5743.5</v>
      </c>
      <c r="E17" s="656" t="s">
        <v>496</v>
      </c>
      <c r="F17" s="674"/>
      <c r="G17" s="676" t="s">
        <v>496</v>
      </c>
      <c r="H17" s="653">
        <f>D17+F17</f>
        <v>5743.5</v>
      </c>
      <c r="I17" s="185"/>
      <c r="J17" s="185"/>
      <c r="M17" s="16">
        <v>195344.62</v>
      </c>
      <c r="N17" s="16">
        <v>36733.72</v>
      </c>
    </row>
    <row r="18" spans="1:14" ht="44.25" customHeight="1" x14ac:dyDescent="0.2">
      <c r="A18" s="135">
        <v>13</v>
      </c>
      <c r="B18" s="367" t="s">
        <v>607</v>
      </c>
      <c r="C18" s="654">
        <f>C6+C9+C12+C15</f>
        <v>5380293.5800000001</v>
      </c>
      <c r="D18" s="654">
        <f>D6+D9+D12+D15</f>
        <v>592996.86</v>
      </c>
      <c r="E18" s="654">
        <f>E6+E9+E12+E15</f>
        <v>5113012.21</v>
      </c>
      <c r="F18" s="654">
        <f>F6+F9+F12+F15</f>
        <v>601530.84</v>
      </c>
      <c r="G18" s="654">
        <f>C18+E18</f>
        <v>10493305.789999999</v>
      </c>
      <c r="H18" s="655">
        <f>D18+F18</f>
        <v>1194527.7</v>
      </c>
      <c r="I18" s="185"/>
      <c r="J18" s="185"/>
      <c r="M18" s="16">
        <v>4917667.59</v>
      </c>
      <c r="N18" s="16">
        <v>564797.12</v>
      </c>
    </row>
    <row r="19" spans="1:14" ht="45" customHeight="1" x14ac:dyDescent="0.2">
      <c r="A19" s="135">
        <v>14</v>
      </c>
      <c r="B19" s="367" t="s">
        <v>606</v>
      </c>
      <c r="C19" s="654">
        <f>C20+C23+C26</f>
        <v>73633.08</v>
      </c>
      <c r="D19" s="654">
        <f>D20+D23+D26</f>
        <v>9556.2999999999993</v>
      </c>
      <c r="E19" s="654">
        <f>E20+E23+E26</f>
        <v>100031.39</v>
      </c>
      <c r="F19" s="654">
        <f>F20+F23+F26</f>
        <v>0</v>
      </c>
      <c r="G19" s="654">
        <f>C19+E19</f>
        <v>173664.47</v>
      </c>
      <c r="H19" s="655">
        <f>D19+F19</f>
        <v>9556.2999999999993</v>
      </c>
      <c r="I19" s="185"/>
      <c r="J19" s="185"/>
      <c r="M19" s="16">
        <f>SUM(M17:M18)</f>
        <v>5113012.21</v>
      </c>
      <c r="N19" s="16">
        <f>SUM(N17:N18)</f>
        <v>601530.84</v>
      </c>
    </row>
    <row r="20" spans="1:14" ht="18" customHeight="1" x14ac:dyDescent="0.2">
      <c r="A20" s="135">
        <v>15</v>
      </c>
      <c r="B20" s="368" t="s">
        <v>593</v>
      </c>
      <c r="C20" s="654">
        <f t="shared" ref="C20:H20" si="1">SUM(C21:C22)</f>
        <v>0</v>
      </c>
      <c r="D20" s="654">
        <f t="shared" si="1"/>
        <v>0</v>
      </c>
      <c r="E20" s="654">
        <f t="shared" si="1"/>
        <v>0</v>
      </c>
      <c r="F20" s="654">
        <f t="shared" si="1"/>
        <v>0</v>
      </c>
      <c r="G20" s="654">
        <f t="shared" si="1"/>
        <v>0</v>
      </c>
      <c r="H20" s="655">
        <f t="shared" si="1"/>
        <v>0</v>
      </c>
      <c r="I20" s="185"/>
      <c r="J20" s="185"/>
    </row>
    <row r="21" spans="1:14" ht="18" customHeight="1" x14ac:dyDescent="0.2">
      <c r="A21" s="135">
        <v>16</v>
      </c>
      <c r="B21" s="369" t="s">
        <v>599</v>
      </c>
      <c r="C21" s="652"/>
      <c r="D21" s="656" t="s">
        <v>496</v>
      </c>
      <c r="E21" s="652"/>
      <c r="F21" s="656" t="s">
        <v>496</v>
      </c>
      <c r="G21" s="675">
        <f>C21+E21</f>
        <v>0</v>
      </c>
      <c r="H21" s="657" t="s">
        <v>496</v>
      </c>
      <c r="I21" s="185"/>
      <c r="J21" s="185"/>
    </row>
    <row r="22" spans="1:14" ht="18" customHeight="1" x14ac:dyDescent="0.2">
      <c r="A22" s="135">
        <v>17</v>
      </c>
      <c r="B22" s="369" t="s">
        <v>600</v>
      </c>
      <c r="C22" s="656" t="s">
        <v>496</v>
      </c>
      <c r="D22" s="652"/>
      <c r="E22" s="656" t="s">
        <v>496</v>
      </c>
      <c r="F22" s="652"/>
      <c r="G22" s="676" t="s">
        <v>496</v>
      </c>
      <c r="H22" s="653">
        <f>D22+F22</f>
        <v>0</v>
      </c>
      <c r="I22" s="185"/>
      <c r="J22" s="185"/>
    </row>
    <row r="23" spans="1:14" ht="18" customHeight="1" x14ac:dyDescent="0.2">
      <c r="A23" s="135">
        <v>18</v>
      </c>
      <c r="B23" s="370" t="s">
        <v>601</v>
      </c>
      <c r="C23" s="654">
        <f t="shared" ref="C23:H23" si="2">SUM(C24:C25)</f>
        <v>0</v>
      </c>
      <c r="D23" s="654">
        <f t="shared" si="2"/>
        <v>0</v>
      </c>
      <c r="E23" s="654">
        <f t="shared" si="2"/>
        <v>0</v>
      </c>
      <c r="F23" s="654">
        <f t="shared" si="2"/>
        <v>0</v>
      </c>
      <c r="G23" s="654">
        <f t="shared" si="2"/>
        <v>0</v>
      </c>
      <c r="H23" s="655">
        <f t="shared" si="2"/>
        <v>0</v>
      </c>
      <c r="I23" s="185"/>
      <c r="J23" s="185"/>
    </row>
    <row r="24" spans="1:14" ht="18" customHeight="1" x14ac:dyDescent="0.2">
      <c r="A24" s="186">
        <v>19</v>
      </c>
      <c r="B24" s="369" t="s">
        <v>602</v>
      </c>
      <c r="C24" s="652">
        <v>0</v>
      </c>
      <c r="D24" s="656" t="s">
        <v>496</v>
      </c>
      <c r="E24" s="652">
        <v>0</v>
      </c>
      <c r="F24" s="656" t="s">
        <v>496</v>
      </c>
      <c r="G24" s="675"/>
      <c r="H24" s="657" t="s">
        <v>496</v>
      </c>
      <c r="I24" s="185"/>
      <c r="J24" s="185"/>
    </row>
    <row r="25" spans="1:14" ht="18" customHeight="1" x14ac:dyDescent="0.2">
      <c r="A25" s="135">
        <v>20</v>
      </c>
      <c r="B25" s="369" t="s">
        <v>603</v>
      </c>
      <c r="C25" s="656" t="s">
        <v>496</v>
      </c>
      <c r="D25" s="652"/>
      <c r="E25" s="656" t="s">
        <v>496</v>
      </c>
      <c r="F25" s="652">
        <v>0</v>
      </c>
      <c r="G25" s="676" t="s">
        <v>496</v>
      </c>
      <c r="H25" s="653">
        <f>D25+F25</f>
        <v>0</v>
      </c>
      <c r="I25" s="185"/>
      <c r="J25" s="185"/>
    </row>
    <row r="26" spans="1:14" ht="18" customHeight="1" x14ac:dyDescent="0.2">
      <c r="A26" s="186">
        <v>21</v>
      </c>
      <c r="B26" s="370" t="s">
        <v>604</v>
      </c>
      <c r="C26" s="654">
        <f>SUM(C27:C31)</f>
        <v>73633.08</v>
      </c>
      <c r="D26" s="654">
        <f t="shared" ref="D26:H26" si="3">SUM(D27:D31)</f>
        <v>9556.2999999999993</v>
      </c>
      <c r="E26" s="654">
        <f t="shared" si="3"/>
        <v>100031.39</v>
      </c>
      <c r="F26" s="654">
        <f t="shared" si="3"/>
        <v>0</v>
      </c>
      <c r="G26" s="654">
        <f t="shared" si="3"/>
        <v>173664.47</v>
      </c>
      <c r="H26" s="654">
        <f t="shared" si="3"/>
        <v>9556.2999999999993</v>
      </c>
      <c r="I26" s="185"/>
      <c r="J26" s="185"/>
    </row>
    <row r="27" spans="1:14" ht="18" customHeight="1" x14ac:dyDescent="0.2">
      <c r="A27" s="135">
        <v>22</v>
      </c>
      <c r="B27" s="677" t="s">
        <v>605</v>
      </c>
      <c r="C27" s="652">
        <v>0</v>
      </c>
      <c r="D27" s="656" t="s">
        <v>496</v>
      </c>
      <c r="E27" s="652">
        <v>0</v>
      </c>
      <c r="F27" s="656" t="s">
        <v>496</v>
      </c>
      <c r="G27" s="675">
        <f>C27+E27</f>
        <v>0</v>
      </c>
      <c r="H27" s="657" t="s">
        <v>496</v>
      </c>
      <c r="I27" s="185"/>
      <c r="J27" s="185"/>
    </row>
    <row r="28" spans="1:14" ht="18" customHeight="1" x14ac:dyDescent="0.2">
      <c r="A28" s="186">
        <v>23</v>
      </c>
      <c r="B28" s="678" t="s">
        <v>996</v>
      </c>
      <c r="C28" s="656" t="s">
        <v>496</v>
      </c>
      <c r="D28" s="674">
        <v>893.59</v>
      </c>
      <c r="E28" s="656" t="s">
        <v>496</v>
      </c>
      <c r="F28" s="674">
        <v>0</v>
      </c>
      <c r="G28" s="676" t="s">
        <v>496</v>
      </c>
      <c r="H28" s="653">
        <f>D28+F28</f>
        <v>893.59</v>
      </c>
      <c r="I28" s="185"/>
      <c r="J28" s="185"/>
    </row>
    <row r="29" spans="1:14" ht="18" customHeight="1" x14ac:dyDescent="0.2">
      <c r="A29" s="186" t="s">
        <v>610</v>
      </c>
      <c r="B29" s="677" t="s">
        <v>997</v>
      </c>
      <c r="C29" s="679">
        <v>0</v>
      </c>
      <c r="D29" s="652" t="s">
        <v>496</v>
      </c>
      <c r="E29" s="679">
        <v>100031.39</v>
      </c>
      <c r="F29" s="652" t="s">
        <v>496</v>
      </c>
      <c r="G29" s="652">
        <f>E29+C29</f>
        <v>100031.39</v>
      </c>
      <c r="H29" s="680" t="s">
        <v>496</v>
      </c>
      <c r="I29" s="185"/>
      <c r="J29" s="185"/>
    </row>
    <row r="30" spans="1:14" ht="18" customHeight="1" x14ac:dyDescent="0.2">
      <c r="A30" s="186" t="s">
        <v>611</v>
      </c>
      <c r="B30" s="681" t="s">
        <v>998</v>
      </c>
      <c r="C30" s="679">
        <v>73633.08</v>
      </c>
      <c r="D30" s="652" t="s">
        <v>496</v>
      </c>
      <c r="E30" s="679">
        <v>0</v>
      </c>
      <c r="F30" s="652" t="s">
        <v>496</v>
      </c>
      <c r="G30" s="652">
        <f>C30+E30</f>
        <v>73633.08</v>
      </c>
      <c r="H30" s="680" t="s">
        <v>496</v>
      </c>
      <c r="I30" s="185"/>
      <c r="J30" s="185"/>
    </row>
    <row r="31" spans="1:14" ht="18" customHeight="1" x14ac:dyDescent="0.2">
      <c r="A31" s="186" t="s">
        <v>999</v>
      </c>
      <c r="B31" s="682" t="s">
        <v>1000</v>
      </c>
      <c r="C31" s="679" t="s">
        <v>496</v>
      </c>
      <c r="D31" s="652">
        <v>8662.7099999999991</v>
      </c>
      <c r="E31" s="679" t="s">
        <v>496</v>
      </c>
      <c r="F31" s="652">
        <v>0</v>
      </c>
      <c r="G31" s="652" t="s">
        <v>496</v>
      </c>
      <c r="H31" s="680">
        <f>D31+F31</f>
        <v>8662.7099999999991</v>
      </c>
      <c r="I31" s="185"/>
      <c r="J31" s="185"/>
    </row>
    <row r="32" spans="1:14" ht="18" customHeight="1" x14ac:dyDescent="0.2">
      <c r="A32" s="186"/>
      <c r="B32" s="369"/>
      <c r="C32" s="679"/>
      <c r="D32" s="652"/>
      <c r="E32" s="679"/>
      <c r="F32" s="652"/>
      <c r="G32" s="652"/>
      <c r="H32" s="680"/>
      <c r="I32" s="185"/>
      <c r="J32" s="185"/>
    </row>
    <row r="33" spans="1:10" ht="18" customHeight="1" x14ac:dyDescent="0.2">
      <c r="A33" s="186"/>
      <c r="B33" s="369"/>
      <c r="C33" s="679"/>
      <c r="D33" s="652"/>
      <c r="E33" s="679"/>
      <c r="F33" s="652"/>
      <c r="G33" s="652"/>
      <c r="H33" s="680"/>
      <c r="I33" s="185"/>
      <c r="J33" s="185"/>
    </row>
    <row r="34" spans="1:10" ht="18" customHeight="1" x14ac:dyDescent="0.2">
      <c r="A34" s="186"/>
      <c r="B34" s="369"/>
      <c r="C34" s="652"/>
      <c r="D34" s="652"/>
      <c r="E34" s="652"/>
      <c r="F34" s="652"/>
      <c r="G34" s="652"/>
      <c r="H34" s="680"/>
      <c r="I34" s="185"/>
      <c r="J34" s="185"/>
    </row>
    <row r="35" spans="1:10" ht="18" customHeight="1" thickBot="1" x14ac:dyDescent="0.25">
      <c r="A35" s="136">
        <v>24</v>
      </c>
      <c r="B35" s="371" t="s">
        <v>609</v>
      </c>
      <c r="C35" s="658">
        <f t="shared" ref="C35:H35" si="4">C18+C19</f>
        <v>5453926.6600000001</v>
      </c>
      <c r="D35" s="658">
        <f t="shared" si="4"/>
        <v>602553.16</v>
      </c>
      <c r="E35" s="658">
        <f t="shared" si="4"/>
        <v>5213043.5999999996</v>
      </c>
      <c r="F35" s="658">
        <f t="shared" si="4"/>
        <v>601530.84</v>
      </c>
      <c r="G35" s="658">
        <f t="shared" si="4"/>
        <v>10666970.26</v>
      </c>
      <c r="H35" s="659">
        <f t="shared" si="4"/>
        <v>1204084</v>
      </c>
      <c r="I35" s="185"/>
      <c r="J35" s="185"/>
    </row>
    <row r="36" spans="1:10" ht="31.5" x14ac:dyDescent="0.2">
      <c r="F36" s="717">
        <f>SUM(E35:F35)</f>
        <v>5814574.4399999995</v>
      </c>
      <c r="I36" s="16" t="s">
        <v>1065</v>
      </c>
    </row>
    <row r="37" spans="1:10" x14ac:dyDescent="0.2">
      <c r="A37" s="230" t="s">
        <v>561</v>
      </c>
      <c r="B37" s="231" t="s">
        <v>608</v>
      </c>
      <c r="C37" s="231"/>
      <c r="D37" s="231"/>
    </row>
  </sheetData>
  <sheetProtection selectLockedCells="1"/>
  <mergeCells count="7">
    <mergeCell ref="A1:H1"/>
    <mergeCell ref="A2:H2"/>
    <mergeCell ref="A3:A4"/>
    <mergeCell ref="B3:B4"/>
    <mergeCell ref="C3:D3"/>
    <mergeCell ref="E3:F3"/>
    <mergeCell ref="G3:H3"/>
  </mergeCells>
  <printOptions gridLines="1"/>
  <pageMargins left="0.74803149606299213" right="0.74803149606299213" top="0.98425196850393704" bottom="0.88" header="0.51181102362204722" footer="0.51181102362204722"/>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tabColor indexed="42"/>
    <pageSetUpPr fitToPage="1"/>
  </sheetPr>
  <dimension ref="A1:I48"/>
  <sheetViews>
    <sheetView zoomScaleNormal="100" workbookViewId="0">
      <pane xSplit="2" ySplit="4" topLeftCell="C32" activePane="bottomRight" state="frozen"/>
      <selection pane="topRight" activeCell="C1" sqref="C1"/>
      <selection pane="bottomLeft" activeCell="A5" sqref="A5"/>
      <selection pane="bottomRight" activeCell="J49" sqref="J49"/>
    </sheetView>
  </sheetViews>
  <sheetFormatPr defaultColWidth="9.140625" defaultRowHeight="15.75" x14ac:dyDescent="0.25"/>
  <cols>
    <col min="1" max="1" width="10.140625" style="3" customWidth="1"/>
    <col min="2" max="2" width="83" style="33" customWidth="1"/>
    <col min="3" max="3" width="15.42578125" style="1" customWidth="1"/>
    <col min="4" max="4" width="14.28515625" style="1" customWidth="1"/>
    <col min="5" max="5" width="14.7109375" style="1" customWidth="1"/>
    <col min="6" max="16384" width="9.140625" style="1"/>
  </cols>
  <sheetData>
    <row r="1" spans="1:9" s="259" customFormat="1" ht="50.1" customHeight="1" thickBot="1" x14ac:dyDescent="0.3">
      <c r="A1" s="792" t="s">
        <v>808</v>
      </c>
      <c r="B1" s="793"/>
      <c r="C1" s="793"/>
      <c r="D1" s="793"/>
      <c r="E1" s="794"/>
      <c r="F1" s="260"/>
      <c r="G1" s="260"/>
      <c r="H1" s="260"/>
      <c r="I1" s="260"/>
    </row>
    <row r="2" spans="1:9" s="252" customFormat="1" ht="38.25" customHeight="1" x14ac:dyDescent="0.2">
      <c r="A2" s="795" t="s">
        <v>1054</v>
      </c>
      <c r="B2" s="796"/>
      <c r="C2" s="796"/>
      <c r="D2" s="796"/>
      <c r="E2" s="797"/>
    </row>
    <row r="3" spans="1:9" s="260" customFormat="1" ht="35.25" customHeight="1" x14ac:dyDescent="0.25">
      <c r="A3" s="253" t="s">
        <v>80</v>
      </c>
      <c r="B3" s="237" t="s">
        <v>153</v>
      </c>
      <c r="C3" s="237" t="s">
        <v>134</v>
      </c>
      <c r="D3" s="237" t="s">
        <v>135</v>
      </c>
      <c r="E3" s="254" t="s">
        <v>84</v>
      </c>
    </row>
    <row r="4" spans="1:9" s="255" customFormat="1" ht="17.25" customHeight="1" x14ac:dyDescent="0.2">
      <c r="A4" s="256"/>
      <c r="B4" s="238"/>
      <c r="C4" s="257" t="s">
        <v>119</v>
      </c>
      <c r="D4" s="257" t="s">
        <v>120</v>
      </c>
      <c r="E4" s="258" t="s">
        <v>8</v>
      </c>
    </row>
    <row r="5" spans="1:9" ht="31.5" x14ac:dyDescent="0.25">
      <c r="A5" s="21">
        <v>1</v>
      </c>
      <c r="B5" s="30" t="s">
        <v>761</v>
      </c>
      <c r="C5" s="34">
        <f>SUM(C6:C10)</f>
        <v>2951360.48</v>
      </c>
      <c r="D5" s="34">
        <f>SUM(D6:D7)</f>
        <v>0</v>
      </c>
      <c r="E5" s="65">
        <f>C5+D5</f>
        <v>2951360.48</v>
      </c>
      <c r="F5" s="110"/>
    </row>
    <row r="6" spans="1:9" x14ac:dyDescent="0.25">
      <c r="A6" s="21" t="s">
        <v>144</v>
      </c>
      <c r="B6" s="31" t="s">
        <v>924</v>
      </c>
      <c r="C6" s="530">
        <v>2629000</v>
      </c>
      <c r="D6" s="530"/>
      <c r="E6" s="531">
        <f t="shared" ref="E6:E10" si="0">C6+D6</f>
        <v>2629000</v>
      </c>
    </row>
    <row r="7" spans="1:9" x14ac:dyDescent="0.25">
      <c r="A7" s="21" t="s">
        <v>186</v>
      </c>
      <c r="B7" s="31" t="s">
        <v>925</v>
      </c>
      <c r="C7" s="530">
        <v>14900</v>
      </c>
      <c r="D7" s="530"/>
      <c r="E7" s="531">
        <f t="shared" si="0"/>
        <v>14900</v>
      </c>
    </row>
    <row r="8" spans="1:9" x14ac:dyDescent="0.25">
      <c r="A8" s="21" t="s">
        <v>926</v>
      </c>
      <c r="B8" s="31" t="s">
        <v>927</v>
      </c>
      <c r="C8" s="530">
        <v>31365.48</v>
      </c>
      <c r="D8" s="530"/>
      <c r="E8" s="531">
        <f t="shared" si="0"/>
        <v>31365.48</v>
      </c>
    </row>
    <row r="9" spans="1:9" x14ac:dyDescent="0.25">
      <c r="A9" s="21" t="s">
        <v>928</v>
      </c>
      <c r="B9" s="31" t="s">
        <v>929</v>
      </c>
      <c r="C9" s="530">
        <v>34000</v>
      </c>
      <c r="D9" s="530"/>
      <c r="E9" s="531">
        <f t="shared" si="0"/>
        <v>34000</v>
      </c>
    </row>
    <row r="10" spans="1:9" x14ac:dyDescent="0.25">
      <c r="A10" s="21" t="s">
        <v>930</v>
      </c>
      <c r="B10" s="31" t="s">
        <v>931</v>
      </c>
      <c r="C10" s="530">
        <v>242095</v>
      </c>
      <c r="D10" s="530"/>
      <c r="E10" s="531">
        <f t="shared" si="0"/>
        <v>242095</v>
      </c>
    </row>
    <row r="11" spans="1:9" x14ac:dyDescent="0.25">
      <c r="A11" s="21"/>
      <c r="B11" s="31"/>
      <c r="C11" s="28"/>
      <c r="D11" s="28"/>
      <c r="E11" s="65"/>
    </row>
    <row r="12" spans="1:9" x14ac:dyDescent="0.25">
      <c r="A12" s="21"/>
      <c r="B12" s="31"/>
      <c r="C12" s="28"/>
      <c r="D12" s="28"/>
      <c r="E12" s="65"/>
    </row>
    <row r="13" spans="1:9" x14ac:dyDescent="0.25">
      <c r="A13" s="21"/>
      <c r="B13" s="31"/>
      <c r="C13" s="28"/>
      <c r="D13" s="28"/>
      <c r="E13" s="65">
        <f t="shared" ref="E13:E45" si="1">C13+D13</f>
        <v>0</v>
      </c>
    </row>
    <row r="14" spans="1:9" ht="31.5" x14ac:dyDescent="0.25">
      <c r="A14" s="21">
        <v>2</v>
      </c>
      <c r="B14" s="30" t="s">
        <v>26</v>
      </c>
      <c r="C14" s="34">
        <f>SUM(C15:C16)</f>
        <v>0</v>
      </c>
      <c r="D14" s="34">
        <f>SUM(D15:D16)</f>
        <v>0</v>
      </c>
      <c r="E14" s="65">
        <f t="shared" si="1"/>
        <v>0</v>
      </c>
    </row>
    <row r="15" spans="1:9" x14ac:dyDescent="0.25">
      <c r="A15" s="21" t="s">
        <v>145</v>
      </c>
      <c r="B15" s="31"/>
      <c r="C15" s="28"/>
      <c r="D15" s="28"/>
      <c r="E15" s="65">
        <f t="shared" si="1"/>
        <v>0</v>
      </c>
    </row>
    <row r="16" spans="1:9" x14ac:dyDescent="0.25">
      <c r="A16" s="21" t="s">
        <v>187</v>
      </c>
      <c r="B16" s="31"/>
      <c r="C16" s="28"/>
      <c r="D16" s="28"/>
      <c r="E16" s="65">
        <f t="shared" si="1"/>
        <v>0</v>
      </c>
    </row>
    <row r="17" spans="1:5" x14ac:dyDescent="0.25">
      <c r="A17" s="21"/>
      <c r="B17" s="31"/>
      <c r="C17" s="28"/>
      <c r="D17" s="28"/>
      <c r="E17" s="65">
        <f t="shared" si="1"/>
        <v>0</v>
      </c>
    </row>
    <row r="18" spans="1:5" x14ac:dyDescent="0.25">
      <c r="A18" s="21">
        <v>3</v>
      </c>
      <c r="B18" s="30" t="s">
        <v>104</v>
      </c>
      <c r="C18" s="532">
        <f>SUM(C19:C27)</f>
        <v>151568.68</v>
      </c>
      <c r="D18" s="34">
        <f>SUM(D27:D28)</f>
        <v>0</v>
      </c>
      <c r="E18" s="65">
        <f t="shared" si="1"/>
        <v>151568.68</v>
      </c>
    </row>
    <row r="19" spans="1:5" x14ac:dyDescent="0.25">
      <c r="A19" s="21" t="s">
        <v>146</v>
      </c>
      <c r="B19" s="64" t="s">
        <v>932</v>
      </c>
      <c r="C19" s="530">
        <v>34660.720000000001</v>
      </c>
      <c r="D19" s="530"/>
      <c r="E19" s="531">
        <f t="shared" si="1"/>
        <v>34660.720000000001</v>
      </c>
    </row>
    <row r="20" spans="1:5" x14ac:dyDescent="0.25">
      <c r="A20" s="21" t="s">
        <v>188</v>
      </c>
      <c r="B20" s="64" t="s">
        <v>933</v>
      </c>
      <c r="C20" s="530">
        <v>3000</v>
      </c>
      <c r="D20" s="530"/>
      <c r="E20" s="531">
        <f t="shared" si="1"/>
        <v>3000</v>
      </c>
    </row>
    <row r="21" spans="1:5" x14ac:dyDescent="0.25">
      <c r="A21" s="21" t="s">
        <v>934</v>
      </c>
      <c r="B21" s="64" t="s">
        <v>935</v>
      </c>
      <c r="C21" s="530">
        <v>1300</v>
      </c>
      <c r="D21" s="530"/>
      <c r="E21" s="531">
        <f t="shared" si="1"/>
        <v>1300</v>
      </c>
    </row>
    <row r="22" spans="1:5" x14ac:dyDescent="0.25">
      <c r="A22" s="21" t="s">
        <v>936</v>
      </c>
      <c r="B22" s="64" t="s">
        <v>937</v>
      </c>
      <c r="C22" s="530">
        <v>6000</v>
      </c>
      <c r="D22" s="530"/>
      <c r="E22" s="531">
        <f t="shared" si="1"/>
        <v>6000</v>
      </c>
    </row>
    <row r="23" spans="1:5" x14ac:dyDescent="0.25">
      <c r="A23" s="21" t="s">
        <v>938</v>
      </c>
      <c r="B23" s="64" t="s">
        <v>939</v>
      </c>
      <c r="C23" s="530">
        <v>68136.45</v>
      </c>
      <c r="D23" s="530"/>
      <c r="E23" s="531">
        <f t="shared" si="1"/>
        <v>68136.45</v>
      </c>
    </row>
    <row r="24" spans="1:5" x14ac:dyDescent="0.25">
      <c r="A24" s="21" t="s">
        <v>940</v>
      </c>
      <c r="B24" s="64" t="s">
        <v>941</v>
      </c>
      <c r="C24" s="530">
        <v>22331.279999999999</v>
      </c>
      <c r="D24" s="530"/>
      <c r="E24" s="531">
        <f t="shared" si="1"/>
        <v>22331.279999999999</v>
      </c>
    </row>
    <row r="25" spans="1:5" x14ac:dyDescent="0.25">
      <c r="A25" s="21" t="s">
        <v>942</v>
      </c>
      <c r="B25" s="64" t="s">
        <v>943</v>
      </c>
      <c r="C25" s="530">
        <v>9697.9</v>
      </c>
      <c r="D25" s="530"/>
      <c r="E25" s="531">
        <f t="shared" si="1"/>
        <v>9697.9</v>
      </c>
    </row>
    <row r="26" spans="1:5" x14ac:dyDescent="0.25">
      <c r="A26" s="21" t="s">
        <v>944</v>
      </c>
      <c r="B26" s="64" t="s">
        <v>945</v>
      </c>
      <c r="C26" s="530">
        <v>3188.5</v>
      </c>
      <c r="D26" s="530"/>
      <c r="E26" s="531">
        <f t="shared" si="1"/>
        <v>3188.5</v>
      </c>
    </row>
    <row r="27" spans="1:5" ht="31.5" x14ac:dyDescent="0.25">
      <c r="A27" s="21" t="s">
        <v>1040</v>
      </c>
      <c r="B27" s="340" t="s">
        <v>1039</v>
      </c>
      <c r="C27" s="530">
        <v>3253.83</v>
      </c>
      <c r="D27" s="530"/>
      <c r="E27" s="531">
        <f t="shared" si="1"/>
        <v>3253.83</v>
      </c>
    </row>
    <row r="28" spans="1:5" x14ac:dyDescent="0.25">
      <c r="A28" s="21"/>
      <c r="B28" s="64"/>
      <c r="C28" s="28"/>
      <c r="D28" s="28"/>
      <c r="E28" s="65">
        <f t="shared" si="1"/>
        <v>0</v>
      </c>
    </row>
    <row r="29" spans="1:5" x14ac:dyDescent="0.25">
      <c r="A29" s="21"/>
      <c r="B29" s="31"/>
      <c r="C29" s="28"/>
      <c r="D29" s="28"/>
      <c r="E29" s="65">
        <f t="shared" si="1"/>
        <v>0</v>
      </c>
    </row>
    <row r="30" spans="1:5" x14ac:dyDescent="0.25">
      <c r="A30" s="21">
        <v>4</v>
      </c>
      <c r="B30" s="30" t="s">
        <v>105</v>
      </c>
      <c r="C30" s="532">
        <f>SUM(C31:C43)</f>
        <v>2208957.2200000002</v>
      </c>
      <c r="D30" s="532">
        <f>SUM(D31:D43)</f>
        <v>34307.550000000003</v>
      </c>
      <c r="E30" s="531">
        <f t="shared" si="1"/>
        <v>2243264.77</v>
      </c>
    </row>
    <row r="31" spans="1:5" x14ac:dyDescent="0.25">
      <c r="A31" s="21" t="s">
        <v>98</v>
      </c>
      <c r="B31" s="31" t="s">
        <v>946</v>
      </c>
      <c r="C31" s="533">
        <v>113859.77</v>
      </c>
      <c r="D31" s="533">
        <v>31780</v>
      </c>
      <c r="E31" s="531">
        <f t="shared" si="1"/>
        <v>145639.77000000002</v>
      </c>
    </row>
    <row r="32" spans="1:5" x14ac:dyDescent="0.25">
      <c r="A32" s="21" t="s">
        <v>189</v>
      </c>
      <c r="B32" s="31" t="s">
        <v>947</v>
      </c>
      <c r="C32" s="533">
        <v>86405.61</v>
      </c>
      <c r="D32" s="533"/>
      <c r="E32" s="531">
        <f t="shared" si="1"/>
        <v>86405.61</v>
      </c>
    </row>
    <row r="33" spans="1:7" x14ac:dyDescent="0.25">
      <c r="A33" s="21" t="s">
        <v>948</v>
      </c>
      <c r="B33" s="31" t="s">
        <v>949</v>
      </c>
      <c r="C33" s="533">
        <v>83537.95</v>
      </c>
      <c r="D33" s="533"/>
      <c r="E33" s="531">
        <f t="shared" si="1"/>
        <v>83537.95</v>
      </c>
    </row>
    <row r="34" spans="1:7" x14ac:dyDescent="0.25">
      <c r="A34" s="21" t="s">
        <v>950</v>
      </c>
      <c r="B34" s="31" t="s">
        <v>951</v>
      </c>
      <c r="C34" s="533">
        <v>28611.11</v>
      </c>
      <c r="D34" s="533"/>
      <c r="E34" s="531">
        <f t="shared" si="1"/>
        <v>28611.11</v>
      </c>
    </row>
    <row r="35" spans="1:7" x14ac:dyDescent="0.25">
      <c r="A35" s="21" t="s">
        <v>952</v>
      </c>
      <c r="B35" s="31" t="s">
        <v>953</v>
      </c>
      <c r="C35" s="533">
        <v>3334.56</v>
      </c>
      <c r="D35" s="533">
        <v>2527.5500000000002</v>
      </c>
      <c r="E35" s="531">
        <f t="shared" si="1"/>
        <v>5862.1100000000006</v>
      </c>
    </row>
    <row r="36" spans="1:7" x14ac:dyDescent="0.25">
      <c r="A36" s="21" t="s">
        <v>954</v>
      </c>
      <c r="B36" s="31" t="s">
        <v>955</v>
      </c>
      <c r="C36" s="533">
        <v>1178051.49</v>
      </c>
      <c r="D36" s="533"/>
      <c r="E36" s="531">
        <f t="shared" si="1"/>
        <v>1178051.49</v>
      </c>
    </row>
    <row r="37" spans="1:7" x14ac:dyDescent="0.25">
      <c r="A37" s="21" t="s">
        <v>956</v>
      </c>
      <c r="B37" s="31" t="s">
        <v>957</v>
      </c>
      <c r="C37" s="533">
        <v>14367.05</v>
      </c>
      <c r="D37" s="533"/>
      <c r="E37" s="531">
        <f t="shared" si="1"/>
        <v>14367.05</v>
      </c>
    </row>
    <row r="38" spans="1:7" x14ac:dyDescent="0.25">
      <c r="A38" s="21" t="s">
        <v>958</v>
      </c>
      <c r="B38" s="31" t="s">
        <v>959</v>
      </c>
      <c r="C38" s="533">
        <v>103431.07</v>
      </c>
      <c r="D38" s="533"/>
      <c r="E38" s="531">
        <f t="shared" si="1"/>
        <v>103431.07</v>
      </c>
    </row>
    <row r="39" spans="1:7" x14ac:dyDescent="0.25">
      <c r="A39" s="21" t="s">
        <v>960</v>
      </c>
      <c r="B39" s="31" t="s">
        <v>961</v>
      </c>
      <c r="C39" s="533">
        <v>8609.27</v>
      </c>
      <c r="D39" s="533"/>
      <c r="E39" s="531">
        <f t="shared" si="1"/>
        <v>8609.27</v>
      </c>
      <c r="G39" s="1" t="s">
        <v>970</v>
      </c>
    </row>
    <row r="40" spans="1:7" x14ac:dyDescent="0.25">
      <c r="A40" s="21" t="s">
        <v>962</v>
      </c>
      <c r="B40" s="31" t="s">
        <v>963</v>
      </c>
      <c r="C40" s="533">
        <v>26794.94</v>
      </c>
      <c r="D40" s="533"/>
      <c r="E40" s="531">
        <f t="shared" si="1"/>
        <v>26794.94</v>
      </c>
    </row>
    <row r="41" spans="1:7" x14ac:dyDescent="0.25">
      <c r="A41" s="21" t="s">
        <v>964</v>
      </c>
      <c r="B41" s="31" t="s">
        <v>965</v>
      </c>
      <c r="C41" s="533">
        <v>20000</v>
      </c>
      <c r="D41" s="533"/>
      <c r="E41" s="531">
        <f t="shared" si="1"/>
        <v>20000</v>
      </c>
    </row>
    <row r="42" spans="1:7" x14ac:dyDescent="0.25">
      <c r="A42" s="21" t="s">
        <v>966</v>
      </c>
      <c r="B42" s="31" t="s">
        <v>967</v>
      </c>
      <c r="C42" s="533">
        <v>298080</v>
      </c>
      <c r="D42" s="533"/>
      <c r="E42" s="531">
        <f t="shared" si="1"/>
        <v>298080</v>
      </c>
    </row>
    <row r="43" spans="1:7" x14ac:dyDescent="0.25">
      <c r="A43" s="21" t="s">
        <v>968</v>
      </c>
      <c r="B43" s="31" t="s">
        <v>969</v>
      </c>
      <c r="C43" s="533">
        <v>243874.4</v>
      </c>
      <c r="D43" s="533"/>
      <c r="E43" s="531">
        <f t="shared" si="1"/>
        <v>243874.4</v>
      </c>
    </row>
    <row r="44" spans="1:7" x14ac:dyDescent="0.25">
      <c r="A44" s="21"/>
      <c r="B44" s="31"/>
      <c r="C44" s="28"/>
      <c r="D44" s="28"/>
      <c r="E44" s="65">
        <f t="shared" si="1"/>
        <v>0</v>
      </c>
    </row>
    <row r="45" spans="1:7" ht="16.5" thickBot="1" x14ac:dyDescent="0.3">
      <c r="A45" s="22">
        <v>5</v>
      </c>
      <c r="B45" s="32" t="s">
        <v>136</v>
      </c>
      <c r="C45" s="534">
        <f>C5+C14+C18+C30</f>
        <v>5311886.3800000008</v>
      </c>
      <c r="D45" s="534">
        <f>D5+D14+D18+D30</f>
        <v>34307.550000000003</v>
      </c>
      <c r="E45" s="535">
        <f t="shared" si="1"/>
        <v>5346193.9300000006</v>
      </c>
    </row>
    <row r="47" spans="1:7" s="116" customFormat="1" ht="31.5" x14ac:dyDescent="0.25">
      <c r="A47" s="115"/>
      <c r="B47" s="432" t="s">
        <v>762</v>
      </c>
      <c r="F47" s="1"/>
    </row>
    <row r="48" spans="1:7" x14ac:dyDescent="0.25">
      <c r="B48" s="234"/>
    </row>
  </sheetData>
  <mergeCells count="2">
    <mergeCell ref="A1:E1"/>
    <mergeCell ref="A2:E2"/>
  </mergeCells>
  <phoneticPr fontId="0" type="noConversion"/>
  <printOptions gridLines="1"/>
  <pageMargins left="0.74803149606299213" right="0.74803149606299213" top="0.98425196850393704" bottom="0.98425196850393704" header="0.51181102362204722" footer="0.51181102362204722"/>
  <pageSetup paperSize="9" scale="5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2">
    <tabColor indexed="42"/>
    <pageSetUpPr fitToPage="1"/>
  </sheetPr>
  <dimension ref="A1:H24"/>
  <sheetViews>
    <sheetView zoomScaleNormal="100" workbookViewId="0">
      <pane xSplit="2" ySplit="4" topLeftCell="C5" activePane="bottomRight" state="frozen"/>
      <selection pane="topRight" activeCell="C1" sqref="C1"/>
      <selection pane="bottomLeft" activeCell="A5" sqref="A5"/>
      <selection pane="bottomRight" activeCell="F20" sqref="F20"/>
    </sheetView>
  </sheetViews>
  <sheetFormatPr defaultColWidth="9.140625" defaultRowHeight="15.75" x14ac:dyDescent="0.25"/>
  <cols>
    <col min="1" max="1" width="9.5703125" style="3" customWidth="1"/>
    <col min="2" max="2" width="58.42578125" style="1" customWidth="1"/>
    <col min="3" max="3" width="22.140625" style="13" customWidth="1"/>
    <col min="4" max="4" width="21.140625" style="13" customWidth="1"/>
    <col min="5" max="5" width="24.140625" style="13" customWidth="1"/>
    <col min="6" max="16384" width="9.140625" style="1"/>
  </cols>
  <sheetData>
    <row r="1" spans="1:8" s="259" customFormat="1" ht="80.25" customHeight="1" thickBot="1" x14ac:dyDescent="0.3">
      <c r="A1" s="976" t="s">
        <v>835</v>
      </c>
      <c r="B1" s="977"/>
      <c r="C1" s="977"/>
      <c r="D1" s="977"/>
      <c r="E1" s="978"/>
      <c r="F1" s="379"/>
    </row>
    <row r="2" spans="1:8" s="259" customFormat="1" ht="35.1" customHeight="1" x14ac:dyDescent="0.25">
      <c r="A2" s="789" t="s">
        <v>1062</v>
      </c>
      <c r="B2" s="790"/>
      <c r="C2" s="790"/>
      <c r="D2" s="790"/>
      <c r="E2" s="791"/>
      <c r="F2" s="379"/>
    </row>
    <row r="3" spans="1:8" s="260" customFormat="1" ht="46.9" customHeight="1" x14ac:dyDescent="0.25">
      <c r="A3" s="253" t="s">
        <v>80</v>
      </c>
      <c r="B3" s="237" t="s">
        <v>153</v>
      </c>
      <c r="C3" s="237" t="s">
        <v>134</v>
      </c>
      <c r="D3" s="237" t="s">
        <v>135</v>
      </c>
      <c r="E3" s="261" t="s">
        <v>81</v>
      </c>
    </row>
    <row r="4" spans="1:8" s="260" customFormat="1" ht="16.5" customHeight="1" x14ac:dyDescent="0.25">
      <c r="A4" s="253"/>
      <c r="B4" s="237"/>
      <c r="C4" s="237" t="s">
        <v>119</v>
      </c>
      <c r="D4" s="237" t="s">
        <v>120</v>
      </c>
      <c r="E4" s="261" t="s">
        <v>8</v>
      </c>
    </row>
    <row r="5" spans="1:8" s="8" customFormat="1" ht="17.45" customHeight="1" x14ac:dyDescent="0.25">
      <c r="A5" s="162"/>
      <c r="B5" s="380" t="s">
        <v>174</v>
      </c>
      <c r="C5" s="36"/>
      <c r="D5" s="36"/>
      <c r="E5" s="56"/>
    </row>
    <row r="6" spans="1:8" s="8" customFormat="1" ht="17.45" customHeight="1" x14ac:dyDescent="0.25">
      <c r="A6" s="55">
        <v>1</v>
      </c>
      <c r="B6" s="238" t="s">
        <v>197</v>
      </c>
      <c r="C6" s="694">
        <f>SUM(C7:C10)</f>
        <v>1997299.05</v>
      </c>
      <c r="D6" s="26">
        <f>SUM(D7:D10)</f>
        <v>0</v>
      </c>
      <c r="E6" s="695">
        <f>C6+D6</f>
        <v>1997299.05</v>
      </c>
    </row>
    <row r="7" spans="1:8" s="13" customFormat="1" x14ac:dyDescent="0.2">
      <c r="A7" s="19">
        <f>A6+1</f>
        <v>2</v>
      </c>
      <c r="B7" s="377" t="s">
        <v>47</v>
      </c>
      <c r="C7" s="530">
        <v>1967299.05</v>
      </c>
      <c r="D7" s="66">
        <v>0</v>
      </c>
      <c r="E7" s="695">
        <f>C7+D7</f>
        <v>1967299.05</v>
      </c>
      <c r="F7" s="13" t="s">
        <v>1081</v>
      </c>
    </row>
    <row r="8" spans="1:8" s="13" customFormat="1" x14ac:dyDescent="0.2">
      <c r="A8" s="19">
        <f>A7+1</f>
        <v>3</v>
      </c>
      <c r="B8" s="377" t="s">
        <v>195</v>
      </c>
      <c r="C8" s="28">
        <v>30000</v>
      </c>
      <c r="D8" s="28">
        <v>0</v>
      </c>
      <c r="E8" s="27">
        <f t="shared" ref="E8:E16" si="0">C8+D8</f>
        <v>30000</v>
      </c>
      <c r="F8" s="164" t="s">
        <v>1081</v>
      </c>
    </row>
    <row r="9" spans="1:8" s="13" customFormat="1" x14ac:dyDescent="0.2">
      <c r="A9" s="19">
        <f>A8+1</f>
        <v>4</v>
      </c>
      <c r="B9" s="377"/>
      <c r="C9" s="28"/>
      <c r="D9" s="28"/>
      <c r="E9" s="27"/>
    </row>
    <row r="10" spans="1:8" s="13" customFormat="1" x14ac:dyDescent="0.2">
      <c r="A10" s="19">
        <f>A9+1</f>
        <v>5</v>
      </c>
      <c r="B10" s="377"/>
      <c r="C10" s="28"/>
      <c r="D10" s="28"/>
      <c r="E10" s="27">
        <f t="shared" si="0"/>
        <v>0</v>
      </c>
    </row>
    <row r="11" spans="1:8" s="13" customFormat="1" ht="31.5" x14ac:dyDescent="0.2">
      <c r="A11" s="23"/>
      <c r="B11" s="380" t="s">
        <v>473</v>
      </c>
      <c r="C11" s="696"/>
      <c r="D11" s="696"/>
      <c r="E11" s="697"/>
    </row>
    <row r="12" spans="1:8" x14ac:dyDescent="0.25">
      <c r="A12" s="23">
        <v>6</v>
      </c>
      <c r="B12" s="377" t="s">
        <v>2</v>
      </c>
      <c r="C12" s="67">
        <v>1749</v>
      </c>
      <c r="D12" s="67">
        <v>0</v>
      </c>
      <c r="E12" s="27">
        <f t="shared" si="0"/>
        <v>1749</v>
      </c>
      <c r="F12" s="1" t="s">
        <v>1081</v>
      </c>
    </row>
    <row r="13" spans="1:8" x14ac:dyDescent="0.25">
      <c r="A13" s="23">
        <v>7</v>
      </c>
      <c r="B13" s="377" t="s">
        <v>3</v>
      </c>
      <c r="C13" s="28">
        <v>11350</v>
      </c>
      <c r="D13" s="28">
        <v>0</v>
      </c>
      <c r="E13" s="27">
        <f t="shared" si="0"/>
        <v>11350</v>
      </c>
      <c r="F13" s="1" t="s">
        <v>1081</v>
      </c>
    </row>
    <row r="14" spans="1:8" s="24" customFormat="1" x14ac:dyDescent="0.25">
      <c r="A14" s="23"/>
      <c r="B14" s="247"/>
      <c r="C14" s="698"/>
      <c r="D14" s="698"/>
      <c r="E14" s="697"/>
    </row>
    <row r="15" spans="1:8" x14ac:dyDescent="0.25">
      <c r="A15" s="23">
        <v>8</v>
      </c>
      <c r="B15" s="247" t="s">
        <v>198</v>
      </c>
      <c r="C15" s="68">
        <f>SUM(C16:C17)</f>
        <v>0</v>
      </c>
      <c r="D15" s="68">
        <f>SUM(D16:D17)</f>
        <v>0</v>
      </c>
      <c r="E15" s="27">
        <f t="shared" si="0"/>
        <v>0</v>
      </c>
    </row>
    <row r="16" spans="1:8" x14ac:dyDescent="0.25">
      <c r="A16" s="23" t="s">
        <v>196</v>
      </c>
      <c r="B16" s="340"/>
      <c r="C16" s="67">
        <v>0</v>
      </c>
      <c r="D16" s="67">
        <v>0</v>
      </c>
      <c r="E16" s="27">
        <f t="shared" si="0"/>
        <v>0</v>
      </c>
      <c r="H16" s="163"/>
    </row>
    <row r="17" spans="1:6" x14ac:dyDescent="0.25">
      <c r="A17" s="23"/>
      <c r="B17" s="247"/>
      <c r="C17" s="698"/>
      <c r="D17" s="698"/>
      <c r="E17" s="697"/>
    </row>
    <row r="18" spans="1:6" ht="16.5" thickBot="1" x14ac:dyDescent="0.3">
      <c r="A18" s="58">
        <v>9</v>
      </c>
      <c r="B18" s="381" t="s">
        <v>462</v>
      </c>
      <c r="C18" s="174">
        <f>C6+C12+C13+C15</f>
        <v>2010398.05</v>
      </c>
      <c r="D18" s="35">
        <f>D6+D12+D13+D15</f>
        <v>0</v>
      </c>
      <c r="E18" s="535">
        <f>E6+E12+E13+E15</f>
        <v>2010398.05</v>
      </c>
    </row>
    <row r="19" spans="1:6" x14ac:dyDescent="0.25">
      <c r="E19" s="16"/>
      <c r="F19" s="1" t="s">
        <v>1082</v>
      </c>
    </row>
    <row r="21" spans="1:6" x14ac:dyDescent="0.25">
      <c r="B21" s="111"/>
      <c r="C21" s="3"/>
    </row>
    <row r="22" spans="1:6" x14ac:dyDescent="0.25">
      <c r="B22" s="3"/>
      <c r="C22" s="3"/>
    </row>
    <row r="23" spans="1:6" x14ac:dyDescent="0.25">
      <c r="B23" s="3"/>
      <c r="C23" s="3"/>
    </row>
    <row r="24" spans="1:6" x14ac:dyDescent="0.25">
      <c r="D24" s="164"/>
    </row>
  </sheetData>
  <protectedRanges>
    <protectedRange sqref="C8:D10" name="Rozsah2_1_1"/>
    <protectedRange sqref="C11:D11" name="Rozsah2_2_1"/>
  </protectedRanges>
  <mergeCells count="2">
    <mergeCell ref="A1:E1"/>
    <mergeCell ref="A2:E2"/>
  </mergeCells>
  <phoneticPr fontId="5" type="noConversion"/>
  <pageMargins left="0.79" right="0.74803149606299213" top="0.98425196850393704" bottom="0.77" header="0.51181102362204722" footer="0.51181102362204722"/>
  <pageSetup paperSize="9" scale="9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L36"/>
  <sheetViews>
    <sheetView zoomScaleNormal="100" workbookViewId="0">
      <pane xSplit="2" ySplit="5" topLeftCell="C25" activePane="bottomRight" state="frozen"/>
      <selection pane="topRight" activeCell="C1" sqref="C1"/>
      <selection pane="bottomLeft" activeCell="A6" sqref="A6"/>
      <selection pane="bottomRight" activeCell="F36" sqref="F36"/>
    </sheetView>
  </sheetViews>
  <sheetFormatPr defaultColWidth="9.140625" defaultRowHeight="15.75" x14ac:dyDescent="0.2"/>
  <cols>
    <col min="1" max="1" width="9.140625" style="13"/>
    <col min="2" max="2" width="75.42578125" style="39" customWidth="1"/>
    <col min="3" max="6" width="17.28515625" style="13" customWidth="1"/>
    <col min="7" max="16384" width="9.140625" style="13"/>
  </cols>
  <sheetData>
    <row r="1" spans="1:6" s="255" customFormat="1" ht="35.1" customHeight="1" thickBot="1" x14ac:dyDescent="0.25">
      <c r="A1" s="786" t="s">
        <v>836</v>
      </c>
      <c r="B1" s="986"/>
      <c r="C1" s="986"/>
      <c r="D1" s="986"/>
      <c r="E1" s="986"/>
      <c r="F1" s="987"/>
    </row>
    <row r="2" spans="1:6" s="255" customFormat="1" ht="35.1" customHeight="1" x14ac:dyDescent="0.2">
      <c r="A2" s="813" t="s">
        <v>1057</v>
      </c>
      <c r="B2" s="896"/>
      <c r="C2" s="897" t="s">
        <v>765</v>
      </c>
      <c r="D2" s="897"/>
      <c r="E2" s="897"/>
      <c r="F2" s="898"/>
    </row>
    <row r="3" spans="1:6" s="255" customFormat="1" ht="22.9" customHeight="1" x14ac:dyDescent="0.2">
      <c r="A3" s="807" t="s">
        <v>80</v>
      </c>
      <c r="B3" s="849" t="s">
        <v>153</v>
      </c>
      <c r="C3" s="849">
        <v>2022</v>
      </c>
      <c r="D3" s="849"/>
      <c r="E3" s="849">
        <v>2023</v>
      </c>
      <c r="F3" s="912"/>
    </row>
    <row r="4" spans="1:6" s="255" customFormat="1" ht="75" customHeight="1" x14ac:dyDescent="0.2">
      <c r="A4" s="807"/>
      <c r="B4" s="849"/>
      <c r="C4" s="237" t="s">
        <v>13</v>
      </c>
      <c r="D4" s="237" t="s">
        <v>74</v>
      </c>
      <c r="E4" s="237" t="s">
        <v>13</v>
      </c>
      <c r="F4" s="261" t="s">
        <v>75</v>
      </c>
    </row>
    <row r="5" spans="1:6" s="255" customFormat="1" x14ac:dyDescent="0.2">
      <c r="A5" s="256"/>
      <c r="B5" s="382"/>
      <c r="C5" s="323" t="s">
        <v>119</v>
      </c>
      <c r="D5" s="323" t="s">
        <v>120</v>
      </c>
      <c r="E5" s="323" t="s">
        <v>121</v>
      </c>
      <c r="F5" s="328" t="s">
        <v>127</v>
      </c>
    </row>
    <row r="6" spans="1:6" ht="31.5" x14ac:dyDescent="0.2">
      <c r="A6" s="19">
        <v>1</v>
      </c>
      <c r="B6" s="339" t="s">
        <v>567</v>
      </c>
      <c r="C6" s="54">
        <f>C7+C10+C13+C16+C19+C22</f>
        <v>79736</v>
      </c>
      <c r="D6" s="54">
        <f>D7+D10+D13+D16+D19+D22</f>
        <v>358</v>
      </c>
      <c r="E6" s="54">
        <f>E7+E10+E13+E16+E19+E22</f>
        <v>63827</v>
      </c>
      <c r="F6" s="187">
        <f>F7+F10+F13+F16+F19+F22</f>
        <v>348</v>
      </c>
    </row>
    <row r="7" spans="1:6" x14ac:dyDescent="0.2">
      <c r="A7" s="19">
        <v>2</v>
      </c>
      <c r="B7" s="339" t="s">
        <v>568</v>
      </c>
      <c r="C7" s="54">
        <f>SUM(C8:C9)</f>
        <v>26550</v>
      </c>
      <c r="D7" s="54">
        <f>SUM(D8:D9)</f>
        <v>58</v>
      </c>
      <c r="E7" s="54">
        <f>SUM(E8:E9)</f>
        <v>12926</v>
      </c>
      <c r="F7" s="187">
        <f>SUM(F8:F9)</f>
        <v>23</v>
      </c>
    </row>
    <row r="8" spans="1:6" x14ac:dyDescent="0.2">
      <c r="A8" s="19">
        <v>3</v>
      </c>
      <c r="B8" s="246" t="s">
        <v>15</v>
      </c>
      <c r="C8" s="70">
        <v>26550</v>
      </c>
      <c r="D8" s="70">
        <v>58</v>
      </c>
      <c r="E8" s="70">
        <v>12926</v>
      </c>
      <c r="F8" s="80">
        <v>23</v>
      </c>
    </row>
    <row r="9" spans="1:6" ht="18.75" x14ac:dyDescent="0.2">
      <c r="A9" s="19">
        <v>4</v>
      </c>
      <c r="B9" s="246" t="s">
        <v>569</v>
      </c>
      <c r="C9" s="70"/>
      <c r="D9" s="70"/>
      <c r="E9" s="70"/>
      <c r="F9" s="80"/>
    </row>
    <row r="10" spans="1:6" ht="21" customHeight="1" x14ac:dyDescent="0.2">
      <c r="A10" s="19">
        <v>5</v>
      </c>
      <c r="B10" s="339" t="s">
        <v>518</v>
      </c>
      <c r="C10" s="54">
        <f>SUM(C11:C12)</f>
        <v>20250</v>
      </c>
      <c r="D10" s="54">
        <f>SUM(D11:D12)</f>
        <v>104</v>
      </c>
      <c r="E10" s="54">
        <f>SUM(E11:E12)</f>
        <v>27625</v>
      </c>
      <c r="F10" s="187">
        <f>SUM(F11:F12)</f>
        <v>118</v>
      </c>
    </row>
    <row r="11" spans="1:6" x14ac:dyDescent="0.2">
      <c r="A11" s="19">
        <v>6</v>
      </c>
      <c r="B11" s="246" t="s">
        <v>15</v>
      </c>
      <c r="C11" s="70">
        <v>20250</v>
      </c>
      <c r="D11" s="70">
        <v>104</v>
      </c>
      <c r="E11" s="70">
        <v>27625</v>
      </c>
      <c r="F11" s="80">
        <v>118</v>
      </c>
    </row>
    <row r="12" spans="1:6" ht="18.75" x14ac:dyDescent="0.2">
      <c r="A12" s="19">
        <v>7</v>
      </c>
      <c r="B12" s="246" t="s">
        <v>569</v>
      </c>
      <c r="C12" s="70"/>
      <c r="D12" s="70"/>
      <c r="E12" s="70"/>
      <c r="F12" s="80"/>
    </row>
    <row r="13" spans="1:6" x14ac:dyDescent="0.2">
      <c r="A13" s="19">
        <v>8</v>
      </c>
      <c r="B13" s="339" t="s">
        <v>519</v>
      </c>
      <c r="C13" s="54">
        <f>C14+C15</f>
        <v>18558</v>
      </c>
      <c r="D13" s="54">
        <f>D14+D15</f>
        <v>125</v>
      </c>
      <c r="E13" s="54">
        <f>E14+E15</f>
        <v>11210</v>
      </c>
      <c r="F13" s="187">
        <f>F14+F15</f>
        <v>102</v>
      </c>
    </row>
    <row r="14" spans="1:6" x14ac:dyDescent="0.2">
      <c r="A14" s="19">
        <v>9</v>
      </c>
      <c r="B14" s="246" t="s">
        <v>15</v>
      </c>
      <c r="C14" s="70">
        <v>18558</v>
      </c>
      <c r="D14" s="70">
        <v>125</v>
      </c>
      <c r="E14" s="70">
        <v>11210</v>
      </c>
      <c r="F14" s="80">
        <v>102</v>
      </c>
    </row>
    <row r="15" spans="1:6" ht="18.75" x14ac:dyDescent="0.2">
      <c r="A15" s="19">
        <v>10</v>
      </c>
      <c r="B15" s="246" t="s">
        <v>569</v>
      </c>
      <c r="C15" s="70"/>
      <c r="D15" s="70"/>
      <c r="E15" s="70"/>
      <c r="F15" s="80"/>
    </row>
    <row r="16" spans="1:6" x14ac:dyDescent="0.2">
      <c r="A16" s="19">
        <v>11</v>
      </c>
      <c r="B16" s="339" t="s">
        <v>570</v>
      </c>
      <c r="C16" s="54">
        <f>SUM(C17:C18)</f>
        <v>7051</v>
      </c>
      <c r="D16" s="54">
        <f>SUM(D17:D18)</f>
        <v>46</v>
      </c>
      <c r="E16" s="54">
        <f>SUM(E17:E18)</f>
        <v>5662</v>
      </c>
      <c r="F16" s="187">
        <f>SUM(F17:F18)</f>
        <v>74</v>
      </c>
    </row>
    <row r="17" spans="1:6" x14ac:dyDescent="0.2">
      <c r="A17" s="19">
        <v>12</v>
      </c>
      <c r="B17" s="246" t="s">
        <v>15</v>
      </c>
      <c r="C17" s="70">
        <v>7051</v>
      </c>
      <c r="D17" s="70">
        <v>46</v>
      </c>
      <c r="E17" s="70">
        <v>5662</v>
      </c>
      <c r="F17" s="80">
        <v>74</v>
      </c>
    </row>
    <row r="18" spans="1:6" ht="18.75" x14ac:dyDescent="0.2">
      <c r="A18" s="19">
        <v>13</v>
      </c>
      <c r="B18" s="246" t="s">
        <v>569</v>
      </c>
      <c r="C18" s="70"/>
      <c r="D18" s="70"/>
      <c r="E18" s="70"/>
      <c r="F18" s="80"/>
    </row>
    <row r="19" spans="1:6" x14ac:dyDescent="0.2">
      <c r="A19" s="19">
        <v>14</v>
      </c>
      <c r="B19" s="339" t="s">
        <v>571</v>
      </c>
      <c r="C19" s="54">
        <f>SUM(C20:C21)</f>
        <v>370</v>
      </c>
      <c r="D19" s="54">
        <f>SUM(D20:D21)</f>
        <v>2</v>
      </c>
      <c r="E19" s="54">
        <f>SUM(E20:E21)</f>
        <v>400</v>
      </c>
      <c r="F19" s="187">
        <f>SUM(F20:F21)</f>
        <v>1</v>
      </c>
    </row>
    <row r="20" spans="1:6" x14ac:dyDescent="0.2">
      <c r="A20" s="19">
        <v>15</v>
      </c>
      <c r="B20" s="246" t="s">
        <v>15</v>
      </c>
      <c r="C20" s="70">
        <v>370</v>
      </c>
      <c r="D20" s="70">
        <v>2</v>
      </c>
      <c r="E20" s="70">
        <v>400</v>
      </c>
      <c r="F20" s="80">
        <v>1</v>
      </c>
    </row>
    <row r="21" spans="1:6" ht="18.75" x14ac:dyDescent="0.2">
      <c r="A21" s="19">
        <v>16</v>
      </c>
      <c r="B21" s="383" t="s">
        <v>569</v>
      </c>
      <c r="C21" s="81"/>
      <c r="D21" s="81"/>
      <c r="E21" s="81"/>
      <c r="F21" s="82"/>
    </row>
    <row r="22" spans="1:6" x14ac:dyDescent="0.2">
      <c r="A22" s="19">
        <v>17</v>
      </c>
      <c r="B22" s="384" t="s">
        <v>550</v>
      </c>
      <c r="C22" s="54">
        <f>C23+C24</f>
        <v>6957</v>
      </c>
      <c r="D22" s="54">
        <f>D23+D24</f>
        <v>23</v>
      </c>
      <c r="E22" s="54">
        <f>E23+E24</f>
        <v>6004</v>
      </c>
      <c r="F22" s="187">
        <f>F23+F24</f>
        <v>30</v>
      </c>
    </row>
    <row r="23" spans="1:6" x14ac:dyDescent="0.2">
      <c r="A23" s="19">
        <v>18</v>
      </c>
      <c r="B23" s="246" t="s">
        <v>15</v>
      </c>
      <c r="C23" s="81">
        <v>6957</v>
      </c>
      <c r="D23" s="81">
        <v>23</v>
      </c>
      <c r="E23" s="81">
        <v>6004</v>
      </c>
      <c r="F23" s="82">
        <v>30</v>
      </c>
    </row>
    <row r="24" spans="1:6" ht="18.75" x14ac:dyDescent="0.2">
      <c r="A24" s="19">
        <v>19</v>
      </c>
      <c r="B24" s="383" t="s">
        <v>569</v>
      </c>
      <c r="C24" s="81"/>
      <c r="D24" s="81"/>
      <c r="E24" s="81"/>
      <c r="F24" s="82"/>
    </row>
    <row r="25" spans="1:6" ht="19.5" thickBot="1" x14ac:dyDescent="0.25">
      <c r="A25" s="20">
        <v>20</v>
      </c>
      <c r="B25" s="385" t="s">
        <v>742</v>
      </c>
      <c r="C25" s="699" t="s">
        <v>140</v>
      </c>
      <c r="D25" s="83">
        <v>358</v>
      </c>
      <c r="E25" s="699" t="s">
        <v>140</v>
      </c>
      <c r="F25" s="84">
        <v>348</v>
      </c>
    </row>
    <row r="26" spans="1:6" s="49" customFormat="1" x14ac:dyDescent="0.2">
      <c r="A26" s="165"/>
      <c r="B26" s="166"/>
      <c r="C26" s="167"/>
      <c r="D26" s="168"/>
      <c r="E26" s="167"/>
      <c r="F26" s="168"/>
    </row>
    <row r="27" spans="1:6" s="255" customFormat="1" ht="15.75" customHeight="1" x14ac:dyDescent="0.2">
      <c r="A27" s="980" t="s">
        <v>740</v>
      </c>
      <c r="B27" s="981"/>
      <c r="C27" s="981"/>
      <c r="D27" s="981"/>
      <c r="E27" s="981"/>
      <c r="F27" s="982"/>
    </row>
    <row r="28" spans="1:6" s="255" customFormat="1" ht="15.75" customHeight="1" x14ac:dyDescent="0.2">
      <c r="A28" s="983" t="s">
        <v>741</v>
      </c>
      <c r="B28" s="984"/>
      <c r="C28" s="984"/>
      <c r="D28" s="984"/>
      <c r="E28" s="984"/>
      <c r="F28" s="985"/>
    </row>
    <row r="29" spans="1:6" s="255" customFormat="1" ht="15.75" customHeight="1" x14ac:dyDescent="0.2">
      <c r="A29" s="979" t="s">
        <v>773</v>
      </c>
      <c r="B29" s="979"/>
      <c r="C29" s="979"/>
      <c r="D29" s="979"/>
      <c r="E29" s="979"/>
      <c r="F29" s="979"/>
    </row>
    <row r="31" spans="1:6" x14ac:dyDescent="0.2">
      <c r="F31" s="13" t="s">
        <v>1088</v>
      </c>
    </row>
    <row r="32" spans="1:6" ht="31.5" x14ac:dyDescent="0.2">
      <c r="F32" s="13" t="s">
        <v>1089</v>
      </c>
    </row>
    <row r="33" spans="2:12" x14ac:dyDescent="0.25">
      <c r="B33" s="24" t="s">
        <v>1095</v>
      </c>
      <c r="C33" s="757"/>
      <c r="D33" s="24"/>
      <c r="E33" s="24"/>
      <c r="F33" s="24"/>
      <c r="G33" s="24"/>
      <c r="H33" s="24"/>
      <c r="I33" s="24"/>
      <c r="J33" s="24"/>
      <c r="K33" s="24"/>
      <c r="L33" s="24"/>
    </row>
    <row r="34" spans="2:12" x14ac:dyDescent="0.25">
      <c r="B34" s="762"/>
      <c r="C34" s="118"/>
      <c r="D34" s="118"/>
    </row>
    <row r="35" spans="2:12" ht="126" x14ac:dyDescent="0.25">
      <c r="B35" s="764" t="s">
        <v>1093</v>
      </c>
      <c r="C35" s="763" t="s">
        <v>1092</v>
      </c>
      <c r="D35" s="763" t="s">
        <v>1096</v>
      </c>
    </row>
    <row r="36" spans="2:12" ht="63" x14ac:dyDescent="0.2">
      <c r="B36" s="39" t="s">
        <v>1091</v>
      </c>
      <c r="F36" s="768" t="s">
        <v>1103</v>
      </c>
    </row>
  </sheetData>
  <mergeCells count="10">
    <mergeCell ref="C2:F2"/>
    <mergeCell ref="A29:F29"/>
    <mergeCell ref="A27:F27"/>
    <mergeCell ref="A28:F28"/>
    <mergeCell ref="A1:F1"/>
    <mergeCell ref="A3:A4"/>
    <mergeCell ref="B3:B4"/>
    <mergeCell ref="C3:D3"/>
    <mergeCell ref="E3:F3"/>
    <mergeCell ref="A2:B2"/>
  </mergeCells>
  <pageMargins left="0.74803149606299213" right="0.56000000000000005" top="0.98425196850393704" bottom="0.98425196850393704" header="0.51181102362204722" footer="0.51181102362204722"/>
  <pageSetup paperSize="9" scale="7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G16"/>
  <sheetViews>
    <sheetView zoomScaleNormal="100" workbookViewId="0">
      <pane xSplit="2" ySplit="5" topLeftCell="C6" activePane="bottomRight" state="frozen"/>
      <selection pane="topRight" activeCell="C1" sqref="C1"/>
      <selection pane="bottomLeft" activeCell="A5" sqref="A5"/>
      <selection pane="bottomRight" activeCell="D16" sqref="D16"/>
    </sheetView>
  </sheetViews>
  <sheetFormatPr defaultColWidth="9.140625" defaultRowHeight="18.75" x14ac:dyDescent="0.25"/>
  <cols>
    <col min="1" max="1" width="9.140625" style="123"/>
    <col min="2" max="2" width="67" style="134" customWidth="1"/>
    <col min="3" max="3" width="20.28515625" style="151" customWidth="1"/>
    <col min="4" max="4" width="23.5703125" style="151" customWidth="1"/>
    <col min="5" max="5" width="22.140625" style="151" customWidth="1"/>
    <col min="6" max="6" width="23.85546875" style="123" customWidth="1"/>
    <col min="7" max="16384" width="9.140625" style="123"/>
  </cols>
  <sheetData>
    <row r="1" spans="1:7" s="329" customFormat="1" ht="50.1" customHeight="1" thickBot="1" x14ac:dyDescent="0.3">
      <c r="A1" s="988" t="s">
        <v>837</v>
      </c>
      <c r="B1" s="989"/>
      <c r="C1" s="989"/>
      <c r="D1" s="990"/>
      <c r="E1" s="990"/>
      <c r="F1" s="991"/>
    </row>
    <row r="2" spans="1:7" s="329" customFormat="1" ht="35.1" customHeight="1" thickBot="1" x14ac:dyDescent="0.3">
      <c r="A2" s="992" t="s">
        <v>1057</v>
      </c>
      <c r="B2" s="993"/>
      <c r="C2" s="993"/>
      <c r="D2" s="994"/>
      <c r="E2" s="994"/>
      <c r="F2" s="995"/>
    </row>
    <row r="3" spans="1:7" s="329" customFormat="1" ht="33" customHeight="1" x14ac:dyDescent="0.25">
      <c r="A3" s="895" t="s">
        <v>80</v>
      </c>
      <c r="B3" s="1000" t="s">
        <v>153</v>
      </c>
      <c r="C3" s="999">
        <v>2022</v>
      </c>
      <c r="D3" s="999"/>
      <c r="E3" s="996">
        <v>2023</v>
      </c>
      <c r="F3" s="997"/>
    </row>
    <row r="4" spans="1:7" s="329" customFormat="1" ht="71.25" customHeight="1" x14ac:dyDescent="0.25">
      <c r="A4" s="807"/>
      <c r="B4" s="1001"/>
      <c r="C4" s="386" t="s">
        <v>529</v>
      </c>
      <c r="D4" s="386" t="s">
        <v>573</v>
      </c>
      <c r="E4" s="386" t="s">
        <v>529</v>
      </c>
      <c r="F4" s="387" t="s">
        <v>573</v>
      </c>
    </row>
    <row r="5" spans="1:7" s="329" customFormat="1" ht="15.75" customHeight="1" x14ac:dyDescent="0.25">
      <c r="A5" s="330"/>
      <c r="B5" s="331"/>
      <c r="C5" s="331" t="s">
        <v>119</v>
      </c>
      <c r="D5" s="331" t="s">
        <v>120</v>
      </c>
      <c r="E5" s="388" t="s">
        <v>121</v>
      </c>
      <c r="F5" s="389" t="s">
        <v>127</v>
      </c>
    </row>
    <row r="6" spans="1:7" s="148" customFormat="1" ht="34.5" customHeight="1" x14ac:dyDescent="0.2">
      <c r="A6" s="124">
        <v>1</v>
      </c>
      <c r="B6" s="390" t="s">
        <v>494</v>
      </c>
      <c r="C6" s="126"/>
      <c r="D6" s="126"/>
      <c r="E6" s="125">
        <f>C9</f>
        <v>0</v>
      </c>
      <c r="F6" s="175">
        <f>D9</f>
        <v>0</v>
      </c>
      <c r="G6" s="169"/>
    </row>
    <row r="7" spans="1:7" ht="36" customHeight="1" x14ac:dyDescent="0.25">
      <c r="A7" s="124">
        <v>2</v>
      </c>
      <c r="B7" s="390" t="s">
        <v>526</v>
      </c>
      <c r="C7" s="619">
        <v>132840</v>
      </c>
      <c r="D7" s="619">
        <v>318500</v>
      </c>
      <c r="E7" s="619">
        <v>143370</v>
      </c>
      <c r="F7" s="700">
        <v>328200</v>
      </c>
    </row>
    <row r="8" spans="1:7" ht="35.25" customHeight="1" x14ac:dyDescent="0.25">
      <c r="A8" s="124">
        <v>3</v>
      </c>
      <c r="B8" s="390" t="s">
        <v>495</v>
      </c>
      <c r="C8" s="619">
        <v>132840</v>
      </c>
      <c r="D8" s="619">
        <v>318500</v>
      </c>
      <c r="E8" s="619">
        <v>143370</v>
      </c>
      <c r="F8" s="700">
        <v>328200</v>
      </c>
    </row>
    <row r="9" spans="1:7" ht="39.75" customHeight="1" x14ac:dyDescent="0.25">
      <c r="A9" s="124">
        <v>4</v>
      </c>
      <c r="B9" s="390" t="s">
        <v>527</v>
      </c>
      <c r="C9" s="125">
        <f>C6+C7-C8</f>
        <v>0</v>
      </c>
      <c r="D9" s="125">
        <f>D6+D7-D8</f>
        <v>0</v>
      </c>
      <c r="E9" s="125">
        <f>E6+E7-E8</f>
        <v>0</v>
      </c>
      <c r="F9" s="175">
        <f>F6+F7-F8</f>
        <v>0</v>
      </c>
    </row>
    <row r="10" spans="1:7" ht="36" customHeight="1" thickBot="1" x14ac:dyDescent="0.3">
      <c r="A10" s="176">
        <v>5</v>
      </c>
      <c r="B10" s="391" t="s">
        <v>528</v>
      </c>
      <c r="C10" s="701">
        <v>162</v>
      </c>
      <c r="D10" s="701">
        <v>773</v>
      </c>
      <c r="E10" s="701">
        <v>164</v>
      </c>
      <c r="F10" s="702">
        <v>799</v>
      </c>
    </row>
    <row r="11" spans="1:7" ht="21" customHeight="1" x14ac:dyDescent="0.25">
      <c r="A11" s="149"/>
      <c r="B11" s="150"/>
      <c r="C11" s="123"/>
      <c r="D11" s="123"/>
      <c r="E11" s="123"/>
    </row>
    <row r="12" spans="1:7" ht="21" customHeight="1" x14ac:dyDescent="0.25">
      <c r="A12" s="998" t="s">
        <v>743</v>
      </c>
      <c r="B12" s="998"/>
      <c r="C12" s="998"/>
      <c r="D12" s="998"/>
      <c r="E12" s="998"/>
      <c r="F12" s="998"/>
    </row>
    <row r="13" spans="1:7" ht="18" x14ac:dyDescent="0.25">
      <c r="A13" s="470" t="s">
        <v>744</v>
      </c>
      <c r="B13" s="471"/>
      <c r="C13" s="472"/>
      <c r="D13" s="472"/>
      <c r="E13" s="472"/>
      <c r="F13" s="473"/>
    </row>
    <row r="14" spans="1:7" ht="18" x14ac:dyDescent="0.25">
      <c r="A14" s="470" t="s">
        <v>745</v>
      </c>
      <c r="B14" s="471"/>
      <c r="C14" s="472"/>
      <c r="D14" s="472"/>
      <c r="E14" s="472"/>
      <c r="F14" s="473"/>
    </row>
    <row r="16" spans="1:7" x14ac:dyDescent="0.25">
      <c r="C16" s="151" t="s">
        <v>56</v>
      </c>
      <c r="F16" s="123" t="s">
        <v>1087</v>
      </c>
    </row>
  </sheetData>
  <mergeCells count="7">
    <mergeCell ref="A1:F1"/>
    <mergeCell ref="A2:F2"/>
    <mergeCell ref="E3:F3"/>
    <mergeCell ref="A12:F12"/>
    <mergeCell ref="C3:D3"/>
    <mergeCell ref="B3:B4"/>
    <mergeCell ref="A3:A4"/>
  </mergeCells>
  <printOptions horizontalCentered="1"/>
  <pageMargins left="0.65" right="0.64" top="0.98425196850393704" bottom="0.73" header="0.51181102362204722" footer="0.51181102362204722"/>
  <pageSetup paperSize="9" scale="8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3"/>
  <sheetViews>
    <sheetView topLeftCell="A10" zoomScaleNormal="100" workbookViewId="0">
      <selection activeCell="K16" sqref="K16"/>
    </sheetView>
  </sheetViews>
  <sheetFormatPr defaultColWidth="9.140625" defaultRowHeight="15.75" x14ac:dyDescent="0.2"/>
  <cols>
    <col min="1" max="1" width="8.140625" style="487" customWidth="1"/>
    <col min="2" max="2" width="93.140625" style="503" customWidth="1"/>
    <col min="3" max="3" width="15.7109375" style="487" customWidth="1"/>
    <col min="4" max="4" width="18.140625" style="487" customWidth="1"/>
    <col min="5" max="5" width="15.7109375" style="487" customWidth="1"/>
    <col min="6" max="6" width="18.140625" style="487" customWidth="1"/>
    <col min="7" max="9" width="15.7109375" style="487" customWidth="1"/>
    <col min="10" max="10" width="15.140625" style="487" customWidth="1"/>
    <col min="11" max="11" width="27.140625" style="487" customWidth="1"/>
    <col min="12" max="12" width="25.85546875" style="487" customWidth="1"/>
    <col min="13" max="16384" width="9.140625" style="487"/>
  </cols>
  <sheetData>
    <row r="1" spans="1:11" s="475" customFormat="1" ht="50.1" customHeight="1" thickBot="1" x14ac:dyDescent="0.25">
      <c r="A1" s="1004" t="s">
        <v>860</v>
      </c>
      <c r="B1" s="1005"/>
      <c r="C1" s="1005"/>
      <c r="D1" s="1005"/>
      <c r="E1" s="1005"/>
      <c r="F1" s="1005"/>
      <c r="G1" s="1005"/>
      <c r="H1" s="1005"/>
      <c r="I1" s="1005"/>
      <c r="J1" s="1006"/>
    </row>
    <row r="2" spans="1:11" s="475" customFormat="1" ht="62.45" customHeight="1" thickBot="1" x14ac:dyDescent="0.25">
      <c r="A2" s="1007" t="s">
        <v>1057</v>
      </c>
      <c r="B2" s="1008"/>
      <c r="C2" s="1009" t="s">
        <v>868</v>
      </c>
      <c r="D2" s="1010"/>
      <c r="E2" s="1009" t="s">
        <v>869</v>
      </c>
      <c r="F2" s="1010"/>
      <c r="G2" s="1011" t="s">
        <v>861</v>
      </c>
      <c r="H2" s="1012"/>
      <c r="I2" s="1011" t="s">
        <v>856</v>
      </c>
      <c r="J2" s="1012"/>
    </row>
    <row r="3" spans="1:11" s="475" customFormat="1" x14ac:dyDescent="0.2">
      <c r="A3" s="1014" t="s">
        <v>80</v>
      </c>
      <c r="B3" s="1016" t="s">
        <v>153</v>
      </c>
      <c r="C3" s="1017">
        <v>2023</v>
      </c>
      <c r="D3" s="1018"/>
      <c r="E3" s="1017">
        <v>2023</v>
      </c>
      <c r="F3" s="1018"/>
      <c r="G3" s="1002">
        <v>2023</v>
      </c>
      <c r="H3" s="1003"/>
      <c r="I3" s="1002">
        <v>2023</v>
      </c>
      <c r="J3" s="1003"/>
    </row>
    <row r="4" spans="1:11" s="475" customFormat="1" ht="78.75" x14ac:dyDescent="0.2">
      <c r="A4" s="1015"/>
      <c r="B4" s="1016"/>
      <c r="C4" s="476" t="s">
        <v>483</v>
      </c>
      <c r="D4" s="477" t="s">
        <v>624</v>
      </c>
      <c r="E4" s="476" t="s">
        <v>483</v>
      </c>
      <c r="F4" s="477" t="s">
        <v>624</v>
      </c>
      <c r="G4" s="476" t="s">
        <v>483</v>
      </c>
      <c r="H4" s="477" t="s">
        <v>624</v>
      </c>
      <c r="I4" s="476" t="s">
        <v>483</v>
      </c>
      <c r="J4" s="477" t="s">
        <v>624</v>
      </c>
    </row>
    <row r="5" spans="1:11" s="475" customFormat="1" x14ac:dyDescent="0.2">
      <c r="A5" s="478"/>
      <c r="B5" s="479"/>
      <c r="C5" s="480" t="s">
        <v>119</v>
      </c>
      <c r="D5" s="481" t="s">
        <v>120</v>
      </c>
      <c r="E5" s="480" t="s">
        <v>121</v>
      </c>
      <c r="F5" s="481" t="s">
        <v>127</v>
      </c>
      <c r="G5" s="480" t="s">
        <v>122</v>
      </c>
      <c r="H5" s="481" t="s">
        <v>123</v>
      </c>
      <c r="I5" s="480" t="s">
        <v>124</v>
      </c>
      <c r="J5" s="482" t="s">
        <v>125</v>
      </c>
    </row>
    <row r="6" spans="1:11" ht="38.25" customHeight="1" x14ac:dyDescent="0.2">
      <c r="A6" s="483">
        <v>1</v>
      </c>
      <c r="B6" s="484" t="s">
        <v>858</v>
      </c>
      <c r="C6" s="465" t="s">
        <v>140</v>
      </c>
      <c r="D6" s="485">
        <v>1164</v>
      </c>
      <c r="E6" s="465" t="s">
        <v>140</v>
      </c>
      <c r="F6" s="485">
        <v>137</v>
      </c>
      <c r="G6" s="465" t="s">
        <v>140</v>
      </c>
      <c r="H6" s="485">
        <v>4</v>
      </c>
      <c r="I6" s="465" t="s">
        <v>140</v>
      </c>
      <c r="J6" s="486">
        <v>12</v>
      </c>
    </row>
    <row r="7" spans="1:11" ht="38.25" customHeight="1" x14ac:dyDescent="0.2">
      <c r="A7" s="483">
        <v>2</v>
      </c>
      <c r="B7" s="484" t="s">
        <v>625</v>
      </c>
      <c r="C7" s="465" t="s">
        <v>140</v>
      </c>
      <c r="D7" s="485">
        <v>173</v>
      </c>
      <c r="E7" s="465" t="s">
        <v>140</v>
      </c>
      <c r="F7" s="485">
        <v>49</v>
      </c>
      <c r="G7" s="465" t="s">
        <v>140</v>
      </c>
      <c r="H7" s="485">
        <v>1</v>
      </c>
      <c r="I7" s="465" t="s">
        <v>140</v>
      </c>
      <c r="J7" s="486">
        <v>1</v>
      </c>
    </row>
    <row r="8" spans="1:11" ht="38.25" customHeight="1" x14ac:dyDescent="0.2">
      <c r="A8" s="483">
        <v>3</v>
      </c>
      <c r="B8" s="488" t="s">
        <v>874</v>
      </c>
      <c r="C8" s="485">
        <v>276000</v>
      </c>
      <c r="D8" s="465" t="s">
        <v>140</v>
      </c>
      <c r="E8" s="485">
        <v>33000</v>
      </c>
      <c r="F8" s="465" t="s">
        <v>140</v>
      </c>
      <c r="G8" s="464">
        <v>0</v>
      </c>
      <c r="H8" s="465" t="s">
        <v>140</v>
      </c>
      <c r="I8" s="464">
        <v>0</v>
      </c>
      <c r="J8" s="489" t="s">
        <v>140</v>
      </c>
    </row>
    <row r="9" spans="1:11" ht="76.5" customHeight="1" x14ac:dyDescent="0.2">
      <c r="A9" s="483">
        <v>4</v>
      </c>
      <c r="B9" s="490" t="s">
        <v>876</v>
      </c>
      <c r="C9" s="485">
        <f>276000+249000</f>
        <v>525000</v>
      </c>
      <c r="D9" s="465" t="s">
        <v>140</v>
      </c>
      <c r="E9" s="485">
        <f>33000+114000</f>
        <v>147000</v>
      </c>
      <c r="F9" s="465" t="s">
        <v>140</v>
      </c>
      <c r="G9" s="464">
        <v>4000</v>
      </c>
      <c r="H9" s="465" t="s">
        <v>140</v>
      </c>
      <c r="I9" s="465" t="s">
        <v>140</v>
      </c>
      <c r="J9" s="489" t="s">
        <v>140</v>
      </c>
      <c r="K9" s="761" t="s">
        <v>1041</v>
      </c>
    </row>
    <row r="10" spans="1:11" ht="83.25" customHeight="1" x14ac:dyDescent="0.2">
      <c r="A10" s="483">
        <v>5</v>
      </c>
      <c r="B10" s="491" t="s">
        <v>857</v>
      </c>
      <c r="C10" s="465" t="s">
        <v>140</v>
      </c>
      <c r="D10" s="465" t="s">
        <v>140</v>
      </c>
      <c r="E10" s="465" t="s">
        <v>140</v>
      </c>
      <c r="F10" s="465" t="s">
        <v>140</v>
      </c>
      <c r="G10" s="465" t="s">
        <v>140</v>
      </c>
      <c r="H10" s="465" t="s">
        <v>140</v>
      </c>
      <c r="I10" s="703">
        <v>16150</v>
      </c>
      <c r="J10" s="489" t="s">
        <v>140</v>
      </c>
      <c r="K10" s="761" t="s">
        <v>1042</v>
      </c>
    </row>
    <row r="11" spans="1:11" ht="117" customHeight="1" x14ac:dyDescent="0.2">
      <c r="A11" s="483">
        <v>6</v>
      </c>
      <c r="B11" s="484" t="s">
        <v>859</v>
      </c>
      <c r="C11" s="485">
        <v>349200</v>
      </c>
      <c r="D11" s="465" t="s">
        <v>140</v>
      </c>
      <c r="E11" s="485">
        <v>41100</v>
      </c>
      <c r="F11" s="465" t="s">
        <v>140</v>
      </c>
      <c r="G11" s="485">
        <v>0</v>
      </c>
      <c r="H11" s="465" t="s">
        <v>140</v>
      </c>
      <c r="I11" s="704">
        <v>12112.5</v>
      </c>
      <c r="J11" s="489" t="s">
        <v>140</v>
      </c>
      <c r="K11" s="760" t="s">
        <v>1100</v>
      </c>
    </row>
    <row r="12" spans="1:11" ht="38.25" customHeight="1" x14ac:dyDescent="0.2">
      <c r="A12" s="483">
        <v>7</v>
      </c>
      <c r="B12" s="492" t="s">
        <v>880</v>
      </c>
      <c r="C12" s="493">
        <v>6000</v>
      </c>
      <c r="D12" s="465" t="s">
        <v>140</v>
      </c>
      <c r="E12" s="493">
        <v>900</v>
      </c>
      <c r="F12" s="465" t="s">
        <v>140</v>
      </c>
      <c r="G12" s="493"/>
      <c r="H12" s="465" t="s">
        <v>140</v>
      </c>
      <c r="I12" s="493"/>
      <c r="J12" s="489" t="s">
        <v>140</v>
      </c>
    </row>
    <row r="13" spans="1:11" ht="46.5" customHeight="1" x14ac:dyDescent="0.2">
      <c r="A13" s="483">
        <v>8</v>
      </c>
      <c r="B13" s="490" t="s">
        <v>881</v>
      </c>
      <c r="C13" s="494">
        <f>C8+C9-C11-C12</f>
        <v>445800</v>
      </c>
      <c r="D13" s="465" t="s">
        <v>140</v>
      </c>
      <c r="E13" s="494">
        <f>E8+E9-E11-E12</f>
        <v>138000</v>
      </c>
      <c r="F13" s="465" t="s">
        <v>140</v>
      </c>
      <c r="G13" s="494">
        <f>G8+G9-G11-G12</f>
        <v>4000</v>
      </c>
      <c r="H13" s="465" t="s">
        <v>140</v>
      </c>
      <c r="I13" s="705">
        <f>I8+I10-I11-I12</f>
        <v>4037.5</v>
      </c>
      <c r="J13" s="489" t="s">
        <v>140</v>
      </c>
    </row>
    <row r="14" spans="1:11" ht="118.5" customHeight="1" x14ac:dyDescent="0.2">
      <c r="A14" s="483">
        <v>9</v>
      </c>
      <c r="B14" s="495" t="s">
        <v>882</v>
      </c>
      <c r="C14" s="496">
        <v>126000</v>
      </c>
      <c r="D14" s="497" t="s">
        <v>140</v>
      </c>
      <c r="E14" s="496">
        <v>48600</v>
      </c>
      <c r="F14" s="497" t="s">
        <v>140</v>
      </c>
      <c r="G14" s="496">
        <v>1600</v>
      </c>
      <c r="H14" s="497" t="s">
        <v>140</v>
      </c>
      <c r="I14" s="706">
        <v>807.5</v>
      </c>
      <c r="J14" s="489" t="s">
        <v>140</v>
      </c>
      <c r="K14" s="760" t="s">
        <v>1101</v>
      </c>
    </row>
    <row r="15" spans="1:11" ht="114.75" customHeight="1" thickBot="1" x14ac:dyDescent="0.25">
      <c r="A15" s="516">
        <v>10</v>
      </c>
      <c r="B15" s="517" t="s">
        <v>883</v>
      </c>
      <c r="C15" s="518">
        <v>108000</v>
      </c>
      <c r="D15" s="519" t="s">
        <v>140</v>
      </c>
      <c r="E15" s="518">
        <v>13200</v>
      </c>
      <c r="F15" s="519" t="s">
        <v>140</v>
      </c>
      <c r="G15" s="518">
        <v>0</v>
      </c>
      <c r="H15" s="519" t="s">
        <v>140</v>
      </c>
      <c r="I15" s="707">
        <v>3230</v>
      </c>
      <c r="J15" s="515" t="s">
        <v>140</v>
      </c>
      <c r="K15" s="760" t="s">
        <v>1102</v>
      </c>
    </row>
    <row r="16" spans="1:11" x14ac:dyDescent="0.2">
      <c r="B16" s="498"/>
      <c r="E16" s="499"/>
    </row>
    <row r="17" spans="1:7" x14ac:dyDescent="0.2">
      <c r="B17" s="498"/>
      <c r="E17" s="499"/>
    </row>
    <row r="18" spans="1:7" x14ac:dyDescent="0.2">
      <c r="A18" s="1013" t="s">
        <v>866</v>
      </c>
      <c r="B18" s="1013"/>
      <c r="C18" s="1013"/>
      <c r="D18" s="1013"/>
      <c r="E18" s="1013"/>
      <c r="G18" s="500"/>
    </row>
    <row r="19" spans="1:7" x14ac:dyDescent="0.2">
      <c r="A19" s="501" t="s">
        <v>867</v>
      </c>
      <c r="B19" s="501"/>
      <c r="C19" s="501"/>
      <c r="D19" s="501"/>
      <c r="E19" s="502"/>
      <c r="G19" s="500"/>
    </row>
    <row r="21" spans="1:7" ht="94.5" x14ac:dyDescent="0.2">
      <c r="B21" s="503" t="s">
        <v>1013</v>
      </c>
      <c r="C21" s="487" t="s">
        <v>1014</v>
      </c>
      <c r="E21" s="487" t="s">
        <v>1015</v>
      </c>
      <c r="G21" s="487" t="s">
        <v>1016</v>
      </c>
    </row>
    <row r="22" spans="1:7" ht="78.75" x14ac:dyDescent="0.2">
      <c r="B22" s="708" t="s">
        <v>1030</v>
      </c>
      <c r="C22" s="487" t="s">
        <v>1017</v>
      </c>
      <c r="E22" s="487" t="s">
        <v>1018</v>
      </c>
    </row>
    <row r="23" spans="1:7" x14ac:dyDescent="0.2">
      <c r="B23" s="503" t="s">
        <v>1019</v>
      </c>
    </row>
    <row r="42" spans="2:2" x14ac:dyDescent="0.2">
      <c r="B42" s="503" t="s">
        <v>1020</v>
      </c>
    </row>
    <row r="63" spans="2:2" x14ac:dyDescent="0.2">
      <c r="B63" s="755" t="s">
        <v>1074</v>
      </c>
    </row>
  </sheetData>
  <mergeCells count="13">
    <mergeCell ref="A18:E18"/>
    <mergeCell ref="A3:A4"/>
    <mergeCell ref="B3:B4"/>
    <mergeCell ref="C3:D3"/>
    <mergeCell ref="E3:F3"/>
    <mergeCell ref="G3:H3"/>
    <mergeCell ref="I3:J3"/>
    <mergeCell ref="A1:J1"/>
    <mergeCell ref="A2:B2"/>
    <mergeCell ref="C2:D2"/>
    <mergeCell ref="E2:F2"/>
    <mergeCell ref="G2:H2"/>
    <mergeCell ref="I2:J2"/>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3"/>
  <sheetViews>
    <sheetView topLeftCell="A5" zoomScaleNormal="100" workbookViewId="0">
      <selection activeCell="B14" sqref="B14"/>
    </sheetView>
  </sheetViews>
  <sheetFormatPr defaultColWidth="8.85546875" defaultRowHeight="12.75" x14ac:dyDescent="0.2"/>
  <cols>
    <col min="1" max="1" width="8.140625" style="508" customWidth="1"/>
    <col min="2" max="2" width="93.140625" style="508" customWidth="1"/>
    <col min="3" max="3" width="15.7109375" style="508" customWidth="1"/>
    <col min="4" max="4" width="18.140625" style="508" customWidth="1"/>
    <col min="5" max="6" width="17.85546875" style="508" customWidth="1"/>
    <col min="7" max="16384" width="8.85546875" style="508"/>
  </cols>
  <sheetData>
    <row r="1" spans="1:6" s="504" customFormat="1" ht="50.1" customHeight="1" thickBot="1" x14ac:dyDescent="0.25">
      <c r="A1" s="1004" t="s">
        <v>838</v>
      </c>
      <c r="B1" s="1005"/>
      <c r="C1" s="1005"/>
      <c r="D1" s="1005"/>
      <c r="E1" s="1005"/>
      <c r="F1" s="1006"/>
    </row>
    <row r="2" spans="1:6" s="504" customFormat="1" ht="46.15" customHeight="1" x14ac:dyDescent="0.2">
      <c r="A2" s="1007" t="s">
        <v>1057</v>
      </c>
      <c r="B2" s="1008"/>
      <c r="C2" s="1009" t="s">
        <v>870</v>
      </c>
      <c r="D2" s="1010"/>
      <c r="E2" s="1009" t="s">
        <v>780</v>
      </c>
      <c r="F2" s="1010"/>
    </row>
    <row r="3" spans="1:6" s="504" customFormat="1" ht="15.75" x14ac:dyDescent="0.2">
      <c r="A3" s="1014" t="s">
        <v>80</v>
      </c>
      <c r="B3" s="1026" t="s">
        <v>153</v>
      </c>
      <c r="C3" s="1017">
        <v>2023</v>
      </c>
      <c r="D3" s="1018"/>
      <c r="E3" s="1017">
        <v>2023</v>
      </c>
      <c r="F3" s="1018"/>
    </row>
    <row r="4" spans="1:6" s="504" customFormat="1" ht="88.15" customHeight="1" x14ac:dyDescent="0.2">
      <c r="A4" s="1025"/>
      <c r="B4" s="1027"/>
      <c r="C4" s="505" t="s">
        <v>483</v>
      </c>
      <c r="D4" s="506" t="s">
        <v>624</v>
      </c>
      <c r="E4" s="505" t="s">
        <v>483</v>
      </c>
      <c r="F4" s="506" t="s">
        <v>624</v>
      </c>
    </row>
    <row r="5" spans="1:6" s="504" customFormat="1" ht="15.75" x14ac:dyDescent="0.2">
      <c r="A5" s="507"/>
      <c r="B5" s="479"/>
      <c r="C5" s="480" t="s">
        <v>119</v>
      </c>
      <c r="D5" s="482" t="s">
        <v>120</v>
      </c>
      <c r="E5" s="480" t="s">
        <v>121</v>
      </c>
      <c r="F5" s="482" t="s">
        <v>127</v>
      </c>
    </row>
    <row r="6" spans="1:6" ht="37.5" x14ac:dyDescent="0.2">
      <c r="A6" s="483">
        <v>1</v>
      </c>
      <c r="B6" s="484" t="s">
        <v>641</v>
      </c>
      <c r="C6" s="465" t="s">
        <v>140</v>
      </c>
      <c r="D6" s="486">
        <v>0</v>
      </c>
      <c r="E6" s="465" t="s">
        <v>140</v>
      </c>
      <c r="F6" s="486">
        <v>0</v>
      </c>
    </row>
    <row r="7" spans="1:6" ht="37.5" x14ac:dyDescent="0.2">
      <c r="A7" s="483">
        <v>2</v>
      </c>
      <c r="B7" s="484" t="s">
        <v>642</v>
      </c>
      <c r="C7" s="465" t="s">
        <v>140</v>
      </c>
      <c r="D7" s="486">
        <v>0</v>
      </c>
      <c r="E7" s="465" t="s">
        <v>140</v>
      </c>
      <c r="F7" s="486">
        <v>0</v>
      </c>
    </row>
    <row r="8" spans="1:6" ht="31.5" x14ac:dyDescent="0.2">
      <c r="A8" s="483">
        <v>3</v>
      </c>
      <c r="B8" s="488" t="s">
        <v>875</v>
      </c>
      <c r="C8" s="509">
        <v>0</v>
      </c>
      <c r="D8" s="489" t="s">
        <v>140</v>
      </c>
      <c r="E8" s="509">
        <v>0</v>
      </c>
      <c r="F8" s="489" t="s">
        <v>140</v>
      </c>
    </row>
    <row r="9" spans="1:6" ht="31.15" customHeight="1" x14ac:dyDescent="0.2">
      <c r="A9" s="483">
        <v>4</v>
      </c>
      <c r="B9" s="484" t="s">
        <v>643</v>
      </c>
      <c r="C9" s="509">
        <v>0</v>
      </c>
      <c r="D9" s="489" t="s">
        <v>140</v>
      </c>
      <c r="E9" s="509">
        <v>0</v>
      </c>
      <c r="F9" s="489" t="s">
        <v>140</v>
      </c>
    </row>
    <row r="10" spans="1:6" ht="31.5" x14ac:dyDescent="0.2">
      <c r="A10" s="483">
        <v>5</v>
      </c>
      <c r="B10" s="484" t="s">
        <v>884</v>
      </c>
      <c r="C10" s="510">
        <v>0</v>
      </c>
      <c r="D10" s="489" t="s">
        <v>140</v>
      </c>
      <c r="E10" s="510">
        <v>0</v>
      </c>
      <c r="F10" s="489" t="s">
        <v>140</v>
      </c>
    </row>
    <row r="11" spans="1:6" ht="34.5" customHeight="1" x14ac:dyDescent="0.2">
      <c r="A11" s="483">
        <v>6</v>
      </c>
      <c r="B11" s="492" t="s">
        <v>880</v>
      </c>
      <c r="C11" s="511"/>
      <c r="D11" s="489" t="s">
        <v>140</v>
      </c>
      <c r="E11" s="511">
        <v>0</v>
      </c>
      <c r="F11" s="489"/>
    </row>
    <row r="12" spans="1:6" ht="31.15" customHeight="1" x14ac:dyDescent="0.2">
      <c r="A12" s="483">
        <v>7</v>
      </c>
      <c r="B12" s="490" t="s">
        <v>885</v>
      </c>
      <c r="C12" s="512">
        <f>C8+C9-C10-C11</f>
        <v>0</v>
      </c>
      <c r="D12" s="489" t="s">
        <v>140</v>
      </c>
      <c r="E12" s="512">
        <f>E8+E9-E10-E11</f>
        <v>0</v>
      </c>
      <c r="F12" s="489" t="s">
        <v>140</v>
      </c>
    </row>
    <row r="13" spans="1:6" ht="31.15" customHeight="1" x14ac:dyDescent="0.2">
      <c r="A13" s="483">
        <v>8</v>
      </c>
      <c r="B13" s="495" t="s">
        <v>882</v>
      </c>
      <c r="C13" s="509">
        <v>0</v>
      </c>
      <c r="D13" s="489" t="s">
        <v>140</v>
      </c>
      <c r="E13" s="509">
        <v>0</v>
      </c>
      <c r="F13" s="489" t="s">
        <v>140</v>
      </c>
    </row>
    <row r="14" spans="1:6" ht="31.15" customHeight="1" thickBot="1" x14ac:dyDescent="0.25">
      <c r="A14" s="483">
        <v>9</v>
      </c>
      <c r="B14" s="517" t="s">
        <v>883</v>
      </c>
      <c r="C14" s="509">
        <v>0</v>
      </c>
      <c r="D14" s="489" t="s">
        <v>140</v>
      </c>
      <c r="E14" s="509">
        <v>0</v>
      </c>
      <c r="F14" s="489" t="s">
        <v>140</v>
      </c>
    </row>
    <row r="15" spans="1:6" ht="31.15" customHeight="1" thickBot="1" x14ac:dyDescent="0.25">
      <c r="A15" s="516">
        <v>10</v>
      </c>
      <c r="B15" s="513" t="s">
        <v>886</v>
      </c>
      <c r="C15" s="514">
        <f>IF(C10=0,0,C10/D6)</f>
        <v>0</v>
      </c>
      <c r="D15" s="515" t="s">
        <v>140</v>
      </c>
      <c r="E15" s="514">
        <f>IF(E10=0,0,E10/F6)</f>
        <v>0</v>
      </c>
      <c r="F15" s="515" t="s">
        <v>140</v>
      </c>
    </row>
    <row r="16" spans="1:6" ht="15.75" x14ac:dyDescent="0.2">
      <c r="A16" s="487"/>
      <c r="B16" s="498"/>
      <c r="C16" s="487"/>
      <c r="D16" s="487"/>
    </row>
    <row r="17" spans="1:4" ht="15" x14ac:dyDescent="0.2">
      <c r="A17" s="1019" t="s">
        <v>746</v>
      </c>
      <c r="B17" s="1020"/>
      <c r="C17" s="1020"/>
      <c r="D17" s="1021"/>
    </row>
    <row r="18" spans="1:4" ht="31.5" customHeight="1" x14ac:dyDescent="0.2">
      <c r="A18" s="1022" t="s">
        <v>640</v>
      </c>
      <c r="B18" s="1023"/>
      <c r="C18" s="1023"/>
      <c r="D18" s="1024"/>
    </row>
    <row r="20" spans="1:4" x14ac:dyDescent="0.2">
      <c r="B20" s="508" t="s">
        <v>1021</v>
      </c>
    </row>
    <row r="23" spans="1:4" x14ac:dyDescent="0.2">
      <c r="B23" s="756" t="s">
        <v>1074</v>
      </c>
    </row>
  </sheetData>
  <mergeCells count="10">
    <mergeCell ref="A17:D17"/>
    <mergeCell ref="A18:D18"/>
    <mergeCell ref="A1:F1"/>
    <mergeCell ref="A2:B2"/>
    <mergeCell ref="C2:D2"/>
    <mergeCell ref="E2:F2"/>
    <mergeCell ref="A3:A4"/>
    <mergeCell ref="B3:B4"/>
    <mergeCell ref="C3:D3"/>
    <mergeCell ref="E3:F3"/>
  </mergeCells>
  <pageMargins left="0.70866141732283472" right="0.70866141732283472" top="0.74803149606299213" bottom="0.74803149606299213" header="0.31496062992125984" footer="0.31496062992125984"/>
  <pageSetup paperSize="9" scale="7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5">
    <tabColor indexed="42"/>
    <pageSetUpPr fitToPage="1"/>
  </sheetPr>
  <dimension ref="A1:N14"/>
  <sheetViews>
    <sheetView zoomScaleNormal="100" workbookViewId="0">
      <pane xSplit="1" ySplit="5" topLeftCell="D6" activePane="bottomRight" state="frozen"/>
      <selection pane="topRight" activeCell="B1" sqref="B1"/>
      <selection pane="bottomLeft" activeCell="A6" sqref="A6"/>
      <selection pane="bottomRight" activeCell="I10" sqref="I10"/>
    </sheetView>
  </sheetViews>
  <sheetFormatPr defaultColWidth="9.140625" defaultRowHeight="15.75" x14ac:dyDescent="0.2"/>
  <cols>
    <col min="1" max="1" width="8.85546875" style="40" customWidth="1"/>
    <col min="2" max="2" width="20.5703125" style="40" customWidth="1"/>
    <col min="3" max="3" width="18.28515625" style="40" customWidth="1"/>
    <col min="4" max="4" width="15.85546875" style="40" customWidth="1"/>
    <col min="5" max="5" width="15.7109375" style="40" customWidth="1"/>
    <col min="6" max="6" width="14.5703125" style="40" customWidth="1"/>
    <col min="7" max="7" width="18.7109375" style="40" customWidth="1"/>
    <col min="8" max="8" width="20.28515625" style="40" customWidth="1"/>
    <col min="9" max="9" width="18" style="40" customWidth="1"/>
    <col min="10" max="10" width="18.140625" style="40" customWidth="1"/>
    <col min="11" max="11" width="16.85546875" style="40" customWidth="1"/>
    <col min="12" max="12" width="17.140625" style="40" customWidth="1"/>
    <col min="13" max="13" width="17.7109375" style="40" customWidth="1"/>
    <col min="14" max="14" width="22.28515625" style="40" customWidth="1"/>
    <col min="15" max="16384" width="9.140625" style="40"/>
  </cols>
  <sheetData>
    <row r="1" spans="1:14" s="392" customFormat="1" ht="35.1" customHeight="1" thickBot="1" x14ac:dyDescent="0.25">
      <c r="A1" s="1028" t="s">
        <v>839</v>
      </c>
      <c r="B1" s="1029"/>
      <c r="C1" s="1029"/>
      <c r="D1" s="1029"/>
      <c r="E1" s="1029"/>
      <c r="F1" s="1029"/>
      <c r="G1" s="1029"/>
      <c r="H1" s="1029"/>
      <c r="I1" s="1029"/>
      <c r="J1" s="1029"/>
      <c r="K1" s="1029"/>
      <c r="L1" s="1029"/>
      <c r="M1" s="1030"/>
    </row>
    <row r="2" spans="1:14" s="392" customFormat="1" ht="42.75" customHeight="1" x14ac:dyDescent="0.2">
      <c r="A2" s="813" t="s">
        <v>1061</v>
      </c>
      <c r="B2" s="814"/>
      <c r="C2" s="814"/>
      <c r="D2" s="814"/>
      <c r="E2" s="814"/>
      <c r="F2" s="814"/>
      <c r="G2" s="814"/>
      <c r="H2" s="814"/>
      <c r="I2" s="814"/>
      <c r="J2" s="814"/>
      <c r="K2" s="814"/>
      <c r="L2" s="814"/>
      <c r="M2" s="815"/>
    </row>
    <row r="3" spans="1:14" s="392" customFormat="1" ht="45.75" customHeight="1" x14ac:dyDescent="0.2">
      <c r="A3" s="1035" t="s">
        <v>80</v>
      </c>
      <c r="B3" s="1037" t="s">
        <v>840</v>
      </c>
      <c r="C3" s="1037"/>
      <c r="D3" s="1037"/>
      <c r="E3" s="1037"/>
      <c r="F3" s="1037"/>
      <c r="G3" s="1037"/>
      <c r="H3" s="1037" t="s">
        <v>841</v>
      </c>
      <c r="I3" s="1037"/>
      <c r="J3" s="1037"/>
      <c r="K3" s="1037"/>
      <c r="L3" s="1037"/>
      <c r="M3" s="1038"/>
    </row>
    <row r="4" spans="1:14" s="396" customFormat="1" ht="171.75" customHeight="1" x14ac:dyDescent="0.2">
      <c r="A4" s="1036"/>
      <c r="B4" s="393" t="s">
        <v>491</v>
      </c>
      <c r="C4" s="393" t="s">
        <v>492</v>
      </c>
      <c r="D4" s="393" t="s">
        <v>85</v>
      </c>
      <c r="E4" s="393" t="s">
        <v>27</v>
      </c>
      <c r="F4" s="393" t="s">
        <v>766</v>
      </c>
      <c r="G4" s="393" t="s">
        <v>78</v>
      </c>
      <c r="H4" s="393" t="s">
        <v>491</v>
      </c>
      <c r="I4" s="393" t="s">
        <v>492</v>
      </c>
      <c r="J4" s="393" t="s">
        <v>85</v>
      </c>
      <c r="K4" s="393" t="s">
        <v>27</v>
      </c>
      <c r="L4" s="394" t="s">
        <v>767</v>
      </c>
      <c r="M4" s="395" t="s">
        <v>78</v>
      </c>
    </row>
    <row r="5" spans="1:14" s="392" customFormat="1" x14ac:dyDescent="0.2">
      <c r="A5" s="397"/>
      <c r="B5" s="394" t="s">
        <v>119</v>
      </c>
      <c r="C5" s="394" t="s">
        <v>120</v>
      </c>
      <c r="D5" s="394" t="s">
        <v>121</v>
      </c>
      <c r="E5" s="394" t="s">
        <v>127</v>
      </c>
      <c r="F5" s="394" t="s">
        <v>122</v>
      </c>
      <c r="G5" s="394" t="s">
        <v>466</v>
      </c>
      <c r="H5" s="394" t="s">
        <v>124</v>
      </c>
      <c r="I5" s="394" t="s">
        <v>125</v>
      </c>
      <c r="J5" s="394" t="s">
        <v>126</v>
      </c>
      <c r="K5" s="394" t="s">
        <v>467</v>
      </c>
      <c r="L5" s="396" t="s">
        <v>468</v>
      </c>
      <c r="M5" s="395" t="s">
        <v>517</v>
      </c>
    </row>
    <row r="6" spans="1:14" ht="91.5" customHeight="1" thickBot="1" x14ac:dyDescent="0.25">
      <c r="A6" s="46">
        <v>1</v>
      </c>
      <c r="B6" s="112">
        <f>17696813.52</f>
        <v>17696813.52</v>
      </c>
      <c r="C6" s="112">
        <f>23034575.4</f>
        <v>23034575.399999999</v>
      </c>
      <c r="D6" s="112">
        <f>5659737.64</f>
        <v>5659737.6399999997</v>
      </c>
      <c r="E6" s="112">
        <f>2177515.31</f>
        <v>2177515.31</v>
      </c>
      <c r="F6" s="112">
        <f>2605484.87</f>
        <v>2605484.87</v>
      </c>
      <c r="G6" s="113">
        <f>SUM(B6:F6)</f>
        <v>51174126.740000002</v>
      </c>
      <c r="H6" s="112">
        <f>17614346.5</f>
        <v>17614346.5</v>
      </c>
      <c r="I6" s="112">
        <f>27042614.48</f>
        <v>27042614.48</v>
      </c>
      <c r="J6" s="112">
        <f>2618816.27+2359425.04</f>
        <v>4978241.3100000005</v>
      </c>
      <c r="K6" s="112">
        <v>2481215</v>
      </c>
      <c r="L6" s="112">
        <f>48657.86+325721.76+182040.36+2130359.26+40057.09+2383.92</f>
        <v>2729220.2499999995</v>
      </c>
      <c r="M6" s="114">
        <f>SUM(H6:L6)</f>
        <v>54845637.540000007</v>
      </c>
      <c r="N6" s="738" t="s">
        <v>1043</v>
      </c>
    </row>
    <row r="7" spans="1:14" x14ac:dyDescent="0.2">
      <c r="H7" s="194">
        <f>B6+'T11-Zdroje KV'!D15-'T5 - Analýza nákladov'!E92-8146.03</f>
        <v>17614346.5</v>
      </c>
      <c r="I7" s="194">
        <f>C6+'T11-Zdroje KV'!D16-'T5 - Analýza nákladov'!E94</f>
        <v>27042614.48</v>
      </c>
    </row>
    <row r="8" spans="1:14" x14ac:dyDescent="0.2">
      <c r="H8" s="194">
        <f>H6-H7</f>
        <v>0</v>
      </c>
      <c r="I8" s="718">
        <f>I6-I7</f>
        <v>0</v>
      </c>
    </row>
    <row r="9" spans="1:14" ht="60.75" customHeight="1" x14ac:dyDescent="0.2">
      <c r="B9" s="173" t="s">
        <v>506</v>
      </c>
      <c r="C9" s="173"/>
      <c r="H9" s="738" t="s">
        <v>1043</v>
      </c>
      <c r="I9" s="716"/>
    </row>
    <row r="10" spans="1:14" x14ac:dyDescent="0.2">
      <c r="M10" s="40" t="s">
        <v>1087</v>
      </c>
    </row>
    <row r="11" spans="1:14" x14ac:dyDescent="0.2">
      <c r="B11" s="173" t="s">
        <v>478</v>
      </c>
      <c r="C11" s="173"/>
    </row>
    <row r="13" spans="1:14" x14ac:dyDescent="0.2">
      <c r="B13" s="1031" t="s">
        <v>774</v>
      </c>
      <c r="C13" s="1032"/>
      <c r="D13" s="1032"/>
      <c r="E13" s="1033"/>
    </row>
    <row r="14" spans="1:14" x14ac:dyDescent="0.2">
      <c r="B14" s="1034"/>
      <c r="C14" s="1034"/>
      <c r="D14" s="1034"/>
      <c r="E14" s="1034"/>
    </row>
  </sheetData>
  <mergeCells count="7">
    <mergeCell ref="A1:M1"/>
    <mergeCell ref="A2:M2"/>
    <mergeCell ref="B13:E13"/>
    <mergeCell ref="B14:E14"/>
    <mergeCell ref="A3:A4"/>
    <mergeCell ref="B3:G3"/>
    <mergeCell ref="H3:M3"/>
  </mergeCells>
  <phoneticPr fontId="21" type="noConversion"/>
  <pageMargins left="0.4" right="0.27" top="0.98425196850393704" bottom="0.98425196850393704" header="0.51181102362204722" footer="0.51181102362204722"/>
  <pageSetup paperSize="9" scale="65" orientation="landscape" r:id="rId1"/>
  <headerFooter alignWithMargins="0"/>
  <ignoredErrors>
    <ignoredError sqref="G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5"/>
  <sheetViews>
    <sheetView zoomScaleNormal="100" workbookViewId="0">
      <pane xSplit="3" ySplit="3" topLeftCell="D25" activePane="bottomRight" state="frozen"/>
      <selection pane="topRight" activeCell="D1" sqref="D1"/>
      <selection pane="bottomLeft" activeCell="A4" sqref="A4"/>
      <selection pane="bottomRight" sqref="A1:F1"/>
    </sheetView>
  </sheetViews>
  <sheetFormatPr defaultColWidth="9.140625" defaultRowHeight="15.75" x14ac:dyDescent="0.2"/>
  <cols>
    <col min="1" max="1" width="7.28515625" style="86" customWidth="1"/>
    <col min="2" max="2" width="39.85546875" style="86" customWidth="1"/>
    <col min="3" max="3" width="9.42578125" style="86" customWidth="1"/>
    <col min="4" max="4" width="18.42578125" style="86" customWidth="1"/>
    <col min="5" max="5" width="16.7109375" style="86" customWidth="1"/>
    <col min="6" max="6" width="15.42578125" style="86" customWidth="1"/>
    <col min="7" max="7" width="10" style="86" bestFit="1" customWidth="1"/>
    <col min="8" max="16384" width="9.140625" style="86"/>
  </cols>
  <sheetData>
    <row r="1" spans="1:6" s="398" customFormat="1" ht="50.1" customHeight="1" thickBot="1" x14ac:dyDescent="0.25">
      <c r="A1" s="1045" t="s">
        <v>842</v>
      </c>
      <c r="B1" s="1046"/>
      <c r="C1" s="1046"/>
      <c r="D1" s="1046"/>
      <c r="E1" s="1046"/>
      <c r="F1" s="1047"/>
    </row>
    <row r="2" spans="1:6" s="398" customFormat="1" ht="36.75" customHeight="1" thickBot="1" x14ac:dyDescent="0.25">
      <c r="A2" s="1048" t="s">
        <v>1063</v>
      </c>
      <c r="B2" s="1049"/>
      <c r="C2" s="1049"/>
      <c r="D2" s="1049"/>
      <c r="E2" s="1049"/>
      <c r="F2" s="1050"/>
    </row>
    <row r="3" spans="1:6" s="402" customFormat="1" ht="69" customHeight="1" thickBot="1" x14ac:dyDescent="0.25">
      <c r="A3" s="191" t="s">
        <v>325</v>
      </c>
      <c r="B3" s="191" t="s">
        <v>199</v>
      </c>
      <c r="C3" s="399" t="s">
        <v>80</v>
      </c>
      <c r="D3" s="399" t="s">
        <v>843</v>
      </c>
      <c r="E3" s="400" t="s">
        <v>844</v>
      </c>
      <c r="F3" s="401" t="s">
        <v>810</v>
      </c>
    </row>
    <row r="4" spans="1:6" s="402" customFormat="1" x14ac:dyDescent="0.2">
      <c r="A4" s="403"/>
      <c r="B4" s="190"/>
      <c r="C4" s="404"/>
      <c r="D4" s="404" t="s">
        <v>119</v>
      </c>
      <c r="E4" s="405" t="s">
        <v>120</v>
      </c>
      <c r="F4" s="406" t="s">
        <v>121</v>
      </c>
    </row>
    <row r="5" spans="1:6" customFormat="1" ht="15.75" customHeight="1" x14ac:dyDescent="0.25">
      <c r="A5" s="423">
        <v>601</v>
      </c>
      <c r="B5" s="407" t="s">
        <v>393</v>
      </c>
      <c r="C5" s="424" t="s">
        <v>394</v>
      </c>
      <c r="D5" s="101">
        <v>467720.82</v>
      </c>
      <c r="E5" s="101">
        <v>594545.97</v>
      </c>
      <c r="F5" s="105">
        <f>E5-D5</f>
        <v>126825.14999999997</v>
      </c>
    </row>
    <row r="6" spans="1:6" customFormat="1" ht="15.75" customHeight="1" x14ac:dyDescent="0.25">
      <c r="A6" s="425">
        <v>602</v>
      </c>
      <c r="B6" s="408" t="s">
        <v>395</v>
      </c>
      <c r="C6" s="426" t="s">
        <v>396</v>
      </c>
      <c r="D6" s="102">
        <v>855192.49</v>
      </c>
      <c r="E6" s="102">
        <v>996406.56</v>
      </c>
      <c r="F6" s="105">
        <f t="shared" ref="F6:F39" si="0">E6-D6</f>
        <v>141214.07000000007</v>
      </c>
    </row>
    <row r="7" spans="1:6" customFormat="1" ht="15.75" customHeight="1" x14ac:dyDescent="0.25">
      <c r="A7" s="425">
        <v>604</v>
      </c>
      <c r="B7" s="409" t="s">
        <v>397</v>
      </c>
      <c r="C7" s="426" t="s">
        <v>398</v>
      </c>
      <c r="D7" s="102"/>
      <c r="E7" s="102"/>
      <c r="F7" s="105">
        <f t="shared" si="0"/>
        <v>0</v>
      </c>
    </row>
    <row r="8" spans="1:6" customFormat="1" ht="15.75" customHeight="1" x14ac:dyDescent="0.25">
      <c r="A8" s="425">
        <v>611</v>
      </c>
      <c r="B8" s="408" t="s">
        <v>747</v>
      </c>
      <c r="C8" s="426" t="s">
        <v>399</v>
      </c>
      <c r="D8" s="102"/>
      <c r="E8" s="102"/>
      <c r="F8" s="105">
        <f t="shared" si="0"/>
        <v>0</v>
      </c>
    </row>
    <row r="9" spans="1:6" customFormat="1" ht="15.75" customHeight="1" x14ac:dyDescent="0.25">
      <c r="A9" s="425">
        <v>612</v>
      </c>
      <c r="B9" s="408" t="s">
        <v>400</v>
      </c>
      <c r="C9" s="426" t="s">
        <v>401</v>
      </c>
      <c r="D9" s="102"/>
      <c r="E9" s="102"/>
      <c r="F9" s="105">
        <f t="shared" si="0"/>
        <v>0</v>
      </c>
    </row>
    <row r="10" spans="1:6" customFormat="1" ht="15.75" customHeight="1" x14ac:dyDescent="0.25">
      <c r="A10" s="425">
        <v>613</v>
      </c>
      <c r="B10" s="408" t="s">
        <v>402</v>
      </c>
      <c r="C10" s="426" t="s">
        <v>403</v>
      </c>
      <c r="D10" s="102"/>
      <c r="E10" s="102"/>
      <c r="F10" s="105">
        <f t="shared" si="0"/>
        <v>0</v>
      </c>
    </row>
    <row r="11" spans="1:6" customFormat="1" ht="15.75" customHeight="1" x14ac:dyDescent="0.25">
      <c r="A11" s="425">
        <v>614</v>
      </c>
      <c r="B11" s="408" t="s">
        <v>404</v>
      </c>
      <c r="C11" s="426" t="s">
        <v>405</v>
      </c>
      <c r="D11" s="102"/>
      <c r="E11" s="102"/>
      <c r="F11" s="105">
        <f t="shared" si="0"/>
        <v>0</v>
      </c>
    </row>
    <row r="12" spans="1:6" customFormat="1" ht="15.75" customHeight="1" x14ac:dyDescent="0.25">
      <c r="A12" s="425">
        <v>621</v>
      </c>
      <c r="B12" s="408" t="s">
        <v>406</v>
      </c>
      <c r="C12" s="426" t="s">
        <v>407</v>
      </c>
      <c r="D12" s="102"/>
      <c r="E12" s="102"/>
      <c r="F12" s="105">
        <f t="shared" si="0"/>
        <v>0</v>
      </c>
    </row>
    <row r="13" spans="1:6" customFormat="1" ht="15.75" customHeight="1" x14ac:dyDescent="0.25">
      <c r="A13" s="425">
        <v>622</v>
      </c>
      <c r="B13" s="408" t="s">
        <v>408</v>
      </c>
      <c r="C13" s="426" t="s">
        <v>409</v>
      </c>
      <c r="D13" s="102"/>
      <c r="E13" s="102"/>
      <c r="F13" s="105">
        <f t="shared" si="0"/>
        <v>0</v>
      </c>
    </row>
    <row r="14" spans="1:6" customFormat="1" ht="15.75" customHeight="1" x14ac:dyDescent="0.25">
      <c r="A14" s="425">
        <v>623</v>
      </c>
      <c r="B14" s="408" t="s">
        <v>749</v>
      </c>
      <c r="C14" s="426" t="s">
        <v>410</v>
      </c>
      <c r="D14" s="102"/>
      <c r="E14" s="102"/>
      <c r="F14" s="105">
        <f t="shared" si="0"/>
        <v>0</v>
      </c>
    </row>
    <row r="15" spans="1:6" customFormat="1" ht="15.75" customHeight="1" x14ac:dyDescent="0.25">
      <c r="A15" s="425">
        <v>624</v>
      </c>
      <c r="B15" s="408" t="s">
        <v>750</v>
      </c>
      <c r="C15" s="426" t="s">
        <v>411</v>
      </c>
      <c r="D15" s="102"/>
      <c r="E15" s="102"/>
      <c r="F15" s="105">
        <f t="shared" si="0"/>
        <v>0</v>
      </c>
    </row>
    <row r="16" spans="1:6" customFormat="1" ht="15.75" customHeight="1" x14ac:dyDescent="0.25">
      <c r="A16" s="425">
        <v>641</v>
      </c>
      <c r="B16" s="408" t="s">
        <v>355</v>
      </c>
      <c r="C16" s="426" t="s">
        <v>412</v>
      </c>
      <c r="D16" s="102"/>
      <c r="E16" s="102"/>
      <c r="F16" s="105">
        <f t="shared" si="0"/>
        <v>0</v>
      </c>
    </row>
    <row r="17" spans="1:7" customFormat="1" ht="15.75" customHeight="1" x14ac:dyDescent="0.25">
      <c r="A17" s="425">
        <v>642</v>
      </c>
      <c r="B17" s="408" t="s">
        <v>357</v>
      </c>
      <c r="C17" s="426" t="s">
        <v>413</v>
      </c>
      <c r="D17" s="102"/>
      <c r="E17" s="102"/>
      <c r="F17" s="105">
        <f t="shared" si="0"/>
        <v>0</v>
      </c>
    </row>
    <row r="18" spans="1:7" customFormat="1" ht="15.75" customHeight="1" x14ac:dyDescent="0.25">
      <c r="A18" s="425">
        <v>643</v>
      </c>
      <c r="B18" s="408" t="s">
        <v>414</v>
      </c>
      <c r="C18" s="426" t="s">
        <v>415</v>
      </c>
      <c r="D18" s="102"/>
      <c r="E18" s="102"/>
      <c r="F18" s="105">
        <f t="shared" si="0"/>
        <v>0</v>
      </c>
    </row>
    <row r="19" spans="1:7" customFormat="1" ht="15.75" customHeight="1" x14ac:dyDescent="0.25">
      <c r="A19" s="425">
        <v>644</v>
      </c>
      <c r="B19" s="408" t="s">
        <v>361</v>
      </c>
      <c r="C19" s="426" t="s">
        <v>416</v>
      </c>
      <c r="D19" s="102"/>
      <c r="E19" s="102"/>
      <c r="F19" s="105">
        <f t="shared" si="0"/>
        <v>0</v>
      </c>
    </row>
    <row r="20" spans="1:7" customFormat="1" ht="15.75" customHeight="1" x14ac:dyDescent="0.25">
      <c r="A20" s="425">
        <v>645</v>
      </c>
      <c r="B20" s="408" t="s">
        <v>417</v>
      </c>
      <c r="C20" s="426" t="s">
        <v>418</v>
      </c>
      <c r="D20" s="102"/>
      <c r="E20" s="102"/>
      <c r="F20" s="105">
        <f t="shared" si="0"/>
        <v>0</v>
      </c>
    </row>
    <row r="21" spans="1:7" customFormat="1" ht="15.75" customHeight="1" x14ac:dyDescent="0.25">
      <c r="A21" s="425">
        <v>646</v>
      </c>
      <c r="B21" s="408" t="s">
        <v>419</v>
      </c>
      <c r="C21" s="426" t="s">
        <v>420</v>
      </c>
      <c r="D21" s="102"/>
      <c r="E21" s="102"/>
      <c r="F21" s="105">
        <f t="shared" si="0"/>
        <v>0</v>
      </c>
    </row>
    <row r="22" spans="1:7" customFormat="1" ht="15.75" customHeight="1" x14ac:dyDescent="0.25">
      <c r="A22" s="425">
        <v>647</v>
      </c>
      <c r="B22" s="408" t="s">
        <v>421</v>
      </c>
      <c r="C22" s="426" t="s">
        <v>422</v>
      </c>
      <c r="D22" s="102"/>
      <c r="E22" s="102"/>
      <c r="F22" s="105">
        <f t="shared" si="0"/>
        <v>0</v>
      </c>
      <c r="G22" s="172"/>
    </row>
    <row r="23" spans="1:7" customFormat="1" ht="15.75" customHeight="1" x14ac:dyDescent="0.25">
      <c r="A23" s="425">
        <v>648</v>
      </c>
      <c r="B23" s="410" t="s">
        <v>888</v>
      </c>
      <c r="C23" s="426" t="s">
        <v>423</v>
      </c>
      <c r="D23" s="719">
        <f>'T4-Výnosy zo školného'!C25</f>
        <v>85985.06</v>
      </c>
      <c r="E23" s="719">
        <f>'T4-Výnosy zo školného'!D25</f>
        <v>50698.78</v>
      </c>
      <c r="F23" s="105">
        <f t="shared" si="0"/>
        <v>-35286.28</v>
      </c>
    </row>
    <row r="24" spans="1:7" customFormat="1" ht="15.75" customHeight="1" x14ac:dyDescent="0.25">
      <c r="A24" s="425">
        <v>649</v>
      </c>
      <c r="B24" s="408" t="s">
        <v>424</v>
      </c>
      <c r="C24" s="426" t="s">
        <v>425</v>
      </c>
      <c r="D24" s="102">
        <v>9429.9500000000007</v>
      </c>
      <c r="E24" s="102">
        <v>4539.6499999999996</v>
      </c>
      <c r="F24" s="105">
        <f t="shared" si="0"/>
        <v>-4890.3000000000011</v>
      </c>
    </row>
    <row r="25" spans="1:7" customFormat="1" ht="15.75" customHeight="1" x14ac:dyDescent="0.25">
      <c r="A25" s="425">
        <v>651</v>
      </c>
      <c r="B25" s="408" t="s">
        <v>889</v>
      </c>
      <c r="C25" s="426" t="s">
        <v>426</v>
      </c>
      <c r="D25" s="102"/>
      <c r="E25" s="102"/>
      <c r="F25" s="105">
        <f t="shared" si="0"/>
        <v>0</v>
      </c>
    </row>
    <row r="26" spans="1:7" customFormat="1" ht="15.75" customHeight="1" x14ac:dyDescent="0.25">
      <c r="A26" s="425">
        <v>652</v>
      </c>
      <c r="B26" s="408" t="s">
        <v>751</v>
      </c>
      <c r="C26" s="426" t="s">
        <v>427</v>
      </c>
      <c r="D26" s="102"/>
      <c r="E26" s="102"/>
      <c r="F26" s="105">
        <f t="shared" si="0"/>
        <v>0</v>
      </c>
    </row>
    <row r="27" spans="1:7" customFormat="1" ht="15.75" customHeight="1" x14ac:dyDescent="0.25">
      <c r="A27" s="425">
        <v>653</v>
      </c>
      <c r="B27" s="408" t="s">
        <v>428</v>
      </c>
      <c r="C27" s="426" t="s">
        <v>429</v>
      </c>
      <c r="D27" s="102"/>
      <c r="E27" s="102"/>
      <c r="F27" s="105">
        <f t="shared" si="0"/>
        <v>0</v>
      </c>
    </row>
    <row r="28" spans="1:7" customFormat="1" ht="15.75" customHeight="1" x14ac:dyDescent="0.25">
      <c r="A28" s="425">
        <v>654</v>
      </c>
      <c r="B28" s="408" t="s">
        <v>430</v>
      </c>
      <c r="C28" s="426" t="s">
        <v>431</v>
      </c>
      <c r="D28" s="102"/>
      <c r="E28" s="102"/>
      <c r="F28" s="105">
        <f t="shared" si="0"/>
        <v>0</v>
      </c>
    </row>
    <row r="29" spans="1:7" customFormat="1" ht="15.75" customHeight="1" x14ac:dyDescent="0.25">
      <c r="A29" s="425">
        <v>655</v>
      </c>
      <c r="B29" s="408" t="s">
        <v>752</v>
      </c>
      <c r="C29" s="426" t="s">
        <v>432</v>
      </c>
      <c r="D29" s="102"/>
      <c r="E29" s="102"/>
      <c r="F29" s="105">
        <f t="shared" si="0"/>
        <v>0</v>
      </c>
    </row>
    <row r="30" spans="1:7" customFormat="1" ht="15.75" customHeight="1" x14ac:dyDescent="0.25">
      <c r="A30" s="427">
        <v>656</v>
      </c>
      <c r="B30" s="408" t="s">
        <v>433</v>
      </c>
      <c r="C30" s="426" t="s">
        <v>434</v>
      </c>
      <c r="D30" s="719">
        <f>'T3-Výnosy'!C64</f>
        <v>89072.9</v>
      </c>
      <c r="E30" s="719">
        <f>'T3-Výnosy'!E64</f>
        <v>63827</v>
      </c>
      <c r="F30" s="105">
        <f t="shared" si="0"/>
        <v>-25245.899999999994</v>
      </c>
    </row>
    <row r="31" spans="1:7" customFormat="1" ht="15.75" customHeight="1" x14ac:dyDescent="0.25">
      <c r="A31" s="427">
        <v>657</v>
      </c>
      <c r="B31" s="408" t="s">
        <v>435</v>
      </c>
      <c r="C31" s="426" t="s">
        <v>436</v>
      </c>
      <c r="D31" s="102"/>
      <c r="E31" s="102"/>
      <c r="F31" s="105">
        <f t="shared" si="0"/>
        <v>0</v>
      </c>
    </row>
    <row r="32" spans="1:7" customFormat="1" ht="15.75" customHeight="1" x14ac:dyDescent="0.25">
      <c r="A32" s="427">
        <v>658</v>
      </c>
      <c r="B32" s="408" t="s">
        <v>437</v>
      </c>
      <c r="C32" s="426" t="s">
        <v>438</v>
      </c>
      <c r="D32" s="102"/>
      <c r="E32" s="102"/>
      <c r="F32" s="105">
        <f t="shared" si="0"/>
        <v>0</v>
      </c>
    </row>
    <row r="33" spans="1:7" customFormat="1" ht="15.75" customHeight="1" x14ac:dyDescent="0.25">
      <c r="A33" s="427">
        <v>661</v>
      </c>
      <c r="B33" s="408" t="s">
        <v>439</v>
      </c>
      <c r="C33" s="426" t="s">
        <v>440</v>
      </c>
      <c r="D33" s="102"/>
      <c r="E33" s="102"/>
      <c r="F33" s="105">
        <f t="shared" si="0"/>
        <v>0</v>
      </c>
      <c r="G33" s="172"/>
    </row>
    <row r="34" spans="1:7" customFormat="1" ht="15.75" customHeight="1" x14ac:dyDescent="0.25">
      <c r="A34" s="427">
        <v>662</v>
      </c>
      <c r="B34" s="408" t="s">
        <v>890</v>
      </c>
      <c r="C34" s="426" t="s">
        <v>441</v>
      </c>
      <c r="D34" s="102"/>
      <c r="E34" s="102"/>
      <c r="F34" s="105">
        <f t="shared" si="0"/>
        <v>0</v>
      </c>
    </row>
    <row r="35" spans="1:7" customFormat="1" ht="15.75" customHeight="1" x14ac:dyDescent="0.25">
      <c r="A35" s="427">
        <v>663</v>
      </c>
      <c r="B35" s="408" t="s">
        <v>442</v>
      </c>
      <c r="C35" s="426" t="s">
        <v>443</v>
      </c>
      <c r="D35" s="102"/>
      <c r="E35" s="102"/>
      <c r="F35" s="105">
        <f t="shared" si="0"/>
        <v>0</v>
      </c>
    </row>
    <row r="36" spans="1:7" customFormat="1" ht="15.75" customHeight="1" x14ac:dyDescent="0.25">
      <c r="A36" s="427">
        <v>664</v>
      </c>
      <c r="B36" s="408" t="s">
        <v>444</v>
      </c>
      <c r="C36" s="426" t="s">
        <v>445</v>
      </c>
      <c r="D36" s="103"/>
      <c r="E36" s="103"/>
      <c r="F36" s="105">
        <f t="shared" si="0"/>
        <v>0</v>
      </c>
      <c r="G36" s="172"/>
    </row>
    <row r="37" spans="1:7" customFormat="1" ht="15.75" customHeight="1" x14ac:dyDescent="0.25">
      <c r="A37" s="427">
        <v>665</v>
      </c>
      <c r="B37" s="408" t="s">
        <v>446</v>
      </c>
      <c r="C37" s="426" t="s">
        <v>447</v>
      </c>
      <c r="D37" s="103"/>
      <c r="E37" s="103"/>
      <c r="F37" s="105">
        <f t="shared" si="0"/>
        <v>0</v>
      </c>
    </row>
    <row r="38" spans="1:7" ht="15.75" customHeight="1" x14ac:dyDescent="0.25">
      <c r="A38" s="427">
        <v>667</v>
      </c>
      <c r="B38" s="408" t="s">
        <v>448</v>
      </c>
      <c r="C38" s="426" t="s">
        <v>449</v>
      </c>
      <c r="D38" s="103"/>
      <c r="E38" s="103"/>
      <c r="F38" s="105">
        <f t="shared" si="0"/>
        <v>0</v>
      </c>
      <c r="G38" s="172"/>
    </row>
    <row r="39" spans="1:7" ht="15.75" customHeight="1" x14ac:dyDescent="0.25">
      <c r="A39" s="427">
        <v>691</v>
      </c>
      <c r="B39" s="408" t="s">
        <v>450</v>
      </c>
      <c r="C39" s="426" t="s">
        <v>451</v>
      </c>
      <c r="D39" s="103">
        <f>1286608.34+5031</f>
        <v>1291639.3400000001</v>
      </c>
      <c r="E39" s="103">
        <f>1718293.27</f>
        <v>1718293.27</v>
      </c>
      <c r="F39" s="105">
        <f t="shared" si="0"/>
        <v>426653.92999999993</v>
      </c>
    </row>
    <row r="40" spans="1:7" x14ac:dyDescent="0.2">
      <c r="A40" s="1039" t="s">
        <v>452</v>
      </c>
      <c r="B40" s="1040"/>
      <c r="C40" s="428" t="s">
        <v>453</v>
      </c>
      <c r="D40" s="100">
        <f>SUM(D5:D39)</f>
        <v>2799040.56</v>
      </c>
      <c r="E40" s="104">
        <f>SUM(E5:E39)</f>
        <v>3428311.23</v>
      </c>
      <c r="F40" s="105">
        <f>SUM(F5:F39)</f>
        <v>629270.66999999993</v>
      </c>
    </row>
    <row r="41" spans="1:7" x14ac:dyDescent="0.2">
      <c r="A41" s="1041" t="s">
        <v>454</v>
      </c>
      <c r="B41" s="1042"/>
      <c r="C41" s="429" t="s">
        <v>455</v>
      </c>
      <c r="D41" s="26">
        <f>D40-T23_Náklady_soc_oblasť!D42</f>
        <v>-272994.79999999981</v>
      </c>
      <c r="E41" s="117">
        <f>E40-T23_Náklady_soc_oblasť!E42</f>
        <v>80938.700000000186</v>
      </c>
      <c r="F41" s="105">
        <f>F40-T23_Náklady_soc_oblasť!F42</f>
        <v>353933.49999999988</v>
      </c>
    </row>
    <row r="42" spans="1:7" x14ac:dyDescent="0.25">
      <c r="A42" s="427">
        <v>591</v>
      </c>
      <c r="B42" s="408" t="s">
        <v>456</v>
      </c>
      <c r="C42" s="426" t="s">
        <v>457</v>
      </c>
      <c r="D42" s="97"/>
      <c r="E42" s="102"/>
      <c r="F42" s="105">
        <f>E42-D42</f>
        <v>0</v>
      </c>
    </row>
    <row r="43" spans="1:7" x14ac:dyDescent="0.25">
      <c r="A43" s="427">
        <v>595</v>
      </c>
      <c r="B43" s="408" t="s">
        <v>458</v>
      </c>
      <c r="C43" s="426" t="s">
        <v>459</v>
      </c>
      <c r="D43" s="97"/>
      <c r="E43" s="102"/>
      <c r="F43" s="105">
        <f>E43-D43</f>
        <v>0</v>
      </c>
    </row>
    <row r="44" spans="1:7" ht="16.5" thickBot="1" x14ac:dyDescent="0.25">
      <c r="A44" s="1043" t="s">
        <v>460</v>
      </c>
      <c r="B44" s="1044"/>
      <c r="C44" s="430" t="s">
        <v>461</v>
      </c>
      <c r="D44" s="157">
        <f>D41-D42-D43</f>
        <v>-272994.79999999981</v>
      </c>
      <c r="E44" s="157">
        <f>E41-E42-E43</f>
        <v>80938.700000000186</v>
      </c>
      <c r="F44" s="156">
        <f>E44-D44</f>
        <v>353933.5</v>
      </c>
    </row>
    <row r="45" spans="1:7" x14ac:dyDescent="0.2">
      <c r="G45" s="86" t="s">
        <v>1065</v>
      </c>
    </row>
  </sheetData>
  <mergeCells count="5">
    <mergeCell ref="A40:B40"/>
    <mergeCell ref="A41:B41"/>
    <mergeCell ref="A44:B44"/>
    <mergeCell ref="A1:F1"/>
    <mergeCell ref="A2:F2"/>
  </mergeCells>
  <pageMargins left="0.55118110236220474" right="0.47244094488188981" top="0.59055118110236227" bottom="0.47244094488188981" header="0.15748031496062992" footer="0.15748031496062992"/>
  <pageSetup paperSize="9" scale="88" orientation="portrait" r:id="rId1"/>
  <headerFooter alignWithMargins="0"/>
  <ignoredErrors>
    <ignoredError sqref="C5:C44"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3"/>
  <sheetViews>
    <sheetView zoomScaleNormal="100" workbookViewId="0">
      <pane xSplit="3" ySplit="3" topLeftCell="D23" activePane="bottomRight" state="frozen"/>
      <selection pane="topRight" activeCell="D1" sqref="D1"/>
      <selection pane="bottomLeft" activeCell="A4" sqref="A4"/>
      <selection pane="bottomRight" activeCell="M23" sqref="M23"/>
    </sheetView>
  </sheetViews>
  <sheetFormatPr defaultRowHeight="12.75" x14ac:dyDescent="0.2"/>
  <cols>
    <col min="1" max="1" width="8.28515625" customWidth="1"/>
    <col min="2" max="2" width="42.7109375" customWidth="1"/>
    <col min="3" max="3" width="10.140625" customWidth="1"/>
    <col min="4" max="4" width="17.42578125" customWidth="1"/>
    <col min="5" max="5" width="17.140625" customWidth="1"/>
    <col min="6" max="6" width="16.5703125" customWidth="1"/>
    <col min="7" max="7" width="30.42578125" customWidth="1"/>
  </cols>
  <sheetData>
    <row r="1" spans="1:6" s="375" customFormat="1" ht="50.1" customHeight="1" thickBot="1" x14ac:dyDescent="0.25">
      <c r="A1" s="1054" t="s">
        <v>845</v>
      </c>
      <c r="B1" s="1055"/>
      <c r="C1" s="1055"/>
      <c r="D1" s="1055"/>
      <c r="E1" s="1055"/>
      <c r="F1" s="1056"/>
    </row>
    <row r="2" spans="1:6" s="375" customFormat="1" ht="47.25" customHeight="1" thickBot="1" x14ac:dyDescent="0.25">
      <c r="A2" s="1051" t="s">
        <v>1064</v>
      </c>
      <c r="B2" s="1052"/>
      <c r="C2" s="1052"/>
      <c r="D2" s="1052"/>
      <c r="E2" s="1052"/>
      <c r="F2" s="1053"/>
    </row>
    <row r="3" spans="1:6" s="375" customFormat="1" ht="64.5" customHeight="1" thickBot="1" x14ac:dyDescent="0.25">
      <c r="A3" s="191" t="s">
        <v>325</v>
      </c>
      <c r="B3" s="191" t="s">
        <v>199</v>
      </c>
      <c r="C3" s="192" t="s">
        <v>80</v>
      </c>
      <c r="D3" s="399" t="s">
        <v>622</v>
      </c>
      <c r="E3" s="400" t="s">
        <v>846</v>
      </c>
      <c r="F3" s="401" t="s">
        <v>810</v>
      </c>
    </row>
    <row r="4" spans="1:6" s="375" customFormat="1" ht="15.75" x14ac:dyDescent="0.2">
      <c r="A4" s="403"/>
      <c r="B4" s="190"/>
      <c r="C4" s="190"/>
      <c r="D4" s="404" t="s">
        <v>119</v>
      </c>
      <c r="E4" s="405" t="s">
        <v>120</v>
      </c>
      <c r="F4" s="406" t="s">
        <v>121</v>
      </c>
    </row>
    <row r="5" spans="1:6" ht="15.75" customHeight="1" x14ac:dyDescent="0.25">
      <c r="A5" s="411">
        <v>501</v>
      </c>
      <c r="B5" s="412" t="s">
        <v>326</v>
      </c>
      <c r="C5" s="413" t="s">
        <v>327</v>
      </c>
      <c r="D5" s="721">
        <v>678784.43</v>
      </c>
      <c r="E5" s="101">
        <v>490348.16</v>
      </c>
      <c r="F5" s="105">
        <f>E5-D5</f>
        <v>-188436.27000000008</v>
      </c>
    </row>
    <row r="6" spans="1:6" ht="15.75" customHeight="1" x14ac:dyDescent="0.25">
      <c r="A6" s="414">
        <v>502</v>
      </c>
      <c r="B6" s="415" t="s">
        <v>328</v>
      </c>
      <c r="C6" s="416" t="s">
        <v>329</v>
      </c>
      <c r="D6" s="720">
        <v>438690.81</v>
      </c>
      <c r="E6" s="102">
        <v>715159.52</v>
      </c>
      <c r="F6" s="158">
        <f t="shared" ref="F6:F41" si="0">E6-D6</f>
        <v>276468.71000000002</v>
      </c>
    </row>
    <row r="7" spans="1:6" ht="15.75" customHeight="1" x14ac:dyDescent="0.25">
      <c r="A7" s="414">
        <v>504</v>
      </c>
      <c r="B7" s="415" t="s">
        <v>330</v>
      </c>
      <c r="C7" s="416" t="s">
        <v>331</v>
      </c>
      <c r="D7" s="720">
        <v>2693.4</v>
      </c>
      <c r="E7" s="102">
        <v>2146.31</v>
      </c>
      <c r="F7" s="158">
        <f t="shared" si="0"/>
        <v>-547.09000000000015</v>
      </c>
    </row>
    <row r="8" spans="1:6" ht="15.75" customHeight="1" x14ac:dyDescent="0.25">
      <c r="A8" s="414">
        <v>511</v>
      </c>
      <c r="B8" s="415" t="s">
        <v>332</v>
      </c>
      <c r="C8" s="416" t="s">
        <v>333</v>
      </c>
      <c r="D8" s="720">
        <v>67598.600000000006</v>
      </c>
      <c r="E8" s="102">
        <v>72241.98</v>
      </c>
      <c r="F8" s="158">
        <f t="shared" si="0"/>
        <v>4643.3799999999901</v>
      </c>
    </row>
    <row r="9" spans="1:6" ht="15.75" customHeight="1" x14ac:dyDescent="0.25">
      <c r="A9" s="414">
        <v>512</v>
      </c>
      <c r="B9" s="415" t="s">
        <v>334</v>
      </c>
      <c r="C9" s="416" t="s">
        <v>335</v>
      </c>
      <c r="D9" s="720">
        <v>0</v>
      </c>
      <c r="E9" s="102">
        <v>0</v>
      </c>
      <c r="F9" s="158">
        <f t="shared" si="0"/>
        <v>0</v>
      </c>
    </row>
    <row r="10" spans="1:6" ht="15.75" customHeight="1" x14ac:dyDescent="0.25">
      <c r="A10" s="414">
        <v>513</v>
      </c>
      <c r="B10" s="415" t="s">
        <v>336</v>
      </c>
      <c r="C10" s="416" t="s">
        <v>337</v>
      </c>
      <c r="D10" s="720">
        <v>76.599999999999994</v>
      </c>
      <c r="E10" s="102">
        <v>154.6</v>
      </c>
      <c r="F10" s="158">
        <f t="shared" si="0"/>
        <v>78</v>
      </c>
    </row>
    <row r="11" spans="1:6" ht="15.75" customHeight="1" x14ac:dyDescent="0.25">
      <c r="A11" s="414">
        <v>518</v>
      </c>
      <c r="B11" s="415" t="s">
        <v>338</v>
      </c>
      <c r="C11" s="416" t="s">
        <v>339</v>
      </c>
      <c r="D11" s="720">
        <v>107423.44</v>
      </c>
      <c r="E11" s="102">
        <v>114247.21</v>
      </c>
      <c r="F11" s="158">
        <f t="shared" si="0"/>
        <v>6823.7700000000041</v>
      </c>
    </row>
    <row r="12" spans="1:6" ht="15.75" customHeight="1" x14ac:dyDescent="0.25">
      <c r="A12" s="414">
        <v>521</v>
      </c>
      <c r="B12" s="415" t="s">
        <v>340</v>
      </c>
      <c r="C12" s="416" t="s">
        <v>341</v>
      </c>
      <c r="D12" s="720">
        <v>1075375.68</v>
      </c>
      <c r="E12" s="102">
        <v>1223207.0900000001</v>
      </c>
      <c r="F12" s="158">
        <f t="shared" si="0"/>
        <v>147831.41000000015</v>
      </c>
    </row>
    <row r="13" spans="1:6" ht="15.75" customHeight="1" x14ac:dyDescent="0.25">
      <c r="A13" s="414">
        <v>524</v>
      </c>
      <c r="B13" s="415" t="s">
        <v>748</v>
      </c>
      <c r="C13" s="416" t="s">
        <v>342</v>
      </c>
      <c r="D13" s="720">
        <v>377897.56</v>
      </c>
      <c r="E13" s="102">
        <v>428736.17</v>
      </c>
      <c r="F13" s="158">
        <f t="shared" si="0"/>
        <v>50838.609999999986</v>
      </c>
    </row>
    <row r="14" spans="1:6" ht="15.75" customHeight="1" x14ac:dyDescent="0.25">
      <c r="A14" s="414">
        <v>525</v>
      </c>
      <c r="B14" s="415" t="s">
        <v>343</v>
      </c>
      <c r="C14" s="416" t="s">
        <v>344</v>
      </c>
      <c r="D14" s="720">
        <v>19977.88</v>
      </c>
      <c r="E14" s="102">
        <v>27497.599999999999</v>
      </c>
      <c r="F14" s="158">
        <f t="shared" si="0"/>
        <v>7519.7199999999975</v>
      </c>
    </row>
    <row r="15" spans="1:6" ht="15.75" customHeight="1" x14ac:dyDescent="0.25">
      <c r="A15" s="414">
        <v>527</v>
      </c>
      <c r="B15" s="415" t="s">
        <v>345</v>
      </c>
      <c r="C15" s="416" t="s">
        <v>346</v>
      </c>
      <c r="D15" s="720">
        <v>70136.539999999994</v>
      </c>
      <c r="E15" s="102">
        <v>81311.289999999994</v>
      </c>
      <c r="F15" s="158">
        <f t="shared" si="0"/>
        <v>11174.75</v>
      </c>
    </row>
    <row r="16" spans="1:6" ht="15.75" customHeight="1" x14ac:dyDescent="0.25">
      <c r="A16" s="414">
        <v>528</v>
      </c>
      <c r="B16" s="415" t="s">
        <v>347</v>
      </c>
      <c r="C16" s="416" t="s">
        <v>348</v>
      </c>
      <c r="D16" s="720">
        <v>0</v>
      </c>
      <c r="E16" s="102">
        <v>0</v>
      </c>
      <c r="F16" s="158">
        <f t="shared" si="0"/>
        <v>0</v>
      </c>
    </row>
    <row r="17" spans="1:7" ht="15.75" customHeight="1" x14ac:dyDescent="0.25">
      <c r="A17" s="414">
        <v>531</v>
      </c>
      <c r="B17" s="415" t="s">
        <v>349</v>
      </c>
      <c r="C17" s="416" t="s">
        <v>350</v>
      </c>
      <c r="D17" s="720">
        <v>0</v>
      </c>
      <c r="E17" s="102">
        <v>0</v>
      </c>
      <c r="F17" s="158">
        <f t="shared" si="0"/>
        <v>0</v>
      </c>
    </row>
    <row r="18" spans="1:7" ht="15.75" customHeight="1" x14ac:dyDescent="0.25">
      <c r="A18" s="414">
        <v>532</v>
      </c>
      <c r="B18" s="415" t="s">
        <v>351</v>
      </c>
      <c r="C18" s="416" t="s">
        <v>352</v>
      </c>
      <c r="D18" s="720">
        <v>31785.82</v>
      </c>
      <c r="E18" s="102">
        <v>31785.82</v>
      </c>
      <c r="F18" s="158">
        <f t="shared" si="0"/>
        <v>0</v>
      </c>
    </row>
    <row r="19" spans="1:7" ht="15.75" customHeight="1" x14ac:dyDescent="0.25">
      <c r="A19" s="414">
        <v>538</v>
      </c>
      <c r="B19" s="415" t="s">
        <v>353</v>
      </c>
      <c r="C19" s="416" t="s">
        <v>354</v>
      </c>
      <c r="D19" s="720">
        <v>50</v>
      </c>
      <c r="E19" s="102">
        <v>200</v>
      </c>
      <c r="F19" s="158">
        <f t="shared" si="0"/>
        <v>150</v>
      </c>
    </row>
    <row r="20" spans="1:7" ht="15.75" customHeight="1" x14ac:dyDescent="0.25">
      <c r="A20" s="414">
        <v>541</v>
      </c>
      <c r="B20" s="415" t="s">
        <v>355</v>
      </c>
      <c r="C20" s="416" t="s">
        <v>356</v>
      </c>
      <c r="D20" s="720"/>
      <c r="E20" s="102"/>
      <c r="F20" s="158">
        <f t="shared" si="0"/>
        <v>0</v>
      </c>
    </row>
    <row r="21" spans="1:7" ht="15.75" customHeight="1" x14ac:dyDescent="0.25">
      <c r="A21" s="414">
        <v>542</v>
      </c>
      <c r="B21" s="415" t="s">
        <v>357</v>
      </c>
      <c r="C21" s="416" t="s">
        <v>358</v>
      </c>
      <c r="D21" s="720"/>
      <c r="E21" s="102"/>
      <c r="F21" s="158">
        <f t="shared" si="0"/>
        <v>0</v>
      </c>
    </row>
    <row r="22" spans="1:7" ht="15.75" customHeight="1" x14ac:dyDescent="0.25">
      <c r="A22" s="414">
        <v>543</v>
      </c>
      <c r="B22" s="415" t="s">
        <v>359</v>
      </c>
      <c r="C22" s="416" t="s">
        <v>360</v>
      </c>
      <c r="D22" s="720"/>
      <c r="E22" s="102"/>
      <c r="F22" s="158">
        <f t="shared" si="0"/>
        <v>0</v>
      </c>
    </row>
    <row r="23" spans="1:7" ht="15.75" customHeight="1" x14ac:dyDescent="0.25">
      <c r="A23" s="414">
        <v>544</v>
      </c>
      <c r="B23" s="415" t="s">
        <v>361</v>
      </c>
      <c r="C23" s="416" t="s">
        <v>362</v>
      </c>
      <c r="D23" s="720"/>
      <c r="E23" s="102"/>
      <c r="F23" s="158">
        <f t="shared" si="0"/>
        <v>0</v>
      </c>
    </row>
    <row r="24" spans="1:7" ht="15.75" customHeight="1" x14ac:dyDescent="0.25">
      <c r="A24" s="414">
        <v>545</v>
      </c>
      <c r="B24" s="415" t="s">
        <v>363</v>
      </c>
      <c r="C24" s="416" t="s">
        <v>364</v>
      </c>
      <c r="D24" s="720"/>
      <c r="E24" s="102"/>
      <c r="F24" s="158">
        <f t="shared" si="0"/>
        <v>0</v>
      </c>
    </row>
    <row r="25" spans="1:7" ht="15.75" customHeight="1" x14ac:dyDescent="0.25">
      <c r="A25" s="414">
        <v>546</v>
      </c>
      <c r="B25" s="415" t="s">
        <v>365</v>
      </c>
      <c r="C25" s="416" t="s">
        <v>366</v>
      </c>
      <c r="D25" s="720"/>
      <c r="E25" s="102"/>
      <c r="F25" s="158">
        <f t="shared" si="0"/>
        <v>0</v>
      </c>
    </row>
    <row r="26" spans="1:7" ht="15.75" customHeight="1" x14ac:dyDescent="0.25">
      <c r="A26" s="414">
        <v>547</v>
      </c>
      <c r="B26" s="415" t="s">
        <v>367</v>
      </c>
      <c r="C26" s="416" t="s">
        <v>368</v>
      </c>
      <c r="D26" s="720"/>
      <c r="E26" s="102"/>
      <c r="F26" s="158">
        <f t="shared" si="0"/>
        <v>0</v>
      </c>
    </row>
    <row r="27" spans="1:7" ht="15.75" customHeight="1" x14ac:dyDescent="0.25">
      <c r="A27" s="414">
        <v>548</v>
      </c>
      <c r="B27" s="415" t="s">
        <v>369</v>
      </c>
      <c r="C27" s="416" t="s">
        <v>370</v>
      </c>
      <c r="D27" s="720"/>
      <c r="E27" s="102"/>
      <c r="F27" s="158">
        <f t="shared" si="0"/>
        <v>0</v>
      </c>
    </row>
    <row r="28" spans="1:7" ht="94.5" customHeight="1" x14ac:dyDescent="0.25">
      <c r="A28" s="414">
        <v>549</v>
      </c>
      <c r="B28" s="415" t="s">
        <v>371</v>
      </c>
      <c r="C28" s="416" t="s">
        <v>372</v>
      </c>
      <c r="D28" s="719">
        <v>89072.9</v>
      </c>
      <c r="E28" s="719">
        <f>'T5 - Analýza nákladov'!E87</f>
        <v>63827</v>
      </c>
      <c r="F28" s="158">
        <f t="shared" si="0"/>
        <v>-25245.899999999994</v>
      </c>
      <c r="G28" s="722" t="s">
        <v>1036</v>
      </c>
    </row>
    <row r="29" spans="1:7" ht="15.75" customHeight="1" x14ac:dyDescent="0.25">
      <c r="A29" s="414">
        <v>551</v>
      </c>
      <c r="B29" s="415" t="s">
        <v>373</v>
      </c>
      <c r="C29" s="416" t="s">
        <v>374</v>
      </c>
      <c r="D29" s="720">
        <v>26486.639999999999</v>
      </c>
      <c r="E29" s="102">
        <v>45811</v>
      </c>
      <c r="F29" s="158">
        <f t="shared" si="0"/>
        <v>19324.36</v>
      </c>
    </row>
    <row r="30" spans="1:7" ht="15.75" customHeight="1" x14ac:dyDescent="0.25">
      <c r="A30" s="417">
        <v>552</v>
      </c>
      <c r="B30" s="415" t="s">
        <v>472</v>
      </c>
      <c r="C30" s="416" t="s">
        <v>375</v>
      </c>
      <c r="D30" s="97"/>
      <c r="E30" s="102"/>
      <c r="F30" s="158">
        <f t="shared" si="0"/>
        <v>0</v>
      </c>
    </row>
    <row r="31" spans="1:7" ht="15.75" customHeight="1" x14ac:dyDescent="0.25">
      <c r="A31" s="417">
        <v>553</v>
      </c>
      <c r="B31" s="415" t="s">
        <v>376</v>
      </c>
      <c r="C31" s="416" t="s">
        <v>377</v>
      </c>
      <c r="D31" s="97"/>
      <c r="E31" s="102"/>
      <c r="F31" s="158">
        <f t="shared" si="0"/>
        <v>0</v>
      </c>
    </row>
    <row r="32" spans="1:7" ht="15.75" customHeight="1" x14ac:dyDescent="0.25">
      <c r="A32" s="417">
        <v>554</v>
      </c>
      <c r="B32" s="415" t="s">
        <v>378</v>
      </c>
      <c r="C32" s="416" t="s">
        <v>379</v>
      </c>
      <c r="D32" s="97"/>
      <c r="E32" s="102"/>
      <c r="F32" s="158">
        <f t="shared" si="0"/>
        <v>0</v>
      </c>
    </row>
    <row r="33" spans="1:7" ht="15.75" customHeight="1" x14ac:dyDescent="0.25">
      <c r="A33" s="417">
        <v>555</v>
      </c>
      <c r="B33" s="415" t="s">
        <v>757</v>
      </c>
      <c r="C33" s="416" t="s">
        <v>380</v>
      </c>
      <c r="D33" s="97"/>
      <c r="E33" s="102"/>
      <c r="F33" s="158">
        <f t="shared" si="0"/>
        <v>0</v>
      </c>
      <c r="G33" s="172"/>
    </row>
    <row r="34" spans="1:7" ht="15.75" customHeight="1" x14ac:dyDescent="0.25">
      <c r="A34" s="417">
        <v>556</v>
      </c>
      <c r="B34" s="415" t="s">
        <v>381</v>
      </c>
      <c r="C34" s="416" t="s">
        <v>382</v>
      </c>
      <c r="D34" s="719">
        <f>'T5 - Analýza nákladov'!C98</f>
        <v>85985.06</v>
      </c>
      <c r="E34" s="719">
        <f>'T5 - Analýza nákladov'!E98</f>
        <v>50698.78</v>
      </c>
      <c r="F34" s="158">
        <f t="shared" si="0"/>
        <v>-35286.28</v>
      </c>
    </row>
    <row r="35" spans="1:7" ht="15.75" customHeight="1" x14ac:dyDescent="0.25">
      <c r="A35" s="417">
        <v>557</v>
      </c>
      <c r="B35" s="415" t="s">
        <v>383</v>
      </c>
      <c r="C35" s="416" t="s">
        <v>384</v>
      </c>
      <c r="D35" s="97"/>
      <c r="E35" s="102"/>
      <c r="F35" s="158">
        <f t="shared" si="0"/>
        <v>0</v>
      </c>
    </row>
    <row r="36" spans="1:7" ht="15.75" customHeight="1" x14ac:dyDescent="0.25">
      <c r="A36" s="417">
        <v>558</v>
      </c>
      <c r="B36" s="415" t="s">
        <v>756</v>
      </c>
      <c r="C36" s="416" t="s">
        <v>385</v>
      </c>
      <c r="D36" s="97"/>
      <c r="E36" s="102"/>
      <c r="F36" s="158">
        <f t="shared" si="0"/>
        <v>0</v>
      </c>
    </row>
    <row r="37" spans="1:7" ht="15.75" customHeight="1" x14ac:dyDescent="0.25">
      <c r="A37" s="417">
        <v>561</v>
      </c>
      <c r="B37" s="415" t="s">
        <v>755</v>
      </c>
      <c r="C37" s="416" t="s">
        <v>386</v>
      </c>
      <c r="D37" s="97"/>
      <c r="E37" s="102"/>
      <c r="F37" s="158">
        <f t="shared" si="0"/>
        <v>0</v>
      </c>
      <c r="G37" s="172"/>
    </row>
    <row r="38" spans="1:7" ht="15.75" customHeight="1" x14ac:dyDescent="0.25">
      <c r="A38" s="417">
        <v>562</v>
      </c>
      <c r="B38" s="415" t="s">
        <v>754</v>
      </c>
      <c r="C38" s="416" t="s">
        <v>387</v>
      </c>
      <c r="D38" s="97"/>
      <c r="E38" s="102"/>
      <c r="F38" s="158">
        <f t="shared" si="0"/>
        <v>0</v>
      </c>
    </row>
    <row r="39" spans="1:7" ht="15.75" customHeight="1" x14ac:dyDescent="0.25">
      <c r="A39" s="417">
        <v>563</v>
      </c>
      <c r="B39" s="415" t="s">
        <v>753</v>
      </c>
      <c r="C39" s="416" t="s">
        <v>388</v>
      </c>
      <c r="D39" s="97"/>
      <c r="E39" s="102"/>
      <c r="F39" s="158">
        <f t="shared" si="0"/>
        <v>0</v>
      </c>
    </row>
    <row r="40" spans="1:7" ht="15.75" customHeight="1" x14ac:dyDescent="0.25">
      <c r="A40" s="418">
        <v>565</v>
      </c>
      <c r="B40" s="419" t="s">
        <v>471</v>
      </c>
      <c r="C40" s="416" t="s">
        <v>389</v>
      </c>
      <c r="D40" s="99"/>
      <c r="E40" s="103"/>
      <c r="F40" s="158">
        <f t="shared" si="0"/>
        <v>0</v>
      </c>
      <c r="G40" s="172"/>
    </row>
    <row r="41" spans="1:7" ht="15.75" customHeight="1" thickBot="1" x14ac:dyDescent="0.3">
      <c r="A41" s="418">
        <v>567</v>
      </c>
      <c r="B41" s="420" t="s">
        <v>390</v>
      </c>
      <c r="C41" s="421" t="s">
        <v>391</v>
      </c>
      <c r="D41" s="99"/>
      <c r="E41" s="103"/>
      <c r="F41" s="159">
        <f t="shared" si="0"/>
        <v>0</v>
      </c>
      <c r="G41" s="172"/>
    </row>
    <row r="42" spans="1:7" ht="24.75" customHeight="1" thickBot="1" x14ac:dyDescent="0.25">
      <c r="A42" s="1057" t="s">
        <v>490</v>
      </c>
      <c r="B42" s="1058"/>
      <c r="C42" s="422" t="s">
        <v>392</v>
      </c>
      <c r="D42" s="98">
        <f>SUM(D5:D41)</f>
        <v>3072035.36</v>
      </c>
      <c r="E42" s="155">
        <f>SUM(E5:E41)</f>
        <v>3347372.53</v>
      </c>
      <c r="F42" s="160">
        <f>SUM(F5:F41)</f>
        <v>275337.17000000004</v>
      </c>
    </row>
    <row r="43" spans="1:7" x14ac:dyDescent="0.2">
      <c r="B43" s="87"/>
      <c r="C43" s="87"/>
      <c r="D43" s="87"/>
      <c r="E43" s="87"/>
      <c r="G43" t="s">
        <v>1065</v>
      </c>
    </row>
  </sheetData>
  <mergeCells count="3">
    <mergeCell ref="A2:F2"/>
    <mergeCell ref="A1:F1"/>
    <mergeCell ref="A42:B42"/>
  </mergeCells>
  <pageMargins left="0.39370078740157483" right="0.23622047244094491" top="0.59055118110236227" bottom="0.74803149606299213" header="0.31496062992125984" footer="0.31496062992125984"/>
  <pageSetup paperSize="9" scale="88" orientation="portrait" r:id="rId1"/>
  <ignoredErrors>
    <ignoredError sqref="C5:C42"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L17"/>
  <sheetViews>
    <sheetView tabSelected="1" topLeftCell="A6" zoomScaleNormal="100" workbookViewId="0">
      <selection activeCell="B20" sqref="B20"/>
    </sheetView>
  </sheetViews>
  <sheetFormatPr defaultRowHeight="12.75" x14ac:dyDescent="0.2"/>
  <cols>
    <col min="1" max="1" width="8.140625" customWidth="1"/>
    <col min="2" max="2" width="62.5703125" customWidth="1"/>
    <col min="3" max="3" width="15.7109375" customWidth="1"/>
    <col min="4" max="5" width="17.140625" customWidth="1"/>
    <col min="6" max="6" width="15.7109375" customWidth="1"/>
    <col min="7" max="10" width="16.85546875" customWidth="1"/>
    <col min="11" max="11" width="15.7109375" customWidth="1"/>
    <col min="12" max="12" width="21.42578125" customWidth="1"/>
  </cols>
  <sheetData>
    <row r="1" spans="1:12" ht="49.9" customHeight="1" thickBot="1" x14ac:dyDescent="0.25">
      <c r="A1" s="976" t="s">
        <v>847</v>
      </c>
      <c r="B1" s="977"/>
      <c r="C1" s="977"/>
      <c r="D1" s="977"/>
      <c r="E1" s="977"/>
      <c r="F1" s="977"/>
      <c r="G1" s="977"/>
      <c r="H1" s="977"/>
      <c r="I1" s="977"/>
      <c r="J1" s="977"/>
      <c r="K1" s="978"/>
    </row>
    <row r="2" spans="1:12" ht="15.75" x14ac:dyDescent="0.2">
      <c r="A2" s="813" t="s">
        <v>1057</v>
      </c>
      <c r="B2" s="896"/>
      <c r="C2" s="1065" t="s">
        <v>781</v>
      </c>
      <c r="D2" s="1066"/>
      <c r="E2" s="1066"/>
      <c r="F2" s="1066"/>
      <c r="G2" s="1066"/>
      <c r="H2" s="1066"/>
      <c r="I2" s="1066"/>
      <c r="J2" s="1066"/>
      <c r="K2" s="1067"/>
    </row>
    <row r="3" spans="1:12" ht="15.6" customHeight="1" x14ac:dyDescent="0.2">
      <c r="A3" s="894" t="s">
        <v>80</v>
      </c>
      <c r="B3" s="892" t="s">
        <v>779</v>
      </c>
      <c r="C3" s="1061" t="s">
        <v>848</v>
      </c>
      <c r="D3" s="1061" t="s">
        <v>849</v>
      </c>
      <c r="E3" s="1061" t="s">
        <v>850</v>
      </c>
      <c r="F3" s="1061" t="s">
        <v>782</v>
      </c>
      <c r="G3" s="1061" t="s">
        <v>783</v>
      </c>
      <c r="H3" s="1061" t="s">
        <v>851</v>
      </c>
      <c r="I3" s="1061" t="s">
        <v>852</v>
      </c>
      <c r="J3" s="1068" t="s">
        <v>853</v>
      </c>
      <c r="K3" s="1063" t="s">
        <v>854</v>
      </c>
    </row>
    <row r="4" spans="1:12" ht="84" customHeight="1" x14ac:dyDescent="0.2">
      <c r="A4" s="895"/>
      <c r="B4" s="893"/>
      <c r="C4" s="1062"/>
      <c r="D4" s="1062"/>
      <c r="E4" s="1062"/>
      <c r="F4" s="1062"/>
      <c r="G4" s="1062"/>
      <c r="H4" s="1062"/>
      <c r="I4" s="1062"/>
      <c r="J4" s="1069"/>
      <c r="K4" s="1064"/>
    </row>
    <row r="5" spans="1:12" ht="18.600000000000001" customHeight="1" x14ac:dyDescent="0.2">
      <c r="A5" s="1059"/>
      <c r="B5" s="1060"/>
      <c r="C5" s="458" t="s">
        <v>119</v>
      </c>
      <c r="D5" s="458" t="s">
        <v>120</v>
      </c>
      <c r="E5" s="458" t="s">
        <v>121</v>
      </c>
      <c r="F5" s="458" t="s">
        <v>127</v>
      </c>
      <c r="G5" s="458" t="s">
        <v>122</v>
      </c>
      <c r="H5" s="458" t="s">
        <v>123</v>
      </c>
      <c r="I5" s="458" t="s">
        <v>124</v>
      </c>
      <c r="J5" s="458" t="s">
        <v>125</v>
      </c>
      <c r="K5" s="440" t="s">
        <v>126</v>
      </c>
    </row>
    <row r="6" spans="1:12" ht="34.5" customHeight="1" x14ac:dyDescent="0.2">
      <c r="A6" s="19">
        <v>1</v>
      </c>
      <c r="B6" s="460" t="s">
        <v>1022</v>
      </c>
      <c r="C6" s="613">
        <v>44990</v>
      </c>
      <c r="D6" s="613"/>
      <c r="E6" s="532">
        <f>C6-D6</f>
        <v>44990</v>
      </c>
      <c r="F6" s="613"/>
      <c r="G6" s="613">
        <v>5751.24</v>
      </c>
      <c r="H6" s="532">
        <f>F6-G6+E6</f>
        <v>39238.76</v>
      </c>
      <c r="I6" s="613">
        <v>0</v>
      </c>
      <c r="J6" s="613">
        <v>700</v>
      </c>
      <c r="K6" s="531">
        <f>I6-J6+H6</f>
        <v>38538.76</v>
      </c>
    </row>
    <row r="7" spans="1:12" ht="35.25" customHeight="1" x14ac:dyDescent="0.2">
      <c r="A7" s="19">
        <f>A6+1</f>
        <v>2</v>
      </c>
      <c r="B7" s="460" t="s">
        <v>1023</v>
      </c>
      <c r="C7" s="613">
        <v>2674943</v>
      </c>
      <c r="D7" s="613"/>
      <c r="E7" s="532">
        <f t="shared" ref="E7:E10" si="0">C7-D7</f>
        <v>2674943</v>
      </c>
      <c r="F7" s="613"/>
      <c r="G7" s="613">
        <v>1400285.02</v>
      </c>
      <c r="H7" s="532">
        <f t="shared" ref="H7:H10" si="1">F7-G7+E7</f>
        <v>1274657.98</v>
      </c>
      <c r="I7" s="613">
        <v>636.70000000000005</v>
      </c>
      <c r="J7" s="613">
        <v>1172804.52</v>
      </c>
      <c r="K7" s="531">
        <f t="shared" ref="K7:K12" si="2">I7-J7+H7</f>
        <v>102490.15999999992</v>
      </c>
    </row>
    <row r="8" spans="1:12" ht="17.25" customHeight="1" x14ac:dyDescent="0.2">
      <c r="A8" s="19">
        <f>A7+1</f>
        <v>3</v>
      </c>
      <c r="B8" s="460" t="s">
        <v>1024</v>
      </c>
      <c r="C8" s="613">
        <v>200000</v>
      </c>
      <c r="D8" s="613"/>
      <c r="E8" s="532">
        <f t="shared" si="0"/>
        <v>200000</v>
      </c>
      <c r="F8" s="613"/>
      <c r="G8" s="613">
        <v>53572.81</v>
      </c>
      <c r="H8" s="532">
        <f t="shared" si="1"/>
        <v>146427.19</v>
      </c>
      <c r="I8" s="613">
        <v>37761.9</v>
      </c>
      <c r="J8" s="613">
        <v>166907.09</v>
      </c>
      <c r="K8" s="531">
        <f t="shared" si="2"/>
        <v>17282</v>
      </c>
    </row>
    <row r="9" spans="1:12" ht="16.5" customHeight="1" x14ac:dyDescent="0.2">
      <c r="A9" s="19">
        <v>4</v>
      </c>
      <c r="B9" s="460" t="s">
        <v>1025</v>
      </c>
      <c r="C9" s="613">
        <v>290036</v>
      </c>
      <c r="D9" s="613"/>
      <c r="E9" s="532">
        <f t="shared" si="0"/>
        <v>290036</v>
      </c>
      <c r="F9" s="613"/>
      <c r="G9" s="613">
        <v>91174.83</v>
      </c>
      <c r="H9" s="532">
        <f t="shared" si="1"/>
        <v>198861.16999999998</v>
      </c>
      <c r="I9" s="613">
        <v>0</v>
      </c>
      <c r="J9" s="613">
        <v>198861.17</v>
      </c>
      <c r="K9" s="531">
        <f t="shared" si="2"/>
        <v>0</v>
      </c>
    </row>
    <row r="10" spans="1:12" ht="36" customHeight="1" x14ac:dyDescent="0.2">
      <c r="A10" s="19">
        <v>5</v>
      </c>
      <c r="B10" s="460" t="s">
        <v>1026</v>
      </c>
      <c r="C10" s="613"/>
      <c r="D10" s="613"/>
      <c r="E10" s="532">
        <f t="shared" si="0"/>
        <v>0</v>
      </c>
      <c r="F10" s="613">
        <v>20000</v>
      </c>
      <c r="G10" s="613">
        <v>12500</v>
      </c>
      <c r="H10" s="532">
        <f t="shared" si="1"/>
        <v>7500</v>
      </c>
      <c r="I10" s="613">
        <v>0</v>
      </c>
      <c r="J10" s="613">
        <v>7500</v>
      </c>
      <c r="K10" s="531">
        <f t="shared" si="2"/>
        <v>0</v>
      </c>
      <c r="L10" s="53" t="s">
        <v>1029</v>
      </c>
    </row>
    <row r="11" spans="1:12" ht="22.5" customHeight="1" x14ac:dyDescent="0.2">
      <c r="A11" s="439">
        <v>6</v>
      </c>
      <c r="B11" s="673" t="s">
        <v>1027</v>
      </c>
      <c r="C11" s="709"/>
      <c r="D11" s="709"/>
      <c r="E11" s="532"/>
      <c r="F11" s="709"/>
      <c r="G11" s="709"/>
      <c r="H11" s="532"/>
      <c r="I11" s="709">
        <v>249663</v>
      </c>
      <c r="J11" s="709">
        <v>24483.35</v>
      </c>
      <c r="K11" s="531">
        <f t="shared" si="2"/>
        <v>225179.65</v>
      </c>
    </row>
    <row r="12" spans="1:12" ht="22.5" customHeight="1" x14ac:dyDescent="0.2">
      <c r="A12" s="439">
        <v>7</v>
      </c>
      <c r="B12" s="673" t="s">
        <v>1028</v>
      </c>
      <c r="C12" s="709"/>
      <c r="D12" s="709"/>
      <c r="E12" s="532"/>
      <c r="F12" s="709"/>
      <c r="G12" s="709"/>
      <c r="H12" s="532"/>
      <c r="I12" s="709">
        <v>49969</v>
      </c>
      <c r="J12" s="709">
        <v>0</v>
      </c>
      <c r="K12" s="531">
        <f t="shared" si="2"/>
        <v>49969</v>
      </c>
    </row>
    <row r="13" spans="1:12" ht="22.15" customHeight="1" thickBot="1" x14ac:dyDescent="0.25">
      <c r="A13" s="20" t="s">
        <v>78</v>
      </c>
      <c r="B13" s="322"/>
      <c r="C13" s="710">
        <f>C6+C7+C8+C9+C10+C12</f>
        <v>3209969</v>
      </c>
      <c r="D13" s="710">
        <f>D6+D7+D8+D9+D10+D12</f>
        <v>0</v>
      </c>
      <c r="E13" s="174">
        <f t="shared" ref="E13" si="3">C13-D13</f>
        <v>3209969</v>
      </c>
      <c r="F13" s="710">
        <f>F6+F7+F8+F9+F10+F12</f>
        <v>20000</v>
      </c>
      <c r="G13" s="710">
        <f>G6+G7+G8+G9+G10+G12</f>
        <v>1563283.9000000001</v>
      </c>
      <c r="H13" s="174">
        <f t="shared" ref="H13" si="4">F13-G13+E13</f>
        <v>1666685.0999999999</v>
      </c>
      <c r="I13" s="710">
        <f>I6+I7+I8+I9+I10+I12+I11</f>
        <v>338030.6</v>
      </c>
      <c r="J13" s="710">
        <f>J6+J7+J8+J9+J10+J12+J11</f>
        <v>1571256.1300000001</v>
      </c>
      <c r="K13" s="535">
        <f t="shared" ref="K13" si="5">I13-J13+H13</f>
        <v>433459.5699999996</v>
      </c>
    </row>
    <row r="14" spans="1:12" ht="15.75" x14ac:dyDescent="0.2">
      <c r="A14" s="13"/>
      <c r="B14" s="15"/>
      <c r="C14" s="13"/>
      <c r="D14" s="13"/>
      <c r="E14" s="13"/>
      <c r="F14" s="13"/>
      <c r="G14" s="13"/>
      <c r="H14" s="13"/>
      <c r="I14" s="13"/>
      <c r="J14" s="13"/>
      <c r="K14" s="13"/>
    </row>
    <row r="15" spans="1:12" ht="15" x14ac:dyDescent="0.2">
      <c r="B15" s="1031" t="s">
        <v>855</v>
      </c>
      <c r="C15" s="1032"/>
      <c r="D15" s="1032"/>
      <c r="E15" s="1033"/>
    </row>
    <row r="17" spans="2:2" x14ac:dyDescent="0.2">
      <c r="B17" s="171"/>
    </row>
  </sheetData>
  <mergeCells count="16">
    <mergeCell ref="A5:B5"/>
    <mergeCell ref="C3:C4"/>
    <mergeCell ref="K3:K4"/>
    <mergeCell ref="B15:E15"/>
    <mergeCell ref="A1:K1"/>
    <mergeCell ref="A2:B2"/>
    <mergeCell ref="C2:K2"/>
    <mergeCell ref="A3:A4"/>
    <mergeCell ref="B3:B4"/>
    <mergeCell ref="G3:G4"/>
    <mergeCell ref="D3:D4"/>
    <mergeCell ref="F3:F4"/>
    <mergeCell ref="J3:J4"/>
    <mergeCell ref="E3:E4"/>
    <mergeCell ref="H3:H4"/>
    <mergeCell ref="I3:I4"/>
  </mergeCell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workbookViewId="0">
      <selection sqref="A1:F1"/>
    </sheetView>
  </sheetViews>
  <sheetFormatPr defaultRowHeight="12.75" x14ac:dyDescent="0.2"/>
  <cols>
    <col min="1" max="1" width="60.85546875" customWidth="1"/>
    <col min="2" max="2" width="8.85546875" customWidth="1"/>
    <col min="3" max="3" width="13.140625" customWidth="1"/>
    <col min="4" max="4" width="14.7109375" customWidth="1"/>
    <col min="5" max="5" width="14.28515625" customWidth="1"/>
    <col min="6" max="6" width="13.7109375" customWidth="1"/>
  </cols>
  <sheetData>
    <row r="1" spans="1:6" ht="45.75" customHeight="1" x14ac:dyDescent="0.2">
      <c r="A1" s="1071" t="s">
        <v>322</v>
      </c>
      <c r="B1" s="1072"/>
      <c r="C1" s="1072"/>
      <c r="D1" s="1072"/>
      <c r="E1" s="1072"/>
      <c r="F1" s="1073"/>
    </row>
    <row r="2" spans="1:6" ht="19.5" customHeight="1" x14ac:dyDescent="0.25">
      <c r="A2" s="1070" t="s">
        <v>193</v>
      </c>
      <c r="B2" s="1070"/>
      <c r="C2" s="1070"/>
      <c r="D2" s="1070"/>
      <c r="E2" s="1070"/>
      <c r="F2" s="1070"/>
    </row>
    <row r="3" spans="1:6" ht="42" customHeight="1" x14ac:dyDescent="0.2">
      <c r="A3" s="88" t="s">
        <v>200</v>
      </c>
      <c r="B3" s="89" t="s">
        <v>201</v>
      </c>
      <c r="C3" s="96" t="s">
        <v>324</v>
      </c>
      <c r="D3" s="89" t="s">
        <v>319</v>
      </c>
      <c r="E3" s="89" t="s">
        <v>320</v>
      </c>
      <c r="F3" s="89" t="s">
        <v>321</v>
      </c>
    </row>
    <row r="4" spans="1:6" ht="15.75" x14ac:dyDescent="0.25">
      <c r="A4" s="90" t="s">
        <v>202</v>
      </c>
      <c r="B4" s="90" t="s">
        <v>203</v>
      </c>
      <c r="C4" s="91"/>
      <c r="D4" s="91"/>
      <c r="E4" s="91"/>
      <c r="F4" s="91"/>
    </row>
    <row r="5" spans="1:6" ht="15.75" x14ac:dyDescent="0.25">
      <c r="A5" s="95" t="s">
        <v>204</v>
      </c>
      <c r="B5" s="90" t="s">
        <v>205</v>
      </c>
      <c r="C5" s="91"/>
      <c r="D5" s="91"/>
      <c r="E5" s="91"/>
      <c r="F5" s="91"/>
    </row>
    <row r="6" spans="1:6" ht="15.75" x14ac:dyDescent="0.25">
      <c r="A6" s="90" t="s">
        <v>206</v>
      </c>
      <c r="B6" s="90" t="s">
        <v>207</v>
      </c>
      <c r="C6" s="91"/>
      <c r="D6" s="91"/>
      <c r="E6" s="91"/>
      <c r="F6" s="91"/>
    </row>
    <row r="7" spans="1:6" ht="15.75" x14ac:dyDescent="0.25">
      <c r="A7" s="90" t="s">
        <v>208</v>
      </c>
      <c r="B7" s="90" t="s">
        <v>209</v>
      </c>
      <c r="C7" s="91"/>
      <c r="D7" s="91"/>
      <c r="E7" s="91"/>
      <c r="F7" s="91"/>
    </row>
    <row r="8" spans="1:6" ht="15.75" x14ac:dyDescent="0.25">
      <c r="A8" s="94" t="s">
        <v>323</v>
      </c>
      <c r="B8" s="90" t="s">
        <v>210</v>
      </c>
      <c r="C8" s="91"/>
      <c r="D8" s="91"/>
      <c r="E8" s="91"/>
      <c r="F8" s="91"/>
    </row>
    <row r="9" spans="1:6" ht="15.75" x14ac:dyDescent="0.25">
      <c r="A9" s="90" t="s">
        <v>211</v>
      </c>
      <c r="B9" s="90" t="s">
        <v>212</v>
      </c>
      <c r="C9" s="91"/>
      <c r="D9" s="91"/>
      <c r="E9" s="91"/>
      <c r="F9" s="91"/>
    </row>
    <row r="10" spans="1:6" ht="15.75" x14ac:dyDescent="0.25">
      <c r="A10" s="90" t="s">
        <v>213</v>
      </c>
      <c r="B10" s="90" t="s">
        <v>214</v>
      </c>
      <c r="C10" s="91"/>
      <c r="D10" s="91"/>
      <c r="E10" s="91"/>
      <c r="F10" s="91"/>
    </row>
    <row r="11" spans="1:6" ht="15.75" x14ac:dyDescent="0.25">
      <c r="A11" s="90" t="s">
        <v>215</v>
      </c>
      <c r="B11" s="90" t="s">
        <v>216</v>
      </c>
      <c r="C11" s="91"/>
      <c r="D11" s="91"/>
      <c r="E11" s="91"/>
      <c r="F11" s="91"/>
    </row>
    <row r="12" spans="1:6" ht="15.75" x14ac:dyDescent="0.25">
      <c r="A12" s="95" t="s">
        <v>217</v>
      </c>
      <c r="B12" s="90" t="s">
        <v>218</v>
      </c>
      <c r="C12" s="91"/>
      <c r="D12" s="91"/>
      <c r="E12" s="91"/>
      <c r="F12" s="91"/>
    </row>
    <row r="13" spans="1:6" ht="15.75" x14ac:dyDescent="0.25">
      <c r="A13" s="90" t="s">
        <v>219</v>
      </c>
      <c r="B13" s="90" t="s">
        <v>220</v>
      </c>
      <c r="C13" s="91"/>
      <c r="D13" s="91"/>
      <c r="E13" s="91"/>
      <c r="F13" s="91"/>
    </row>
    <row r="14" spans="1:6" ht="15.75" x14ac:dyDescent="0.25">
      <c r="A14" s="90" t="s">
        <v>221</v>
      </c>
      <c r="B14" s="90" t="s">
        <v>222</v>
      </c>
      <c r="C14" s="91"/>
      <c r="D14" s="91"/>
      <c r="E14" s="91"/>
      <c r="F14" s="91"/>
    </row>
    <row r="15" spans="1:6" ht="15.75" x14ac:dyDescent="0.25">
      <c r="A15" s="90" t="s">
        <v>223</v>
      </c>
      <c r="B15" s="90" t="s">
        <v>224</v>
      </c>
      <c r="C15" s="91"/>
      <c r="D15" s="91"/>
      <c r="E15" s="91"/>
      <c r="F15" s="91"/>
    </row>
    <row r="16" spans="1:6" ht="15.75" x14ac:dyDescent="0.25">
      <c r="A16" s="90" t="s">
        <v>225</v>
      </c>
      <c r="B16" s="90" t="s">
        <v>226</v>
      </c>
      <c r="C16" s="91"/>
      <c r="D16" s="91"/>
      <c r="E16" s="91"/>
      <c r="F16" s="91"/>
    </row>
    <row r="17" spans="1:6" ht="15.75" x14ac:dyDescent="0.25">
      <c r="A17" s="90" t="s">
        <v>227</v>
      </c>
      <c r="B17" s="90" t="s">
        <v>228</v>
      </c>
      <c r="C17" s="91"/>
      <c r="D17" s="91"/>
      <c r="E17" s="91"/>
      <c r="F17" s="91"/>
    </row>
    <row r="18" spans="1:6" ht="15.75" x14ac:dyDescent="0.25">
      <c r="A18" s="90" t="s">
        <v>229</v>
      </c>
      <c r="B18" s="90" t="s">
        <v>230</v>
      </c>
      <c r="C18" s="91"/>
      <c r="D18" s="91"/>
      <c r="E18" s="91"/>
      <c r="F18" s="91"/>
    </row>
    <row r="19" spans="1:6" ht="15.75" x14ac:dyDescent="0.25">
      <c r="A19" s="90" t="s">
        <v>231</v>
      </c>
      <c r="B19" s="90" t="s">
        <v>232</v>
      </c>
      <c r="C19" s="91"/>
      <c r="D19" s="91"/>
      <c r="E19" s="91"/>
      <c r="F19" s="91"/>
    </row>
    <row r="20" spans="1:6" ht="15.75" x14ac:dyDescent="0.25">
      <c r="A20" s="90" t="s">
        <v>233</v>
      </c>
      <c r="B20" s="90" t="s">
        <v>234</v>
      </c>
      <c r="C20" s="91"/>
      <c r="D20" s="91"/>
      <c r="E20" s="91"/>
      <c r="F20" s="91"/>
    </row>
    <row r="21" spans="1:6" ht="15.75" x14ac:dyDescent="0.25">
      <c r="A21" s="90" t="s">
        <v>235</v>
      </c>
      <c r="B21" s="90" t="s">
        <v>236</v>
      </c>
      <c r="C21" s="91"/>
      <c r="D21" s="91"/>
      <c r="E21" s="91"/>
      <c r="F21" s="91"/>
    </row>
    <row r="22" spans="1:6" ht="15.75" x14ac:dyDescent="0.25">
      <c r="A22" s="90" t="s">
        <v>237</v>
      </c>
      <c r="B22" s="90" t="s">
        <v>238</v>
      </c>
      <c r="C22" s="91"/>
      <c r="D22" s="91"/>
      <c r="E22" s="91"/>
      <c r="F22" s="91"/>
    </row>
    <row r="23" spans="1:6" ht="15.75" x14ac:dyDescent="0.25">
      <c r="A23" s="90" t="s">
        <v>239</v>
      </c>
      <c r="B23" s="90" t="s">
        <v>240</v>
      </c>
      <c r="C23" s="91"/>
      <c r="D23" s="91"/>
      <c r="E23" s="91"/>
      <c r="F23" s="91"/>
    </row>
    <row r="24" spans="1:6" ht="15.75" x14ac:dyDescent="0.25">
      <c r="A24" s="95" t="s">
        <v>241</v>
      </c>
      <c r="B24" s="90" t="s">
        <v>242</v>
      </c>
      <c r="C24" s="91"/>
      <c r="D24" s="91"/>
      <c r="E24" s="91"/>
      <c r="F24" s="91"/>
    </row>
    <row r="25" spans="1:6" ht="15.75" x14ac:dyDescent="0.25">
      <c r="A25" s="90" t="s">
        <v>243</v>
      </c>
      <c r="B25" s="90" t="s">
        <v>244</v>
      </c>
      <c r="C25" s="91"/>
      <c r="D25" s="91"/>
      <c r="E25" s="91"/>
      <c r="F25" s="91"/>
    </row>
    <row r="26" spans="1:6" ht="15.75" x14ac:dyDescent="0.25">
      <c r="A26" s="90" t="s">
        <v>245</v>
      </c>
      <c r="B26" s="90" t="s">
        <v>246</v>
      </c>
      <c r="C26" s="91"/>
      <c r="D26" s="91"/>
      <c r="E26" s="91"/>
      <c r="F26" s="91"/>
    </row>
    <row r="27" spans="1:6" ht="15.75" x14ac:dyDescent="0.25">
      <c r="A27" s="90" t="s">
        <v>247</v>
      </c>
      <c r="B27" s="90" t="s">
        <v>248</v>
      </c>
      <c r="C27" s="91"/>
      <c r="D27" s="91"/>
      <c r="E27" s="91"/>
      <c r="F27" s="91"/>
    </row>
    <row r="28" spans="1:6" ht="15.75" x14ac:dyDescent="0.25">
      <c r="A28" s="90" t="s">
        <v>249</v>
      </c>
      <c r="B28" s="90" t="s">
        <v>250</v>
      </c>
      <c r="C28" s="91"/>
      <c r="D28" s="91"/>
      <c r="E28" s="91"/>
      <c r="F28" s="91"/>
    </row>
    <row r="29" spans="1:6" ht="15.75" x14ac:dyDescent="0.25">
      <c r="A29" s="90" t="s">
        <v>251</v>
      </c>
      <c r="B29" s="90" t="s">
        <v>252</v>
      </c>
      <c r="C29" s="91"/>
      <c r="D29" s="91"/>
      <c r="E29" s="91"/>
      <c r="F29" s="91"/>
    </row>
    <row r="30" spans="1:6" ht="15.75" x14ac:dyDescent="0.25">
      <c r="A30" s="90" t="s">
        <v>253</v>
      </c>
      <c r="B30" s="90" t="s">
        <v>254</v>
      </c>
      <c r="C30" s="91"/>
      <c r="D30" s="91"/>
      <c r="E30" s="91"/>
      <c r="F30" s="91"/>
    </row>
    <row r="31" spans="1:6" ht="15.75" x14ac:dyDescent="0.25">
      <c r="A31" s="90" t="s">
        <v>255</v>
      </c>
      <c r="B31" s="90" t="s">
        <v>256</v>
      </c>
      <c r="C31" s="91"/>
      <c r="D31" s="91"/>
      <c r="E31" s="91"/>
      <c r="F31" s="91"/>
    </row>
    <row r="32" spans="1:6" ht="15.75" x14ac:dyDescent="0.25">
      <c r="A32" s="90" t="s">
        <v>257</v>
      </c>
      <c r="B32" s="90" t="s">
        <v>258</v>
      </c>
      <c r="C32" s="91"/>
      <c r="D32" s="91"/>
      <c r="E32" s="91"/>
      <c r="F32" s="91"/>
    </row>
    <row r="33" spans="1:6" ht="15.75" x14ac:dyDescent="0.25">
      <c r="A33" s="95" t="s">
        <v>259</v>
      </c>
      <c r="B33" s="90" t="s">
        <v>260</v>
      </c>
      <c r="C33" s="91"/>
      <c r="D33" s="91"/>
      <c r="E33" s="91"/>
      <c r="F33" s="91"/>
    </row>
    <row r="34" spans="1:6" ht="15.75" x14ac:dyDescent="0.25">
      <c r="A34" s="90" t="s">
        <v>261</v>
      </c>
      <c r="B34" s="90" t="s">
        <v>262</v>
      </c>
      <c r="C34" s="91"/>
      <c r="D34" s="91"/>
      <c r="E34" s="91"/>
      <c r="F34" s="91"/>
    </row>
    <row r="35" spans="1:6" ht="15.75" x14ac:dyDescent="0.25">
      <c r="A35" s="90" t="s">
        <v>263</v>
      </c>
      <c r="B35" s="90" t="s">
        <v>264</v>
      </c>
      <c r="C35" s="91"/>
      <c r="D35" s="91"/>
      <c r="E35" s="91"/>
      <c r="F35" s="91"/>
    </row>
    <row r="36" spans="1:6" ht="15.75" x14ac:dyDescent="0.25">
      <c r="A36" s="90" t="s">
        <v>265</v>
      </c>
      <c r="B36" s="90" t="s">
        <v>266</v>
      </c>
      <c r="C36" s="91"/>
      <c r="D36" s="91"/>
      <c r="E36" s="91"/>
      <c r="F36" s="91"/>
    </row>
    <row r="37" spans="1:6" ht="15.75" x14ac:dyDescent="0.25">
      <c r="A37" s="90" t="s">
        <v>267</v>
      </c>
      <c r="B37" s="90" t="s">
        <v>268</v>
      </c>
      <c r="C37" s="91"/>
      <c r="D37" s="91"/>
      <c r="E37" s="91"/>
      <c r="F37" s="91"/>
    </row>
    <row r="38" spans="1:6" ht="15.75" x14ac:dyDescent="0.25">
      <c r="A38" s="90" t="s">
        <v>269</v>
      </c>
      <c r="B38" s="90" t="s">
        <v>270</v>
      </c>
      <c r="C38" s="91"/>
      <c r="D38" s="91"/>
      <c r="E38" s="91"/>
      <c r="F38" s="91"/>
    </row>
    <row r="39" spans="1:6" ht="15.75" x14ac:dyDescent="0.25">
      <c r="A39" s="90" t="s">
        <v>271</v>
      </c>
      <c r="B39" s="90" t="s">
        <v>272</v>
      </c>
      <c r="C39" s="91"/>
      <c r="D39" s="91"/>
      <c r="E39" s="91"/>
      <c r="F39" s="91"/>
    </row>
    <row r="40" spans="1:6" ht="15.75" x14ac:dyDescent="0.25">
      <c r="A40" s="95" t="s">
        <v>273</v>
      </c>
      <c r="B40" s="90" t="s">
        <v>274</v>
      </c>
      <c r="C40" s="91"/>
      <c r="D40" s="91"/>
      <c r="E40" s="91"/>
      <c r="F40" s="91"/>
    </row>
    <row r="41" spans="1:6" ht="15.75" x14ac:dyDescent="0.25">
      <c r="A41" s="90" t="s">
        <v>275</v>
      </c>
      <c r="B41" s="90" t="s">
        <v>276</v>
      </c>
      <c r="C41" s="91"/>
      <c r="D41" s="91"/>
      <c r="E41" s="91"/>
      <c r="F41" s="91"/>
    </row>
    <row r="42" spans="1:6" ht="15.75" x14ac:dyDescent="0.25">
      <c r="A42" s="90" t="s">
        <v>277</v>
      </c>
      <c r="B42" s="90" t="s">
        <v>278</v>
      </c>
      <c r="C42" s="91"/>
      <c r="D42" s="91"/>
      <c r="E42" s="91"/>
      <c r="F42" s="91"/>
    </row>
    <row r="43" spans="1:6" ht="15.75" x14ac:dyDescent="0.25">
      <c r="A43" s="90" t="s">
        <v>279</v>
      </c>
      <c r="B43" s="90" t="s">
        <v>280</v>
      </c>
      <c r="C43" s="91"/>
      <c r="D43" s="91"/>
      <c r="E43" s="91"/>
      <c r="F43" s="91"/>
    </row>
    <row r="44" spans="1:6" ht="15.75" x14ac:dyDescent="0.25">
      <c r="A44" s="90" t="s">
        <v>281</v>
      </c>
      <c r="B44" s="90" t="s">
        <v>282</v>
      </c>
      <c r="C44" s="91"/>
      <c r="D44" s="91"/>
      <c r="E44" s="91"/>
      <c r="F44" s="91"/>
    </row>
    <row r="45" spans="1:6" ht="15.75" x14ac:dyDescent="0.25">
      <c r="A45" s="95" t="s">
        <v>283</v>
      </c>
      <c r="B45" s="90" t="s">
        <v>284</v>
      </c>
      <c r="C45" s="91"/>
      <c r="D45" s="91"/>
      <c r="E45" s="91"/>
      <c r="F45" s="91"/>
    </row>
    <row r="46" spans="1:6" ht="15.75" x14ac:dyDescent="0.25">
      <c r="A46" s="90" t="s">
        <v>285</v>
      </c>
      <c r="B46" s="90" t="s">
        <v>286</v>
      </c>
      <c r="C46" s="91"/>
      <c r="D46" s="91"/>
      <c r="E46" s="91"/>
      <c r="F46" s="91"/>
    </row>
    <row r="47" spans="1:6" ht="15.75" x14ac:dyDescent="0.25">
      <c r="A47" s="90" t="s">
        <v>277</v>
      </c>
      <c r="B47" s="90" t="s">
        <v>287</v>
      </c>
      <c r="C47" s="91"/>
      <c r="D47" s="91"/>
      <c r="E47" s="91"/>
      <c r="F47" s="91"/>
    </row>
    <row r="48" spans="1:6" ht="15.75" x14ac:dyDescent="0.25">
      <c r="A48" s="90" t="s">
        <v>288</v>
      </c>
      <c r="B48" s="90" t="s">
        <v>289</v>
      </c>
      <c r="C48" s="91"/>
      <c r="D48" s="91"/>
      <c r="E48" s="91"/>
      <c r="F48" s="91"/>
    </row>
    <row r="49" spans="1:6" ht="15.75" x14ac:dyDescent="0.25">
      <c r="A49" s="90" t="s">
        <v>290</v>
      </c>
      <c r="B49" s="90" t="s">
        <v>291</v>
      </c>
      <c r="C49" s="91"/>
      <c r="D49" s="91"/>
      <c r="E49" s="91"/>
      <c r="F49" s="91"/>
    </row>
    <row r="50" spans="1:6" ht="15.75" x14ac:dyDescent="0.25">
      <c r="A50" s="90" t="s">
        <v>292</v>
      </c>
      <c r="B50" s="90" t="s">
        <v>293</v>
      </c>
      <c r="C50" s="91"/>
      <c r="D50" s="91"/>
      <c r="E50" s="91"/>
      <c r="F50" s="91"/>
    </row>
    <row r="51" spans="1:6" ht="15.75" x14ac:dyDescent="0.25">
      <c r="A51" s="90" t="s">
        <v>279</v>
      </c>
      <c r="B51" s="90" t="s">
        <v>294</v>
      </c>
      <c r="C51" s="91"/>
      <c r="D51" s="91"/>
      <c r="E51" s="91"/>
      <c r="F51" s="91"/>
    </row>
    <row r="52" spans="1:6" ht="15.75" x14ac:dyDescent="0.25">
      <c r="A52" s="90" t="s">
        <v>295</v>
      </c>
      <c r="B52" s="90" t="s">
        <v>296</v>
      </c>
      <c r="C52" s="91"/>
      <c r="D52" s="91"/>
      <c r="E52" s="91"/>
      <c r="F52" s="91"/>
    </row>
    <row r="53" spans="1:6" ht="15.75" x14ac:dyDescent="0.25">
      <c r="A53" s="90" t="s">
        <v>281</v>
      </c>
      <c r="B53" s="90" t="s">
        <v>297</v>
      </c>
      <c r="C53" s="91"/>
      <c r="D53" s="91"/>
      <c r="E53" s="91"/>
      <c r="F53" s="91"/>
    </row>
    <row r="54" spans="1:6" ht="15.75" x14ac:dyDescent="0.25">
      <c r="A54" s="95" t="s">
        <v>298</v>
      </c>
      <c r="B54" s="90" t="s">
        <v>299</v>
      </c>
      <c r="C54" s="91"/>
      <c r="D54" s="91"/>
      <c r="E54" s="91"/>
      <c r="F54" s="91"/>
    </row>
    <row r="55" spans="1:6" ht="15.75" x14ac:dyDescent="0.25">
      <c r="A55" s="90" t="s">
        <v>300</v>
      </c>
      <c r="B55" s="90" t="s">
        <v>301</v>
      </c>
      <c r="C55" s="91"/>
      <c r="D55" s="91"/>
      <c r="E55" s="91"/>
      <c r="F55" s="91"/>
    </row>
    <row r="56" spans="1:6" ht="15.75" x14ac:dyDescent="0.25">
      <c r="A56" s="90" t="s">
        <v>302</v>
      </c>
      <c r="B56" s="90" t="s">
        <v>303</v>
      </c>
      <c r="C56" s="91"/>
      <c r="D56" s="91"/>
      <c r="E56" s="91"/>
      <c r="F56" s="91"/>
    </row>
    <row r="57" spans="1:6" ht="15.75" x14ac:dyDescent="0.25">
      <c r="A57" s="90" t="s">
        <v>304</v>
      </c>
      <c r="B57" s="90" t="s">
        <v>305</v>
      </c>
      <c r="C57" s="91"/>
      <c r="D57" s="91"/>
      <c r="E57" s="91"/>
      <c r="F57" s="91"/>
    </row>
    <row r="58" spans="1:6" ht="15.75" x14ac:dyDescent="0.25">
      <c r="A58" s="90" t="s">
        <v>306</v>
      </c>
      <c r="B58" s="90" t="s">
        <v>307</v>
      </c>
      <c r="C58" s="91"/>
      <c r="D58" s="91"/>
      <c r="E58" s="91"/>
      <c r="F58" s="91"/>
    </row>
    <row r="59" spans="1:6" ht="15.75" x14ac:dyDescent="0.25">
      <c r="A59" s="90" t="s">
        <v>308</v>
      </c>
      <c r="B59" s="90" t="s">
        <v>309</v>
      </c>
      <c r="C59" s="91"/>
      <c r="D59" s="91"/>
      <c r="E59" s="91"/>
      <c r="F59" s="91"/>
    </row>
    <row r="60" spans="1:6" ht="15.75" x14ac:dyDescent="0.25">
      <c r="A60" s="90" t="s">
        <v>310</v>
      </c>
      <c r="B60" s="90" t="s">
        <v>311</v>
      </c>
      <c r="C60" s="91"/>
      <c r="D60" s="91"/>
      <c r="E60" s="91"/>
      <c r="F60" s="91"/>
    </row>
    <row r="61" spans="1:6" ht="15.75" x14ac:dyDescent="0.25">
      <c r="A61" s="95" t="s">
        <v>312</v>
      </c>
      <c r="B61" s="90" t="s">
        <v>313</v>
      </c>
      <c r="C61" s="91"/>
      <c r="D61" s="91"/>
      <c r="E61" s="91"/>
      <c r="F61" s="91"/>
    </row>
    <row r="62" spans="1:6" ht="15.75" x14ac:dyDescent="0.25">
      <c r="A62" s="90" t="s">
        <v>314</v>
      </c>
      <c r="B62" s="90" t="s">
        <v>315</v>
      </c>
      <c r="C62" s="91"/>
      <c r="D62" s="91"/>
      <c r="E62" s="91"/>
      <c r="F62" s="91"/>
    </row>
    <row r="63" spans="1:6" ht="15.75" x14ac:dyDescent="0.25">
      <c r="A63" s="90" t="s">
        <v>316</v>
      </c>
      <c r="B63" s="90" t="s">
        <v>317</v>
      </c>
      <c r="C63" s="91"/>
      <c r="D63" s="91"/>
      <c r="E63" s="91"/>
      <c r="F63" s="91"/>
    </row>
    <row r="64" spans="1:6" ht="15.75" x14ac:dyDescent="0.25">
      <c r="A64" s="92" t="s">
        <v>318</v>
      </c>
      <c r="B64" s="93"/>
      <c r="C64" s="91"/>
      <c r="D64" s="91"/>
      <c r="E64" s="91"/>
      <c r="F64" s="91"/>
    </row>
    <row r="65" spans="1:6" ht="15.75" x14ac:dyDescent="0.25">
      <c r="A65" s="45"/>
      <c r="B65" s="45"/>
      <c r="C65" s="45"/>
      <c r="D65" s="45"/>
      <c r="E65" s="45"/>
      <c r="F65" s="45"/>
    </row>
    <row r="66" spans="1:6" ht="15.75" x14ac:dyDescent="0.25">
      <c r="A66" s="45"/>
      <c r="B66" s="45"/>
      <c r="C66" s="45"/>
      <c r="D66" s="45"/>
      <c r="E66" s="45"/>
      <c r="F66" s="45"/>
    </row>
    <row r="67" spans="1:6" ht="15.75" x14ac:dyDescent="0.25">
      <c r="A67" s="45"/>
      <c r="B67" s="45"/>
      <c r="C67" s="45"/>
      <c r="D67" s="45"/>
      <c r="E67" s="45"/>
      <c r="F67" s="45"/>
    </row>
  </sheetData>
  <mergeCells count="2">
    <mergeCell ref="A2:F2"/>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86"/>
  <sheetViews>
    <sheetView zoomScaleNormal="100" workbookViewId="0">
      <pane xSplit="2" ySplit="5" topLeftCell="E46" activePane="bottomRight" state="frozen"/>
      <selection sqref="A1:E1"/>
      <selection pane="topRight" sqref="A1:E1"/>
      <selection pane="bottomLeft" sqref="A1:E1"/>
      <selection pane="bottomRight" activeCell="I46" sqref="I46"/>
    </sheetView>
  </sheetViews>
  <sheetFormatPr defaultColWidth="9.140625" defaultRowHeight="15.75" x14ac:dyDescent="0.25"/>
  <cols>
    <col min="1" max="1" width="7.85546875" style="3" customWidth="1"/>
    <col min="2" max="2" width="82.140625" style="59" customWidth="1"/>
    <col min="3" max="3" width="16.42578125" style="60" customWidth="1"/>
    <col min="4" max="4" width="16.5703125" style="60" customWidth="1"/>
    <col min="5" max="5" width="16.42578125" style="60" customWidth="1"/>
    <col min="6" max="6" width="19.140625" style="60" customWidth="1"/>
    <col min="7" max="7" width="16.85546875" style="60" customWidth="1"/>
    <col min="8" max="8" width="20.140625" style="60" customWidth="1"/>
    <col min="9" max="9" width="20.42578125" style="1" bestFit="1" customWidth="1"/>
    <col min="10" max="10" width="27.42578125" style="1" customWidth="1"/>
    <col min="11" max="16384" width="9.140625" style="1"/>
  </cols>
  <sheetData>
    <row r="1" spans="1:9" s="259" customFormat="1" ht="35.1" customHeight="1" thickBot="1" x14ac:dyDescent="0.3">
      <c r="A1" s="804" t="s">
        <v>809</v>
      </c>
      <c r="B1" s="805"/>
      <c r="C1" s="805"/>
      <c r="D1" s="805"/>
      <c r="E1" s="805"/>
      <c r="F1" s="805"/>
      <c r="G1" s="805"/>
      <c r="H1" s="806"/>
    </row>
    <row r="2" spans="1:9" s="259" customFormat="1" ht="31.9" customHeight="1" x14ac:dyDescent="0.25">
      <c r="A2" s="789" t="s">
        <v>1055</v>
      </c>
      <c r="B2" s="790"/>
      <c r="C2" s="790"/>
      <c r="D2" s="790"/>
      <c r="E2" s="790"/>
      <c r="F2" s="790"/>
      <c r="G2" s="790"/>
      <c r="H2" s="791"/>
    </row>
    <row r="3" spans="1:9" s="259" customFormat="1" ht="24" customHeight="1" x14ac:dyDescent="0.25">
      <c r="A3" s="807" t="s">
        <v>80</v>
      </c>
      <c r="B3" s="808" t="s">
        <v>153</v>
      </c>
      <c r="C3" s="810">
        <v>2022</v>
      </c>
      <c r="D3" s="811"/>
      <c r="E3" s="810">
        <v>2023</v>
      </c>
      <c r="F3" s="811"/>
      <c r="G3" s="810" t="s">
        <v>810</v>
      </c>
      <c r="H3" s="812"/>
    </row>
    <row r="4" spans="1:9" s="260" customFormat="1" ht="31.5" x14ac:dyDescent="0.25">
      <c r="A4" s="807"/>
      <c r="B4" s="809"/>
      <c r="C4" s="237" t="s">
        <v>154</v>
      </c>
      <c r="D4" s="237" t="s">
        <v>155</v>
      </c>
      <c r="E4" s="237" t="s">
        <v>154</v>
      </c>
      <c r="F4" s="237" t="s">
        <v>155</v>
      </c>
      <c r="G4" s="237" t="s">
        <v>154</v>
      </c>
      <c r="H4" s="261" t="s">
        <v>155</v>
      </c>
      <c r="I4" s="259"/>
    </row>
    <row r="5" spans="1:9" s="260" customFormat="1" x14ac:dyDescent="0.25">
      <c r="A5" s="253"/>
      <c r="B5" s="238"/>
      <c r="C5" s="237" t="s">
        <v>119</v>
      </c>
      <c r="D5" s="237" t="s">
        <v>120</v>
      </c>
      <c r="E5" s="237" t="s">
        <v>121</v>
      </c>
      <c r="F5" s="237" t="s">
        <v>127</v>
      </c>
      <c r="G5" s="237" t="s">
        <v>9</v>
      </c>
      <c r="H5" s="261" t="s">
        <v>10</v>
      </c>
      <c r="I5" s="262"/>
    </row>
    <row r="6" spans="1:9" x14ac:dyDescent="0.25">
      <c r="A6" s="21">
        <v>1</v>
      </c>
      <c r="B6" s="241" t="s">
        <v>102</v>
      </c>
      <c r="C6" s="532">
        <f>SUM(C7:C10)</f>
        <v>469436.38</v>
      </c>
      <c r="D6" s="532">
        <f>SUM(D7:D10)</f>
        <v>519328.32</v>
      </c>
      <c r="E6" s="532">
        <f>SUM(E7:E10)</f>
        <v>602153.27</v>
      </c>
      <c r="F6" s="532">
        <f>SUM(F7:F10)</f>
        <v>693468.56</v>
      </c>
      <c r="G6" s="540">
        <f>E6-C6</f>
        <v>132716.89000000001</v>
      </c>
      <c r="H6" s="541">
        <f t="shared" ref="G6:H78" si="0">F6-D6</f>
        <v>174140.24000000005</v>
      </c>
    </row>
    <row r="7" spans="1:9" x14ac:dyDescent="0.25">
      <c r="A7" s="21">
        <f>A6+1</f>
        <v>2</v>
      </c>
      <c r="B7" s="242" t="s">
        <v>113</v>
      </c>
      <c r="C7" s="536">
        <v>0</v>
      </c>
      <c r="D7" s="536">
        <v>0</v>
      </c>
      <c r="E7" s="536">
        <v>0</v>
      </c>
      <c r="F7" s="536">
        <v>0</v>
      </c>
      <c r="G7" s="540">
        <f t="shared" si="0"/>
        <v>0</v>
      </c>
      <c r="H7" s="541">
        <f t="shared" si="0"/>
        <v>0</v>
      </c>
      <c r="I7" s="172"/>
    </row>
    <row r="8" spans="1:9" x14ac:dyDescent="0.25">
      <c r="A8" s="21">
        <f t="shared" ref="A8:A69" si="1">A7+1</f>
        <v>3</v>
      </c>
      <c r="B8" s="242" t="s">
        <v>132</v>
      </c>
      <c r="C8" s="536">
        <v>0</v>
      </c>
      <c r="D8" s="536">
        <v>0</v>
      </c>
      <c r="E8" s="536">
        <v>0</v>
      </c>
      <c r="F8" s="536">
        <v>0</v>
      </c>
      <c r="G8" s="540">
        <f t="shared" si="0"/>
        <v>0</v>
      </c>
      <c r="H8" s="541">
        <f t="shared" si="0"/>
        <v>0</v>
      </c>
      <c r="I8" s="172"/>
    </row>
    <row r="9" spans="1:9" x14ac:dyDescent="0.25">
      <c r="A9" s="21">
        <f t="shared" si="1"/>
        <v>4</v>
      </c>
      <c r="B9" s="242" t="s">
        <v>18</v>
      </c>
      <c r="C9" s="536">
        <v>467720.82</v>
      </c>
      <c r="D9" s="536">
        <v>519032.76</v>
      </c>
      <c r="E9" s="536">
        <v>594545.97</v>
      </c>
      <c r="F9" s="536">
        <v>693252</v>
      </c>
      <c r="G9" s="540">
        <f t="shared" si="0"/>
        <v>126825.14999999997</v>
      </c>
      <c r="H9" s="541">
        <f t="shared" si="0"/>
        <v>174219.24</v>
      </c>
      <c r="I9" s="172"/>
    </row>
    <row r="10" spans="1:9" x14ac:dyDescent="0.25">
      <c r="A10" s="21">
        <f t="shared" si="1"/>
        <v>5</v>
      </c>
      <c r="B10" s="242" t="s">
        <v>131</v>
      </c>
      <c r="C10" s="536">
        <v>1715.56</v>
      </c>
      <c r="D10" s="536">
        <v>295.56</v>
      </c>
      <c r="E10" s="536">
        <v>7607.3</v>
      </c>
      <c r="F10" s="536">
        <v>216.56</v>
      </c>
      <c r="G10" s="540">
        <f t="shared" si="0"/>
        <v>5891.74</v>
      </c>
      <c r="H10" s="541">
        <f t="shared" si="0"/>
        <v>-79</v>
      </c>
      <c r="I10" s="172"/>
    </row>
    <row r="11" spans="1:9" x14ac:dyDescent="0.25">
      <c r="A11" s="21">
        <f t="shared" si="1"/>
        <v>6</v>
      </c>
      <c r="B11" s="243" t="s">
        <v>501</v>
      </c>
      <c r="C11" s="532">
        <f>SUM(C12:C15)</f>
        <v>1382111.3900000001</v>
      </c>
      <c r="D11" s="532">
        <f>SUM(D12:D15)</f>
        <v>668115.31000000006</v>
      </c>
      <c r="E11" s="532">
        <f>SUM(E12:E15)</f>
        <v>1906445.19</v>
      </c>
      <c r="F11" s="532">
        <f>SUM(F12:F15)</f>
        <v>996514.35000000009</v>
      </c>
      <c r="G11" s="540">
        <f t="shared" si="0"/>
        <v>524333.79999999981</v>
      </c>
      <c r="H11" s="541">
        <f t="shared" si="0"/>
        <v>328399.04000000004</v>
      </c>
    </row>
    <row r="12" spans="1:9" x14ac:dyDescent="0.25">
      <c r="A12" s="21">
        <f t="shared" si="1"/>
        <v>7</v>
      </c>
      <c r="B12" s="244" t="s">
        <v>32</v>
      </c>
      <c r="C12" s="536">
        <v>848612.5</v>
      </c>
      <c r="D12" s="536">
        <v>0</v>
      </c>
      <c r="E12" s="536">
        <v>996406.56</v>
      </c>
      <c r="F12" s="536">
        <v>0</v>
      </c>
      <c r="G12" s="540">
        <f t="shared" si="0"/>
        <v>147794.06000000006</v>
      </c>
      <c r="H12" s="541">
        <f t="shared" si="0"/>
        <v>0</v>
      </c>
    </row>
    <row r="13" spans="1:9" x14ac:dyDescent="0.25">
      <c r="A13" s="21">
        <f t="shared" si="1"/>
        <v>8</v>
      </c>
      <c r="B13" s="244" t="s">
        <v>33</v>
      </c>
      <c r="C13" s="536"/>
      <c r="D13" s="536"/>
      <c r="E13" s="536"/>
      <c r="F13" s="536"/>
      <c r="G13" s="540">
        <f t="shared" si="0"/>
        <v>0</v>
      </c>
      <c r="H13" s="541">
        <f t="shared" si="0"/>
        <v>0</v>
      </c>
    </row>
    <row r="14" spans="1:9" x14ac:dyDescent="0.25">
      <c r="A14" s="21">
        <f>A13+1</f>
        <v>9</v>
      </c>
      <c r="B14" s="244" t="s">
        <v>655</v>
      </c>
      <c r="C14" s="536">
        <v>6580</v>
      </c>
      <c r="D14" s="536">
        <v>316487.21000000002</v>
      </c>
      <c r="E14" s="536"/>
      <c r="F14" s="536">
        <v>333933.31</v>
      </c>
      <c r="G14" s="540">
        <f t="shared" si="0"/>
        <v>-6580</v>
      </c>
      <c r="H14" s="541">
        <f t="shared" si="0"/>
        <v>17446.099999999977</v>
      </c>
    </row>
    <row r="15" spans="1:9" ht="31.5" x14ac:dyDescent="0.25">
      <c r="A15" s="144">
        <f t="shared" si="1"/>
        <v>10</v>
      </c>
      <c r="B15" s="522" t="s">
        <v>908</v>
      </c>
      <c r="C15" s="536">
        <v>526918.89</v>
      </c>
      <c r="D15" s="536">
        <v>351628.1</v>
      </c>
      <c r="E15" s="536">
        <v>910038.63</v>
      </c>
      <c r="F15" s="536">
        <v>662581.04</v>
      </c>
      <c r="G15" s="540">
        <f t="shared" si="0"/>
        <v>383119.74</v>
      </c>
      <c r="H15" s="541">
        <f t="shared" si="0"/>
        <v>310952.94000000006</v>
      </c>
      <c r="I15" s="206"/>
    </row>
    <row r="16" spans="1:9" x14ac:dyDescent="0.25">
      <c r="A16" s="21">
        <f t="shared" si="1"/>
        <v>11</v>
      </c>
      <c r="B16" s="243" t="s">
        <v>6</v>
      </c>
      <c r="C16" s="536"/>
      <c r="D16" s="536">
        <v>133067.32999999999</v>
      </c>
      <c r="E16" s="536"/>
      <c r="F16" s="536">
        <v>172871.74</v>
      </c>
      <c r="G16" s="540">
        <f t="shared" si="0"/>
        <v>0</v>
      </c>
      <c r="H16" s="541">
        <f t="shared" si="0"/>
        <v>39804.410000000003</v>
      </c>
      <c r="I16" s="206"/>
    </row>
    <row r="17" spans="1:9" x14ac:dyDescent="0.25">
      <c r="A17" s="21">
        <f t="shared" si="1"/>
        <v>12</v>
      </c>
      <c r="B17" s="243" t="s">
        <v>520</v>
      </c>
      <c r="C17" s="536"/>
      <c r="D17" s="536"/>
      <c r="E17" s="536"/>
      <c r="F17" s="536"/>
      <c r="G17" s="540">
        <f t="shared" si="0"/>
        <v>0</v>
      </c>
      <c r="H17" s="541">
        <f t="shared" si="0"/>
        <v>0</v>
      </c>
    </row>
    <row r="18" spans="1:9" x14ac:dyDescent="0.25">
      <c r="A18" s="21">
        <f t="shared" si="1"/>
        <v>13</v>
      </c>
      <c r="B18" s="243" t="s">
        <v>763</v>
      </c>
      <c r="C18" s="536">
        <v>163782.16</v>
      </c>
      <c r="D18" s="536"/>
      <c r="E18" s="536"/>
      <c r="F18" s="536"/>
      <c r="G18" s="540">
        <f t="shared" si="0"/>
        <v>-163782.16</v>
      </c>
      <c r="H18" s="541">
        <f t="shared" si="0"/>
        <v>0</v>
      </c>
    </row>
    <row r="19" spans="1:9" x14ac:dyDescent="0.25">
      <c r="A19" s="21">
        <f t="shared" si="1"/>
        <v>14</v>
      </c>
      <c r="B19" s="243" t="s">
        <v>656</v>
      </c>
      <c r="C19" s="536">
        <v>7984.9</v>
      </c>
      <c r="D19" s="536">
        <v>416.91</v>
      </c>
      <c r="E19" s="536">
        <v>135.97</v>
      </c>
      <c r="F19" s="536">
        <v>1077.4100000000001</v>
      </c>
      <c r="G19" s="540">
        <f t="shared" si="0"/>
        <v>-7848.9299999999994</v>
      </c>
      <c r="H19" s="541">
        <f t="shared" si="0"/>
        <v>660.5</v>
      </c>
    </row>
    <row r="20" spans="1:9" x14ac:dyDescent="0.25">
      <c r="A20" s="21">
        <f t="shared" si="1"/>
        <v>15</v>
      </c>
      <c r="B20" s="243" t="s">
        <v>657</v>
      </c>
      <c r="C20" s="536"/>
      <c r="D20" s="536"/>
      <c r="E20" s="536"/>
      <c r="F20" s="536"/>
      <c r="G20" s="540">
        <f t="shared" si="0"/>
        <v>0</v>
      </c>
      <c r="H20" s="541">
        <f t="shared" si="0"/>
        <v>0</v>
      </c>
    </row>
    <row r="21" spans="1:9" x14ac:dyDescent="0.25">
      <c r="A21" s="21">
        <f t="shared" si="1"/>
        <v>16</v>
      </c>
      <c r="B21" s="243" t="s">
        <v>502</v>
      </c>
      <c r="C21" s="532">
        <f>SUM(C22:C23)</f>
        <v>0</v>
      </c>
      <c r="D21" s="532">
        <f>SUM(D22:D23)</f>
        <v>0</v>
      </c>
      <c r="E21" s="532">
        <f>SUM(E22:E23)</f>
        <v>5931.94</v>
      </c>
      <c r="F21" s="532">
        <f>SUM(F22:F23)</f>
        <v>2585.83</v>
      </c>
      <c r="G21" s="540">
        <f t="shared" si="0"/>
        <v>5931.94</v>
      </c>
      <c r="H21" s="541">
        <f t="shared" si="0"/>
        <v>2585.83</v>
      </c>
    </row>
    <row r="22" spans="1:9" x14ac:dyDescent="0.25">
      <c r="A22" s="21">
        <f t="shared" si="1"/>
        <v>17</v>
      </c>
      <c r="B22" s="244" t="s">
        <v>658</v>
      </c>
      <c r="C22" s="536"/>
      <c r="D22" s="536"/>
      <c r="E22" s="536"/>
      <c r="F22" s="536"/>
      <c r="G22" s="540">
        <f t="shared" si="0"/>
        <v>0</v>
      </c>
      <c r="H22" s="541">
        <f t="shared" si="0"/>
        <v>0</v>
      </c>
    </row>
    <row r="23" spans="1:9" x14ac:dyDescent="0.25">
      <c r="A23" s="21">
        <f t="shared" si="1"/>
        <v>18</v>
      </c>
      <c r="B23" s="244" t="s">
        <v>659</v>
      </c>
      <c r="C23" s="536"/>
      <c r="D23" s="536"/>
      <c r="E23" s="536">
        <v>5931.94</v>
      </c>
      <c r="F23" s="537">
        <v>2585.83</v>
      </c>
      <c r="G23" s="540">
        <f t="shared" si="0"/>
        <v>5931.94</v>
      </c>
      <c r="H23" s="541">
        <f t="shared" si="0"/>
        <v>2585.83</v>
      </c>
    </row>
    <row r="24" spans="1:9" x14ac:dyDescent="0.25">
      <c r="A24" s="21">
        <f t="shared" si="1"/>
        <v>19</v>
      </c>
      <c r="B24" s="243" t="s">
        <v>660</v>
      </c>
      <c r="C24" s="536">
        <v>7694.04</v>
      </c>
      <c r="D24" s="536">
        <v>0.52</v>
      </c>
      <c r="E24" s="536">
        <v>5070.1099999999997</v>
      </c>
      <c r="F24" s="536"/>
      <c r="G24" s="540">
        <f t="shared" si="0"/>
        <v>-2623.9300000000003</v>
      </c>
      <c r="H24" s="541">
        <f t="shared" si="0"/>
        <v>-0.52</v>
      </c>
    </row>
    <row r="25" spans="1:9" x14ac:dyDescent="0.25">
      <c r="A25" s="21">
        <f t="shared" si="1"/>
        <v>20</v>
      </c>
      <c r="B25" s="245" t="s">
        <v>899</v>
      </c>
      <c r="C25" s="542">
        <f>SUM(C26:C36)</f>
        <v>14376031.51</v>
      </c>
      <c r="D25" s="542">
        <f t="shared" ref="D25:F25" si="2">SUM(D26:D36)</f>
        <v>0</v>
      </c>
      <c r="E25" s="542">
        <f t="shared" si="2"/>
        <v>14438759.530000001</v>
      </c>
      <c r="F25" s="542">
        <f t="shared" si="2"/>
        <v>0</v>
      </c>
      <c r="G25" s="540">
        <f t="shared" si="0"/>
        <v>62728.020000001416</v>
      </c>
      <c r="H25" s="541">
        <f t="shared" si="0"/>
        <v>0</v>
      </c>
      <c r="I25" s="201"/>
    </row>
    <row r="26" spans="1:9" x14ac:dyDescent="0.25">
      <c r="A26" s="21">
        <f t="shared" si="1"/>
        <v>21</v>
      </c>
      <c r="B26" s="246" t="s">
        <v>661</v>
      </c>
      <c r="C26" s="536">
        <v>274831.09999999998</v>
      </c>
      <c r="D26" s="536"/>
      <c r="E26" s="536">
        <v>162195</v>
      </c>
      <c r="F26" s="536"/>
      <c r="G26" s="540">
        <f t="shared" si="0"/>
        <v>-112636.09999999998</v>
      </c>
      <c r="H26" s="541">
        <f t="shared" si="0"/>
        <v>0</v>
      </c>
    </row>
    <row r="27" spans="1:9" x14ac:dyDescent="0.25">
      <c r="A27" s="21">
        <f t="shared" si="1"/>
        <v>22</v>
      </c>
      <c r="B27" s="246" t="s">
        <v>665</v>
      </c>
      <c r="C27" s="536">
        <v>13373320</v>
      </c>
      <c r="D27" s="536"/>
      <c r="E27" s="536">
        <v>13595858.66</v>
      </c>
      <c r="F27" s="536"/>
      <c r="G27" s="540">
        <f t="shared" si="0"/>
        <v>222538.66000000015</v>
      </c>
      <c r="H27" s="541">
        <f t="shared" si="0"/>
        <v>0</v>
      </c>
    </row>
    <row r="28" spans="1:9" x14ac:dyDescent="0.25">
      <c r="A28" s="21">
        <f t="shared" si="1"/>
        <v>23</v>
      </c>
      <c r="B28" s="246" t="s">
        <v>662</v>
      </c>
      <c r="C28" s="536"/>
      <c r="D28" s="536"/>
      <c r="E28" s="536"/>
      <c r="F28" s="536"/>
      <c r="G28" s="540">
        <f t="shared" si="0"/>
        <v>0</v>
      </c>
      <c r="H28" s="541">
        <f t="shared" si="0"/>
        <v>0</v>
      </c>
      <c r="I28" s="110"/>
    </row>
    <row r="29" spans="1:9" x14ac:dyDescent="0.25">
      <c r="A29" s="21">
        <f t="shared" si="1"/>
        <v>24</v>
      </c>
      <c r="B29" s="246" t="s">
        <v>663</v>
      </c>
      <c r="C29" s="536">
        <v>329337.25</v>
      </c>
      <c r="D29" s="536"/>
      <c r="E29" s="536">
        <v>307232.39</v>
      </c>
      <c r="F29" s="536"/>
      <c r="G29" s="540">
        <f t="shared" si="0"/>
        <v>-22104.859999999986</v>
      </c>
      <c r="H29" s="541">
        <f t="shared" si="0"/>
        <v>0</v>
      </c>
      <c r="I29" s="110"/>
    </row>
    <row r="30" spans="1:9" x14ac:dyDescent="0.25">
      <c r="A30" s="21">
        <f t="shared" si="1"/>
        <v>25</v>
      </c>
      <c r="B30" s="246" t="s">
        <v>664</v>
      </c>
      <c r="C30" s="536"/>
      <c r="D30" s="536"/>
      <c r="E30" s="536"/>
      <c r="F30" s="536"/>
      <c r="G30" s="540">
        <f t="shared" si="0"/>
        <v>0</v>
      </c>
      <c r="H30" s="541">
        <f t="shared" si="0"/>
        <v>0</v>
      </c>
    </row>
    <row r="31" spans="1:9" x14ac:dyDescent="0.25">
      <c r="A31" s="527">
        <v>26</v>
      </c>
      <c r="B31" s="526" t="s">
        <v>892</v>
      </c>
      <c r="C31" s="536">
        <v>397954.52</v>
      </c>
      <c r="D31" s="536"/>
      <c r="E31" s="536">
        <v>370784.82</v>
      </c>
      <c r="F31" s="536"/>
      <c r="G31" s="543">
        <f t="shared" si="0"/>
        <v>-27169.700000000012</v>
      </c>
      <c r="H31" s="544">
        <f t="shared" si="0"/>
        <v>0</v>
      </c>
      <c r="I31" s="723"/>
    </row>
    <row r="32" spans="1:9" x14ac:dyDescent="0.25">
      <c r="A32" s="527">
        <v>27</v>
      </c>
      <c r="B32" s="526" t="s">
        <v>893</v>
      </c>
      <c r="C32" s="536">
        <v>249</v>
      </c>
      <c r="D32" s="536"/>
      <c r="E32" s="536">
        <v>353</v>
      </c>
      <c r="F32" s="536"/>
      <c r="G32" s="543">
        <f t="shared" si="0"/>
        <v>104</v>
      </c>
      <c r="H32" s="544">
        <f t="shared" si="0"/>
        <v>0</v>
      </c>
    </row>
    <row r="33" spans="1:10" x14ac:dyDescent="0.25">
      <c r="A33" s="527">
        <v>28</v>
      </c>
      <c r="B33" s="526" t="s">
        <v>894</v>
      </c>
      <c r="C33" s="536"/>
      <c r="D33" s="536"/>
      <c r="E33" s="536">
        <v>0.78</v>
      </c>
      <c r="F33" s="536"/>
      <c r="G33" s="543">
        <f t="shared" si="0"/>
        <v>0.78</v>
      </c>
      <c r="H33" s="544">
        <f t="shared" si="0"/>
        <v>0</v>
      </c>
      <c r="I33" s="723"/>
    </row>
    <row r="34" spans="1:10" x14ac:dyDescent="0.25">
      <c r="A34" s="527">
        <v>29</v>
      </c>
      <c r="B34" s="526" t="s">
        <v>895</v>
      </c>
      <c r="C34" s="536"/>
      <c r="D34" s="536"/>
      <c r="E34" s="536">
        <v>1280</v>
      </c>
      <c r="F34" s="536"/>
      <c r="G34" s="543">
        <f t="shared" si="0"/>
        <v>1280</v>
      </c>
      <c r="H34" s="544">
        <f t="shared" si="0"/>
        <v>0</v>
      </c>
    </row>
    <row r="35" spans="1:10" x14ac:dyDescent="0.25">
      <c r="A35" s="527">
        <v>30</v>
      </c>
      <c r="B35" s="526" t="s">
        <v>896</v>
      </c>
      <c r="C35" s="536"/>
      <c r="D35" s="536"/>
      <c r="E35" s="536"/>
      <c r="F35" s="536"/>
      <c r="G35" s="543">
        <f t="shared" si="0"/>
        <v>0</v>
      </c>
      <c r="H35" s="544">
        <f t="shared" si="0"/>
        <v>0</v>
      </c>
    </row>
    <row r="36" spans="1:10" x14ac:dyDescent="0.25">
      <c r="A36" s="527">
        <v>31</v>
      </c>
      <c r="B36" s="526" t="s">
        <v>897</v>
      </c>
      <c r="C36" s="536">
        <v>339.64</v>
      </c>
      <c r="D36" s="536"/>
      <c r="E36" s="536">
        <v>1054.8800000000001</v>
      </c>
      <c r="F36" s="536"/>
      <c r="G36" s="543">
        <f t="shared" si="0"/>
        <v>715.24000000000012</v>
      </c>
      <c r="H36" s="544">
        <f t="shared" si="0"/>
        <v>0</v>
      </c>
    </row>
    <row r="37" spans="1:10" x14ac:dyDescent="0.25">
      <c r="A37" s="21">
        <v>32</v>
      </c>
      <c r="B37" s="238" t="s">
        <v>921</v>
      </c>
      <c r="C37" s="542">
        <f>SUM(C38:C43)</f>
        <v>285564.02</v>
      </c>
      <c r="D37" s="542">
        <f>SUM(D38:D43)</f>
        <v>0</v>
      </c>
      <c r="E37" s="542">
        <f>SUM(E38:E43)</f>
        <v>256669.4</v>
      </c>
      <c r="F37" s="542">
        <f>SUM(F38:F43)</f>
        <v>0</v>
      </c>
      <c r="G37" s="540">
        <f t="shared" si="0"/>
        <v>-28894.620000000024</v>
      </c>
      <c r="H37" s="541">
        <f t="shared" si="0"/>
        <v>0</v>
      </c>
      <c r="I37" s="715" t="s">
        <v>1034</v>
      </c>
    </row>
    <row r="38" spans="1:10" x14ac:dyDescent="0.25">
      <c r="A38" s="21">
        <f t="shared" si="1"/>
        <v>33</v>
      </c>
      <c r="B38" s="235" t="s">
        <v>671</v>
      </c>
      <c r="C38" s="536">
        <v>172191.35999999999</v>
      </c>
      <c r="D38" s="536"/>
      <c r="E38" s="536">
        <v>188962.32</v>
      </c>
      <c r="F38" s="536"/>
      <c r="G38" s="540">
        <f t="shared" si="0"/>
        <v>16770.960000000021</v>
      </c>
      <c r="H38" s="541">
        <f t="shared" si="0"/>
        <v>0</v>
      </c>
    </row>
    <row r="39" spans="1:10" x14ac:dyDescent="0.25">
      <c r="A39" s="21">
        <f t="shared" si="1"/>
        <v>34</v>
      </c>
      <c r="B39" s="235" t="s">
        <v>666</v>
      </c>
      <c r="C39" s="536">
        <v>92136.66</v>
      </c>
      <c r="D39" s="536"/>
      <c r="E39" s="536">
        <v>44061.5</v>
      </c>
      <c r="F39" s="536"/>
      <c r="G39" s="540">
        <f t="shared" si="0"/>
        <v>-48075.16</v>
      </c>
      <c r="H39" s="541">
        <f t="shared" si="0"/>
        <v>0</v>
      </c>
    </row>
    <row r="40" spans="1:10" x14ac:dyDescent="0.25">
      <c r="A40" s="21">
        <f t="shared" si="1"/>
        <v>35</v>
      </c>
      <c r="B40" s="235" t="s">
        <v>667</v>
      </c>
      <c r="C40" s="536">
        <v>6635</v>
      </c>
      <c r="D40" s="536"/>
      <c r="E40" s="536">
        <v>9654</v>
      </c>
      <c r="F40" s="536"/>
      <c r="G40" s="540">
        <f t="shared" si="0"/>
        <v>3019</v>
      </c>
      <c r="H40" s="541">
        <f t="shared" si="0"/>
        <v>0</v>
      </c>
    </row>
    <row r="41" spans="1:10" x14ac:dyDescent="0.25">
      <c r="A41" s="21">
        <f t="shared" si="1"/>
        <v>36</v>
      </c>
      <c r="B41" s="235" t="s">
        <v>668</v>
      </c>
      <c r="C41" s="536">
        <v>12744</v>
      </c>
      <c r="D41" s="536"/>
      <c r="E41" s="536">
        <v>13086.58</v>
      </c>
      <c r="F41" s="536"/>
      <c r="G41" s="540">
        <f t="shared" si="0"/>
        <v>342.57999999999993</v>
      </c>
      <c r="H41" s="541">
        <f t="shared" si="0"/>
        <v>0</v>
      </c>
    </row>
    <row r="42" spans="1:10" x14ac:dyDescent="0.25">
      <c r="A42" s="21">
        <f t="shared" si="1"/>
        <v>37</v>
      </c>
      <c r="B42" s="235" t="s">
        <v>669</v>
      </c>
      <c r="C42" s="536">
        <v>1857</v>
      </c>
      <c r="D42" s="536"/>
      <c r="E42" s="536">
        <v>905</v>
      </c>
      <c r="F42" s="536"/>
      <c r="G42" s="540">
        <f t="shared" si="0"/>
        <v>-952</v>
      </c>
      <c r="H42" s="541">
        <f t="shared" si="0"/>
        <v>0</v>
      </c>
    </row>
    <row r="43" spans="1:10" ht="15.75" customHeight="1" x14ac:dyDescent="0.25">
      <c r="A43" s="21">
        <f t="shared" si="1"/>
        <v>38</v>
      </c>
      <c r="B43" s="235" t="s">
        <v>670</v>
      </c>
      <c r="C43" s="536">
        <v>0</v>
      </c>
      <c r="D43" s="536"/>
      <c r="E43" s="536">
        <v>0</v>
      </c>
      <c r="F43" s="536"/>
      <c r="G43" s="540">
        <f t="shared" si="0"/>
        <v>0</v>
      </c>
      <c r="H43" s="541">
        <f t="shared" si="0"/>
        <v>0</v>
      </c>
    </row>
    <row r="44" spans="1:10" ht="15.75" customHeight="1" x14ac:dyDescent="0.25">
      <c r="A44" s="21">
        <f t="shared" si="1"/>
        <v>39</v>
      </c>
      <c r="B44" s="523" t="s">
        <v>922</v>
      </c>
      <c r="C44" s="536">
        <v>12370.53</v>
      </c>
      <c r="D44" s="536"/>
      <c r="E44" s="536">
        <v>1786.13</v>
      </c>
      <c r="F44" s="536"/>
      <c r="G44" s="540">
        <f t="shared" si="0"/>
        <v>-10584.400000000001</v>
      </c>
      <c r="H44" s="541">
        <f t="shared" si="0"/>
        <v>0</v>
      </c>
      <c r="I44" s="207"/>
    </row>
    <row r="45" spans="1:10" ht="15.75" customHeight="1" x14ac:dyDescent="0.25">
      <c r="A45" s="527">
        <v>40</v>
      </c>
      <c r="B45" s="526" t="s">
        <v>891</v>
      </c>
      <c r="C45" s="536">
        <v>0</v>
      </c>
      <c r="D45" s="536"/>
      <c r="E45" s="536">
        <v>0</v>
      </c>
      <c r="F45" s="536"/>
      <c r="G45" s="543">
        <f t="shared" ref="G45" si="3">E45-C45</f>
        <v>0</v>
      </c>
      <c r="H45" s="544">
        <f t="shared" ref="H45" si="4">F45-D45</f>
        <v>0</v>
      </c>
      <c r="I45" s="207"/>
    </row>
    <row r="46" spans="1:10" s="783" customFormat="1" ht="117.75" customHeight="1" x14ac:dyDescent="0.3">
      <c r="A46" s="777">
        <v>41</v>
      </c>
      <c r="B46" s="778" t="s">
        <v>900</v>
      </c>
      <c r="C46" s="779">
        <f>SUM(C47:C56)</f>
        <v>1863577.11</v>
      </c>
      <c r="D46" s="779">
        <f>SUM(D47:D56)</f>
        <v>654.44000000000005</v>
      </c>
      <c r="E46" s="779">
        <f>SUM(E47:E56)</f>
        <v>2461267.6100000003</v>
      </c>
      <c r="F46" s="779">
        <f>SUM(F47:F56)</f>
        <v>7.18</v>
      </c>
      <c r="G46" s="780">
        <f t="shared" si="0"/>
        <v>597690.50000000023</v>
      </c>
      <c r="H46" s="781">
        <f t="shared" si="0"/>
        <v>-647.2600000000001</v>
      </c>
      <c r="I46" s="785" t="s">
        <v>1107</v>
      </c>
      <c r="J46" s="782">
        <f>E75+E46-1825</f>
        <v>8494211.5</v>
      </c>
    </row>
    <row r="47" spans="1:10" x14ac:dyDescent="0.25">
      <c r="A47" s="21">
        <f t="shared" si="1"/>
        <v>42</v>
      </c>
      <c r="B47" s="235" t="s">
        <v>672</v>
      </c>
      <c r="C47" s="536">
        <f>1825+39078.01</f>
        <v>40903.01</v>
      </c>
      <c r="D47" s="536"/>
      <c r="E47" s="536">
        <f>131033.13</f>
        <v>131033.13</v>
      </c>
      <c r="F47" s="536"/>
      <c r="G47" s="540">
        <f t="shared" si="0"/>
        <v>90130.12</v>
      </c>
      <c r="H47" s="541">
        <f t="shared" si="0"/>
        <v>0</v>
      </c>
      <c r="I47" s="1">
        <f>39078.01+1825</f>
        <v>40903.01</v>
      </c>
    </row>
    <row r="48" spans="1:10" x14ac:dyDescent="0.25">
      <c r="A48" s="21">
        <f t="shared" si="1"/>
        <v>43</v>
      </c>
      <c r="B48" s="235" t="s">
        <v>673</v>
      </c>
      <c r="C48" s="536"/>
      <c r="D48" s="536"/>
      <c r="E48" s="536"/>
      <c r="F48" s="536"/>
      <c r="G48" s="540">
        <f t="shared" si="0"/>
        <v>0</v>
      </c>
      <c r="H48" s="541">
        <f t="shared" si="0"/>
        <v>0</v>
      </c>
    </row>
    <row r="49" spans="1:9" x14ac:dyDescent="0.25">
      <c r="A49" s="21">
        <f t="shared" si="1"/>
        <v>44</v>
      </c>
      <c r="B49" s="235" t="s">
        <v>35</v>
      </c>
      <c r="C49" s="536"/>
      <c r="D49" s="536"/>
      <c r="E49" s="536"/>
      <c r="F49" s="536"/>
      <c r="G49" s="540">
        <f t="shared" si="0"/>
        <v>0</v>
      </c>
      <c r="H49" s="541">
        <f t="shared" si="0"/>
        <v>0</v>
      </c>
    </row>
    <row r="50" spans="1:9" x14ac:dyDescent="0.25">
      <c r="A50" s="21">
        <f t="shared" si="1"/>
        <v>45</v>
      </c>
      <c r="B50" s="235" t="s">
        <v>36</v>
      </c>
      <c r="C50" s="536"/>
      <c r="D50" s="536"/>
      <c r="E50" s="536"/>
      <c r="F50" s="536"/>
      <c r="G50" s="540">
        <f t="shared" si="0"/>
        <v>0</v>
      </c>
      <c r="H50" s="541">
        <f t="shared" si="0"/>
        <v>0</v>
      </c>
      <c r="I50" s="723">
        <f>C46-1825</f>
        <v>1861752.11</v>
      </c>
    </row>
    <row r="51" spans="1:9" x14ac:dyDescent="0.25">
      <c r="A51" s="21">
        <f t="shared" si="1"/>
        <v>46</v>
      </c>
      <c r="B51" s="235" t="s">
        <v>37</v>
      </c>
      <c r="C51" s="536"/>
      <c r="D51" s="536"/>
      <c r="E51" s="536"/>
      <c r="F51" s="536"/>
      <c r="G51" s="540">
        <f t="shared" si="0"/>
        <v>0</v>
      </c>
      <c r="H51" s="541">
        <f t="shared" si="0"/>
        <v>0</v>
      </c>
      <c r="I51" s="723">
        <v>-4589104.2300000004</v>
      </c>
    </row>
    <row r="52" spans="1:9" x14ac:dyDescent="0.25">
      <c r="A52" s="21">
        <f t="shared" si="1"/>
        <v>47</v>
      </c>
      <c r="B52" s="235" t="s">
        <v>674</v>
      </c>
      <c r="C52" s="536">
        <v>1604181.56</v>
      </c>
      <c r="D52" s="536"/>
      <c r="E52" s="536">
        <v>2015900.78</v>
      </c>
      <c r="F52" s="536"/>
      <c r="G52" s="540">
        <f t="shared" si="0"/>
        <v>411719.22</v>
      </c>
      <c r="H52" s="541">
        <f t="shared" si="0"/>
        <v>0</v>
      </c>
      <c r="I52" s="723">
        <f>SUM(I50:I51)</f>
        <v>-2727352.12</v>
      </c>
    </row>
    <row r="53" spans="1:9" ht="15.75" customHeight="1" x14ac:dyDescent="0.25">
      <c r="A53" s="21">
        <f t="shared" si="1"/>
        <v>48</v>
      </c>
      <c r="B53" s="248" t="s">
        <v>675</v>
      </c>
      <c r="C53" s="536"/>
      <c r="D53" s="536"/>
      <c r="E53" s="536"/>
      <c r="F53" s="536"/>
      <c r="G53" s="540">
        <f t="shared" si="0"/>
        <v>0</v>
      </c>
      <c r="H53" s="541">
        <f t="shared" si="0"/>
        <v>0</v>
      </c>
    </row>
    <row r="54" spans="1:9" x14ac:dyDescent="0.25">
      <c r="A54" s="21">
        <f t="shared" si="1"/>
        <v>49</v>
      </c>
      <c r="B54" s="235" t="s">
        <v>38</v>
      </c>
      <c r="C54" s="536"/>
      <c r="D54" s="536"/>
      <c r="E54" s="536">
        <v>29.46</v>
      </c>
      <c r="F54" s="536"/>
      <c r="G54" s="540">
        <f t="shared" si="0"/>
        <v>29.46</v>
      </c>
      <c r="H54" s="541">
        <f t="shared" si="0"/>
        <v>0</v>
      </c>
    </row>
    <row r="55" spans="1:9" x14ac:dyDescent="0.25">
      <c r="A55" s="21">
        <f t="shared" si="1"/>
        <v>50</v>
      </c>
      <c r="B55" s="235" t="s">
        <v>676</v>
      </c>
      <c r="C55" s="536">
        <v>795</v>
      </c>
      <c r="D55" s="536"/>
      <c r="E55" s="536">
        <v>3175</v>
      </c>
      <c r="F55" s="536"/>
      <c r="G55" s="540">
        <f t="shared" si="0"/>
        <v>2380</v>
      </c>
      <c r="H55" s="541">
        <f t="shared" si="0"/>
        <v>0</v>
      </c>
    </row>
    <row r="56" spans="1:9" ht="15.75" customHeight="1" x14ac:dyDescent="0.25">
      <c r="A56" s="21">
        <f t="shared" si="1"/>
        <v>51</v>
      </c>
      <c r="B56" s="235" t="s">
        <v>909</v>
      </c>
      <c r="C56" s="536">
        <f>1918+215779.66-0.12</f>
        <v>217697.54</v>
      </c>
      <c r="D56" s="536">
        <v>654.44000000000005</v>
      </c>
      <c r="E56" s="536">
        <v>311129.24</v>
      </c>
      <c r="F56" s="536">
        <v>7.18</v>
      </c>
      <c r="G56" s="540">
        <f t="shared" si="0"/>
        <v>93431.699999999983</v>
      </c>
      <c r="H56" s="541">
        <f t="shared" si="0"/>
        <v>-647.2600000000001</v>
      </c>
      <c r="I56" s="172"/>
    </row>
    <row r="57" spans="1:9" ht="15.75" customHeight="1" x14ac:dyDescent="0.25">
      <c r="A57" s="21">
        <f t="shared" si="1"/>
        <v>52</v>
      </c>
      <c r="B57" s="247" t="s">
        <v>161</v>
      </c>
      <c r="C57" s="536">
        <v>217162.3</v>
      </c>
      <c r="D57" s="536"/>
      <c r="E57" s="536">
        <v>16510</v>
      </c>
      <c r="F57" s="536"/>
      <c r="G57" s="540">
        <f t="shared" si="0"/>
        <v>-200652.3</v>
      </c>
      <c r="H57" s="541">
        <f t="shared" si="0"/>
        <v>0</v>
      </c>
    </row>
    <row r="58" spans="1:9" ht="15.75" customHeight="1" x14ac:dyDescent="0.25">
      <c r="A58" s="21">
        <f t="shared" si="1"/>
        <v>53</v>
      </c>
      <c r="B58" s="247" t="s">
        <v>49</v>
      </c>
      <c r="C58" s="536"/>
      <c r="D58" s="536"/>
      <c r="E58" s="536"/>
      <c r="F58" s="536"/>
      <c r="G58" s="540">
        <f t="shared" si="0"/>
        <v>0</v>
      </c>
      <c r="H58" s="541">
        <f t="shared" si="0"/>
        <v>0</v>
      </c>
    </row>
    <row r="59" spans="1:9" ht="15.75" customHeight="1" x14ac:dyDescent="0.25">
      <c r="A59" s="21">
        <f t="shared" si="1"/>
        <v>54</v>
      </c>
      <c r="B59" s="247" t="s">
        <v>48</v>
      </c>
      <c r="C59" s="536"/>
      <c r="D59" s="536"/>
      <c r="E59" s="536"/>
      <c r="F59" s="536"/>
      <c r="G59" s="540">
        <f t="shared" si="0"/>
        <v>0</v>
      </c>
      <c r="H59" s="541">
        <f t="shared" si="0"/>
        <v>0</v>
      </c>
    </row>
    <row r="60" spans="1:9" ht="15.75" customHeight="1" x14ac:dyDescent="0.25">
      <c r="A60" s="21">
        <f t="shared" si="1"/>
        <v>55</v>
      </c>
      <c r="B60" s="247" t="s">
        <v>149</v>
      </c>
      <c r="C60" s="536"/>
      <c r="D60" s="536"/>
      <c r="E60" s="536">
        <v>86.1</v>
      </c>
      <c r="F60" s="536"/>
      <c r="G60" s="540">
        <f t="shared" si="0"/>
        <v>86.1</v>
      </c>
      <c r="H60" s="541">
        <f t="shared" si="0"/>
        <v>0</v>
      </c>
    </row>
    <row r="61" spans="1:9" ht="15.75" customHeight="1" x14ac:dyDescent="0.25">
      <c r="A61" s="21">
        <f t="shared" si="1"/>
        <v>56</v>
      </c>
      <c r="B61" s="247" t="s">
        <v>677</v>
      </c>
      <c r="C61" s="536"/>
      <c r="D61" s="536"/>
      <c r="E61" s="536"/>
      <c r="F61" s="536"/>
      <c r="G61" s="540">
        <f t="shared" si="0"/>
        <v>0</v>
      </c>
      <c r="H61" s="541">
        <f t="shared" si="0"/>
        <v>0</v>
      </c>
    </row>
    <row r="62" spans="1:9" ht="18.75" customHeight="1" x14ac:dyDescent="0.25">
      <c r="A62" s="21">
        <f t="shared" si="1"/>
        <v>57</v>
      </c>
      <c r="B62" s="245" t="s">
        <v>901</v>
      </c>
      <c r="C62" s="545">
        <f>SUM(C63:C67)</f>
        <v>2259082.88</v>
      </c>
      <c r="D62" s="545">
        <f>SUM(D63:D67)</f>
        <v>10420.65</v>
      </c>
      <c r="E62" s="545">
        <f>SUM(E63:E67)</f>
        <v>3922392.54</v>
      </c>
      <c r="F62" s="545">
        <f>SUM(F63:F67)</f>
        <v>21942.32</v>
      </c>
      <c r="G62" s="540">
        <f t="shared" si="0"/>
        <v>1663309.6600000001</v>
      </c>
      <c r="H62" s="541">
        <f t="shared" si="0"/>
        <v>11521.67</v>
      </c>
      <c r="I62" s="172"/>
    </row>
    <row r="63" spans="1:9" ht="15.75" customHeight="1" x14ac:dyDescent="0.25">
      <c r="A63" s="21">
        <f t="shared" si="1"/>
        <v>58</v>
      </c>
      <c r="B63" s="235" t="s">
        <v>96</v>
      </c>
      <c r="C63" s="536">
        <v>2170009.98</v>
      </c>
      <c r="D63" s="538">
        <v>10420.65</v>
      </c>
      <c r="E63" s="536">
        <v>3858565.54</v>
      </c>
      <c r="F63" s="538">
        <v>21942.32</v>
      </c>
      <c r="G63" s="540">
        <f t="shared" si="0"/>
        <v>1688555.56</v>
      </c>
      <c r="H63" s="541" t="s">
        <v>140</v>
      </c>
    </row>
    <row r="64" spans="1:9" ht="15.75" customHeight="1" x14ac:dyDescent="0.25">
      <c r="A64" s="21">
        <f t="shared" si="1"/>
        <v>59</v>
      </c>
      <c r="B64" s="235" t="s">
        <v>39</v>
      </c>
      <c r="C64" s="536">
        <v>89072.9</v>
      </c>
      <c r="D64" s="538" t="s">
        <v>140</v>
      </c>
      <c r="E64" s="536">
        <v>63827</v>
      </c>
      <c r="F64" s="538" t="s">
        <v>140</v>
      </c>
      <c r="G64" s="540">
        <f t="shared" si="0"/>
        <v>-25245.899999999994</v>
      </c>
      <c r="H64" s="541" t="s">
        <v>140</v>
      </c>
    </row>
    <row r="65" spans="1:9" ht="15.75" customHeight="1" x14ac:dyDescent="0.25">
      <c r="A65" s="21">
        <f t="shared" si="1"/>
        <v>60</v>
      </c>
      <c r="B65" s="235" t="s">
        <v>678</v>
      </c>
      <c r="C65" s="536"/>
      <c r="D65" s="538" t="s">
        <v>140</v>
      </c>
      <c r="E65" s="536"/>
      <c r="F65" s="538" t="s">
        <v>140</v>
      </c>
      <c r="G65" s="540">
        <f t="shared" si="0"/>
        <v>0</v>
      </c>
      <c r="H65" s="541" t="s">
        <v>140</v>
      </c>
    </row>
    <row r="66" spans="1:9" ht="15.75" customHeight="1" x14ac:dyDescent="0.25">
      <c r="A66" s="21">
        <f t="shared" si="1"/>
        <v>61</v>
      </c>
      <c r="B66" s="235" t="s">
        <v>549</v>
      </c>
      <c r="C66" s="536"/>
      <c r="D66" s="538" t="s">
        <v>140</v>
      </c>
      <c r="E66" s="536"/>
      <c r="F66" s="538" t="s">
        <v>140</v>
      </c>
      <c r="G66" s="540">
        <f t="shared" si="0"/>
        <v>0</v>
      </c>
      <c r="H66" s="541" t="s">
        <v>140</v>
      </c>
    </row>
    <row r="67" spans="1:9" ht="15.75" customHeight="1" x14ac:dyDescent="0.25">
      <c r="A67" s="21">
        <f t="shared" si="1"/>
        <v>62</v>
      </c>
      <c r="B67" s="523" t="s">
        <v>910</v>
      </c>
      <c r="C67" s="536"/>
      <c r="D67" s="538" t="s">
        <v>140</v>
      </c>
      <c r="E67" s="536"/>
      <c r="F67" s="538" t="s">
        <v>140</v>
      </c>
      <c r="G67" s="540">
        <f t="shared" si="0"/>
        <v>0</v>
      </c>
      <c r="H67" s="541" t="s">
        <v>140</v>
      </c>
    </row>
    <row r="68" spans="1:9" x14ac:dyDescent="0.25">
      <c r="A68" s="21">
        <f t="shared" si="1"/>
        <v>63</v>
      </c>
      <c r="B68" s="247" t="s">
        <v>162</v>
      </c>
      <c r="C68" s="536"/>
      <c r="D68" s="536"/>
      <c r="E68" s="536"/>
      <c r="F68" s="536"/>
      <c r="G68" s="540">
        <f t="shared" si="0"/>
        <v>0</v>
      </c>
      <c r="H68" s="541">
        <f t="shared" si="0"/>
        <v>0</v>
      </c>
    </row>
    <row r="69" spans="1:9" x14ac:dyDescent="0.25">
      <c r="A69" s="21">
        <f t="shared" si="1"/>
        <v>64</v>
      </c>
      <c r="B69" s="247" t="s">
        <v>679</v>
      </c>
      <c r="C69" s="536"/>
      <c r="D69" s="536">
        <v>120391.09</v>
      </c>
      <c r="E69" s="536"/>
      <c r="F69" s="536">
        <v>138157.54</v>
      </c>
      <c r="G69" s="540">
        <f t="shared" si="0"/>
        <v>0</v>
      </c>
      <c r="H69" s="541">
        <f t="shared" si="0"/>
        <v>17766.450000000012</v>
      </c>
    </row>
    <row r="70" spans="1:9" x14ac:dyDescent="0.25">
      <c r="A70" s="527">
        <v>65</v>
      </c>
      <c r="B70" s="529" t="s">
        <v>887</v>
      </c>
      <c r="C70" s="536"/>
      <c r="D70" s="536"/>
      <c r="E70" s="536"/>
      <c r="F70" s="536"/>
      <c r="G70" s="543">
        <f t="shared" si="0"/>
        <v>0</v>
      </c>
      <c r="H70" s="544">
        <f t="shared" si="0"/>
        <v>0</v>
      </c>
    </row>
    <row r="71" spans="1:9" x14ac:dyDescent="0.25">
      <c r="A71" s="21">
        <v>66</v>
      </c>
      <c r="B71" s="249" t="s">
        <v>50</v>
      </c>
      <c r="C71" s="536">
        <v>60477.62</v>
      </c>
      <c r="D71" s="536"/>
      <c r="E71" s="536">
        <v>28449.06</v>
      </c>
      <c r="F71" s="536"/>
      <c r="G71" s="540">
        <f t="shared" si="0"/>
        <v>-32028.560000000001</v>
      </c>
      <c r="H71" s="541">
        <f t="shared" si="0"/>
        <v>0</v>
      </c>
      <c r="I71" s="110"/>
    </row>
    <row r="72" spans="1:9" x14ac:dyDescent="0.25">
      <c r="A72" s="21">
        <v>67</v>
      </c>
      <c r="B72" s="249" t="s">
        <v>680</v>
      </c>
      <c r="C72" s="536"/>
      <c r="D72" s="536"/>
      <c r="E72" s="536"/>
      <c r="F72" s="536"/>
      <c r="G72" s="540">
        <f t="shared" si="0"/>
        <v>0</v>
      </c>
      <c r="H72" s="541">
        <f t="shared" si="0"/>
        <v>0</v>
      </c>
      <c r="I72" s="110"/>
    </row>
    <row r="73" spans="1:9" x14ac:dyDescent="0.25">
      <c r="A73" s="21">
        <v>68</v>
      </c>
      <c r="B73" s="250" t="s">
        <v>521</v>
      </c>
      <c r="C73" s="536"/>
      <c r="D73" s="536"/>
      <c r="E73" s="536"/>
      <c r="F73" s="536"/>
      <c r="G73" s="540">
        <f>E73-C73</f>
        <v>0</v>
      </c>
      <c r="H73" s="541">
        <f t="shared" si="0"/>
        <v>0</v>
      </c>
      <c r="I73" s="110"/>
    </row>
    <row r="74" spans="1:9" x14ac:dyDescent="0.25">
      <c r="A74" s="21">
        <v>69</v>
      </c>
      <c r="B74" s="250" t="s">
        <v>613</v>
      </c>
      <c r="C74" s="536"/>
      <c r="D74" s="536"/>
      <c r="E74" s="536"/>
      <c r="F74" s="536"/>
      <c r="G74" s="540">
        <f>E74-C74</f>
        <v>0</v>
      </c>
      <c r="H74" s="541">
        <f t="shared" si="0"/>
        <v>0</v>
      </c>
      <c r="I74" s="172"/>
    </row>
    <row r="75" spans="1:9" x14ac:dyDescent="0.25">
      <c r="A75" s="21">
        <v>70</v>
      </c>
      <c r="B75" s="249" t="s">
        <v>614</v>
      </c>
      <c r="C75" s="536">
        <f>4589104.23-14983.85</f>
        <v>4574120.3800000008</v>
      </c>
      <c r="D75" s="536">
        <v>71140.61</v>
      </c>
      <c r="E75" s="536">
        <v>6034768.8899999997</v>
      </c>
      <c r="F75" s="536">
        <v>69715.839999999997</v>
      </c>
      <c r="G75" s="540">
        <f>E75-C75</f>
        <v>1460648.5099999988</v>
      </c>
      <c r="H75" s="541">
        <f t="shared" si="0"/>
        <v>-1424.7700000000041</v>
      </c>
      <c r="I75" s="224"/>
    </row>
    <row r="76" spans="1:9" x14ac:dyDescent="0.25">
      <c r="A76" s="21">
        <v>71</v>
      </c>
      <c r="B76" s="247" t="s">
        <v>51</v>
      </c>
      <c r="C76" s="536">
        <v>52938244.049999997</v>
      </c>
      <c r="D76" s="536">
        <v>0</v>
      </c>
      <c r="E76" s="536">
        <v>60931622.490000002</v>
      </c>
      <c r="F76" s="536"/>
      <c r="G76" s="540">
        <f t="shared" si="0"/>
        <v>7993378.4400000051</v>
      </c>
      <c r="H76" s="541">
        <f t="shared" si="0"/>
        <v>0</v>
      </c>
    </row>
    <row r="77" spans="1:9" x14ac:dyDescent="0.25">
      <c r="A77" s="21">
        <v>72</v>
      </c>
      <c r="B77" s="251" t="s">
        <v>133</v>
      </c>
      <c r="C77" s="546"/>
      <c r="D77" s="546"/>
      <c r="E77" s="546"/>
      <c r="F77" s="546"/>
      <c r="G77" s="540">
        <f t="shared" si="0"/>
        <v>0</v>
      </c>
      <c r="H77" s="541">
        <f t="shared" si="0"/>
        <v>0</v>
      </c>
    </row>
    <row r="78" spans="1:9" x14ac:dyDescent="0.25">
      <c r="A78" s="21">
        <v>73</v>
      </c>
      <c r="B78" s="251" t="s">
        <v>57</v>
      </c>
      <c r="C78" s="539">
        <v>940398.02</v>
      </c>
      <c r="D78" s="539"/>
      <c r="E78" s="539">
        <v>853146.99</v>
      </c>
      <c r="F78" s="539"/>
      <c r="G78" s="540">
        <f t="shared" si="0"/>
        <v>-87251.030000000028</v>
      </c>
      <c r="H78" s="541">
        <f t="shared" si="0"/>
        <v>0</v>
      </c>
      <c r="I78" s="172"/>
    </row>
    <row r="79" spans="1:9" s="57" customFormat="1" ht="49.5" customHeight="1" thickBot="1" x14ac:dyDescent="0.3">
      <c r="A79" s="21">
        <v>74</v>
      </c>
      <c r="B79" s="528" t="s">
        <v>923</v>
      </c>
      <c r="C79" s="174">
        <f t="shared" ref="C79:D79" si="5">C6+C11+C16+C17+C18+C19+C20+C21+C24+C25+C37+C44+C45+C46+C57+C58+C59+C60+C61+C62+C68+C69+C70+C71+C72+C73+C74+C75+C76</f>
        <v>78617639.269999996</v>
      </c>
      <c r="D79" s="174">
        <f t="shared" si="5"/>
        <v>1523535.1800000002</v>
      </c>
      <c r="E79" s="174">
        <f>E6+E11+E16+E17+E18+E19+E20+E21+E24+E25+E37+E44+E45+E46+E57+E58+E59+E60+E61+E62+E68+E69+E70+E71+E72+E73+E74+E75+E76</f>
        <v>90612048.230000004</v>
      </c>
      <c r="F79" s="174">
        <f>F6+F11+F16+F17+F18+F19+F20+F21+F24+F25+F37+F44+F45+F46+F57+F58+F59+F60+F61+F62+F68+F69+F70+F71+F72+F73+F74+F75+F76</f>
        <v>2096340.7700000003</v>
      </c>
      <c r="G79" s="174">
        <f t="shared" ref="G79:H79" si="6">G6+G11+G16+G17+G18+G19+G20+G21+G24+G25+G37+G44+G45+G46+G57+G58+G59+G60+G61+G62+G68+G69+G70+G71+G72+G73+G74+G76</f>
        <v>10533760.450000007</v>
      </c>
      <c r="H79" s="174">
        <f t="shared" si="6"/>
        <v>574230.3600000001</v>
      </c>
    </row>
    <row r="80" spans="1:9" ht="21" customHeight="1" x14ac:dyDescent="0.25">
      <c r="B80" s="3"/>
      <c r="C80" s="547"/>
      <c r="D80" s="548">
        <f>C79+D79</f>
        <v>80141174.450000003</v>
      </c>
      <c r="E80" s="725"/>
      <c r="F80" s="548">
        <f>E79+F79</f>
        <v>92708389</v>
      </c>
      <c r="G80" s="547"/>
      <c r="H80" s="547"/>
      <c r="I80" s="170" t="s">
        <v>515</v>
      </c>
    </row>
    <row r="81" spans="1:9" ht="15.75" customHeight="1" x14ac:dyDescent="0.25">
      <c r="A81" s="798" t="s">
        <v>916</v>
      </c>
      <c r="B81" s="799"/>
      <c r="C81" s="799"/>
      <c r="D81" s="799"/>
      <c r="E81" s="799"/>
      <c r="F81" s="799"/>
      <c r="G81" s="799"/>
      <c r="H81" s="800"/>
      <c r="I81" s="172"/>
    </row>
    <row r="82" spans="1:9" ht="15.75" customHeight="1" x14ac:dyDescent="0.25">
      <c r="A82" s="801" t="s">
        <v>758</v>
      </c>
      <c r="B82" s="802"/>
      <c r="C82" s="802"/>
      <c r="D82" s="802"/>
      <c r="E82" s="802"/>
      <c r="F82" s="802"/>
      <c r="G82" s="802"/>
      <c r="H82" s="803"/>
      <c r="I82" s="110"/>
    </row>
    <row r="84" spans="1:9" x14ac:dyDescent="0.25">
      <c r="C84" s="730"/>
      <c r="D84" s="730"/>
      <c r="H84" s="209" t="s">
        <v>1084</v>
      </c>
      <c r="I84" s="210"/>
    </row>
    <row r="85" spans="1:9" ht="18.75" customHeight="1" x14ac:dyDescent="0.25">
      <c r="C85" s="731"/>
      <c r="D85" s="731"/>
      <c r="F85" s="724"/>
      <c r="H85" s="217" t="s">
        <v>1085</v>
      </c>
      <c r="I85" s="210"/>
    </row>
    <row r="86" spans="1:9" x14ac:dyDescent="0.25">
      <c r="H86" s="730" t="s">
        <v>1104</v>
      </c>
    </row>
  </sheetData>
  <mergeCells count="9">
    <mergeCell ref="A81:H81"/>
    <mergeCell ref="A82:H82"/>
    <mergeCell ref="A1:H1"/>
    <mergeCell ref="A2:H2"/>
    <mergeCell ref="A3:A4"/>
    <mergeCell ref="B3:B4"/>
    <mergeCell ref="C3:D3"/>
    <mergeCell ref="E3:F3"/>
    <mergeCell ref="G3:H3"/>
  </mergeCells>
  <printOptions gridLines="1"/>
  <pageMargins left="0.24" right="0.31496062992125984" top="0.43307086614173229" bottom="0.47244094488188981" header="0.39370078740157483" footer="0.23622047244094491"/>
  <pageSetup paperSize="9" scale="48" fitToWidth="2" fitToHeight="2" orientation="landscape" r:id="rId1"/>
  <headerFooter alignWithMargins="0">
    <oddFooter>&amp;C&amp;P z &amp;N</oddFooter>
  </headerFooter>
  <rowBreaks count="1" manualBreakCount="1">
    <brk id="4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opLeftCell="A7" zoomScaleNormal="100" workbookViewId="0">
      <selection activeCell="G34" sqref="G34"/>
    </sheetView>
  </sheetViews>
  <sheetFormatPr defaultColWidth="9.140625" defaultRowHeight="15.75" x14ac:dyDescent="0.25"/>
  <cols>
    <col min="1" max="1" width="7.85546875" style="3" customWidth="1"/>
    <col min="2" max="2" width="98.28515625" style="5" customWidth="1"/>
    <col min="3" max="3" width="16.85546875" style="1" customWidth="1"/>
    <col min="4" max="4" width="17.28515625" style="1" customWidth="1"/>
    <col min="5" max="6" width="9.140625" style="1"/>
    <col min="7" max="7" width="9.140625" style="1" customWidth="1"/>
    <col min="8" max="16384" width="9.140625" style="1"/>
  </cols>
  <sheetData>
    <row r="1" spans="1:7" s="259" customFormat="1" ht="45.75" customHeight="1" thickBot="1" x14ac:dyDescent="0.3">
      <c r="A1" s="792" t="s">
        <v>811</v>
      </c>
      <c r="B1" s="793"/>
      <c r="C1" s="793"/>
      <c r="D1" s="794"/>
    </row>
    <row r="2" spans="1:7" s="259" customFormat="1" ht="37.5" customHeight="1" x14ac:dyDescent="0.25">
      <c r="A2" s="813" t="s">
        <v>1056</v>
      </c>
      <c r="B2" s="814"/>
      <c r="C2" s="814"/>
      <c r="D2" s="815"/>
    </row>
    <row r="3" spans="1:7" s="260" customFormat="1" ht="31.5" x14ac:dyDescent="0.25">
      <c r="A3" s="520" t="s">
        <v>80</v>
      </c>
      <c r="B3" s="521" t="s">
        <v>153</v>
      </c>
      <c r="C3" s="521">
        <v>2022</v>
      </c>
      <c r="D3" s="263">
        <v>2023</v>
      </c>
    </row>
    <row r="4" spans="1:7" s="260" customFormat="1" x14ac:dyDescent="0.25">
      <c r="A4" s="520"/>
      <c r="B4" s="521"/>
      <c r="C4" s="521" t="s">
        <v>119</v>
      </c>
      <c r="D4" s="263" t="s">
        <v>120</v>
      </c>
      <c r="E4" s="264"/>
    </row>
    <row r="5" spans="1:7" x14ac:dyDescent="0.25">
      <c r="A5" s="21">
        <v>1</v>
      </c>
      <c r="B5" s="243" t="s">
        <v>898</v>
      </c>
      <c r="C5" s="552">
        <f>SUM(C6:C15)</f>
        <v>14376031.51</v>
      </c>
      <c r="D5" s="553">
        <f>SUM(D6:D15)</f>
        <v>14438759.530000001</v>
      </c>
      <c r="E5" s="154"/>
    </row>
    <row r="6" spans="1:7" x14ac:dyDescent="0.25">
      <c r="A6" s="21">
        <v>2</v>
      </c>
      <c r="B6" s="239" t="s">
        <v>681</v>
      </c>
      <c r="C6" s="530"/>
      <c r="D6" s="549"/>
      <c r="E6" s="8"/>
      <c r="G6" s="110"/>
    </row>
    <row r="7" spans="1:7" x14ac:dyDescent="0.25">
      <c r="A7" s="21">
        <v>3</v>
      </c>
      <c r="B7" s="239" t="s">
        <v>682</v>
      </c>
      <c r="C7" s="530">
        <v>274831.09999999998</v>
      </c>
      <c r="D7" s="549">
        <v>162195</v>
      </c>
      <c r="E7" s="8"/>
      <c r="G7" s="110"/>
    </row>
    <row r="8" spans="1:7" x14ac:dyDescent="0.25">
      <c r="A8" s="21">
        <v>4</v>
      </c>
      <c r="B8" s="239" t="s">
        <v>683</v>
      </c>
      <c r="C8" s="530">
        <v>13373320</v>
      </c>
      <c r="D8" s="549">
        <v>13595858.66</v>
      </c>
      <c r="E8" s="8"/>
      <c r="G8" s="110"/>
    </row>
    <row r="9" spans="1:7" x14ac:dyDescent="0.25">
      <c r="A9" s="21">
        <v>5</v>
      </c>
      <c r="B9" s="244" t="s">
        <v>684</v>
      </c>
      <c r="C9" s="530">
        <v>329337.25</v>
      </c>
      <c r="D9" s="549">
        <v>307232.39</v>
      </c>
      <c r="E9" s="8"/>
      <c r="G9" s="110"/>
    </row>
    <row r="10" spans="1:7" x14ac:dyDescent="0.25">
      <c r="A10" s="21">
        <v>6</v>
      </c>
      <c r="B10" s="526" t="s">
        <v>892</v>
      </c>
      <c r="C10" s="530">
        <v>397954.52</v>
      </c>
      <c r="D10" s="549">
        <v>370784.82</v>
      </c>
      <c r="E10" s="8"/>
      <c r="G10" s="110"/>
    </row>
    <row r="11" spans="1:7" x14ac:dyDescent="0.25">
      <c r="A11" s="21">
        <v>7</v>
      </c>
      <c r="B11" s="526" t="s">
        <v>893</v>
      </c>
      <c r="C11" s="530">
        <v>249</v>
      </c>
      <c r="D11" s="549">
        <v>353</v>
      </c>
      <c r="E11" s="8"/>
      <c r="G11" s="110"/>
    </row>
    <row r="12" spans="1:7" x14ac:dyDescent="0.25">
      <c r="A12" s="21">
        <v>8</v>
      </c>
      <c r="B12" s="526" t="s">
        <v>894</v>
      </c>
      <c r="C12" s="530">
        <v>0</v>
      </c>
      <c r="D12" s="549">
        <v>0.78</v>
      </c>
      <c r="E12" s="8"/>
      <c r="G12" s="110"/>
    </row>
    <row r="13" spans="1:7" x14ac:dyDescent="0.25">
      <c r="A13" s="21">
        <v>9</v>
      </c>
      <c r="B13" s="526" t="s">
        <v>895</v>
      </c>
      <c r="C13" s="530">
        <v>0</v>
      </c>
      <c r="D13" s="549">
        <v>1280</v>
      </c>
      <c r="E13" s="8"/>
      <c r="G13" s="110"/>
    </row>
    <row r="14" spans="1:7" x14ac:dyDescent="0.25">
      <c r="A14" s="21">
        <v>10</v>
      </c>
      <c r="B14" s="526" t="s">
        <v>896</v>
      </c>
      <c r="C14" s="530">
        <v>0</v>
      </c>
      <c r="D14" s="549">
        <v>0</v>
      </c>
      <c r="E14" s="8"/>
      <c r="G14" s="110"/>
    </row>
    <row r="15" spans="1:7" x14ac:dyDescent="0.25">
      <c r="A15" s="21">
        <v>11</v>
      </c>
      <c r="B15" s="526" t="s">
        <v>897</v>
      </c>
      <c r="C15" s="530">
        <v>339.64</v>
      </c>
      <c r="D15" s="549">
        <v>1054.8800000000001</v>
      </c>
      <c r="E15" s="8"/>
      <c r="G15" s="110"/>
    </row>
    <row r="16" spans="1:7" x14ac:dyDescent="0.25">
      <c r="A16" s="21">
        <v>12</v>
      </c>
      <c r="B16" s="241" t="s">
        <v>920</v>
      </c>
      <c r="C16" s="532">
        <f>SUM(C17:C22)</f>
        <v>285564.02</v>
      </c>
      <c r="D16" s="532">
        <f>SUM(D17:D22)</f>
        <v>256669.4</v>
      </c>
      <c r="F16" s="1" t="s">
        <v>1033</v>
      </c>
    </row>
    <row r="17" spans="1:5" x14ac:dyDescent="0.25">
      <c r="A17" s="21">
        <v>13</v>
      </c>
      <c r="B17" s="239" t="s">
        <v>537</v>
      </c>
      <c r="C17" s="530">
        <v>172191.35999999999</v>
      </c>
      <c r="D17" s="549">
        <v>188962.32</v>
      </c>
    </row>
    <row r="18" spans="1:5" x14ac:dyDescent="0.25">
      <c r="A18" s="21">
        <v>14</v>
      </c>
      <c r="B18" s="239" t="s">
        <v>538</v>
      </c>
      <c r="C18" s="530">
        <v>92136.66</v>
      </c>
      <c r="D18" s="549">
        <v>44061.5</v>
      </c>
    </row>
    <row r="19" spans="1:5" x14ac:dyDescent="0.25">
      <c r="A19" s="21">
        <v>15</v>
      </c>
      <c r="B19" s="239" t="s">
        <v>685</v>
      </c>
      <c r="C19" s="530">
        <v>6635</v>
      </c>
      <c r="D19" s="549">
        <v>9654</v>
      </c>
    </row>
    <row r="20" spans="1:5" x14ac:dyDescent="0.25">
      <c r="A20" s="21">
        <v>16</v>
      </c>
      <c r="B20" s="239" t="s">
        <v>539</v>
      </c>
      <c r="C20" s="530">
        <v>12744</v>
      </c>
      <c r="D20" s="549">
        <v>13086.58</v>
      </c>
    </row>
    <row r="21" spans="1:5" ht="31.5" x14ac:dyDescent="0.25">
      <c r="A21" s="21">
        <v>17</v>
      </c>
      <c r="B21" s="239" t="s">
        <v>540</v>
      </c>
      <c r="C21" s="530">
        <v>1857</v>
      </c>
      <c r="D21" s="549">
        <v>905</v>
      </c>
    </row>
    <row r="22" spans="1:5" x14ac:dyDescent="0.25">
      <c r="A22" s="21">
        <v>18</v>
      </c>
      <c r="B22" s="239" t="s">
        <v>686</v>
      </c>
      <c r="C22" s="530">
        <v>0</v>
      </c>
      <c r="D22" s="549">
        <v>0</v>
      </c>
    </row>
    <row r="23" spans="1:5" x14ac:dyDescent="0.25">
      <c r="A23" s="21">
        <v>19</v>
      </c>
      <c r="B23" s="526" t="s">
        <v>891</v>
      </c>
      <c r="C23" s="530">
        <v>0</v>
      </c>
      <c r="D23" s="549">
        <v>0</v>
      </c>
    </row>
    <row r="24" spans="1:5" x14ac:dyDescent="0.25">
      <c r="A24" s="21">
        <v>20</v>
      </c>
      <c r="B24" s="241" t="s">
        <v>99</v>
      </c>
      <c r="C24" s="532">
        <f>(C6+C7)*0.2</f>
        <v>54966.22</v>
      </c>
      <c r="D24" s="554">
        <f>(D6+D7)*0.2</f>
        <v>32439</v>
      </c>
    </row>
    <row r="25" spans="1:5" ht="16.5" thickBot="1" x14ac:dyDescent="0.3">
      <c r="A25" s="22">
        <v>21</v>
      </c>
      <c r="B25" s="265" t="s">
        <v>159</v>
      </c>
      <c r="C25" s="550">
        <v>85985.06</v>
      </c>
      <c r="D25" s="551">
        <v>50698.78</v>
      </c>
    </row>
    <row r="26" spans="1:5" x14ac:dyDescent="0.25">
      <c r="B26" s="7"/>
      <c r="E26" s="1" t="s">
        <v>1065</v>
      </c>
    </row>
    <row r="27" spans="1:5" x14ac:dyDescent="0.25">
      <c r="A27" s="145"/>
      <c r="B27" s="161"/>
    </row>
    <row r="28" spans="1:5" x14ac:dyDescent="0.25">
      <c r="B28" s="152"/>
    </row>
    <row r="29" spans="1:5" x14ac:dyDescent="0.25">
      <c r="B29" s="152"/>
    </row>
    <row r="30" spans="1:5" x14ac:dyDescent="0.25">
      <c r="B30" s="7"/>
    </row>
    <row r="31" spans="1:5" x14ac:dyDescent="0.25">
      <c r="B31" s="7"/>
    </row>
    <row r="32" spans="1:5" x14ac:dyDescent="0.25">
      <c r="B32" s="7"/>
    </row>
    <row r="33" spans="2:2" x14ac:dyDescent="0.25">
      <c r="B33" s="7"/>
    </row>
  </sheetData>
  <mergeCells count="2">
    <mergeCell ref="A1:D1"/>
    <mergeCell ref="A2:D2"/>
  </mergeCells>
  <pageMargins left="0.70866141732283472" right="0.2" top="0.74803149606299213" bottom="0.74803149606299213" header="0.31496062992125984" footer="0.31496062992125984"/>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94"/>
  <sheetViews>
    <sheetView zoomScaleNormal="100" zoomScaleSheetLayoutView="80" workbookViewId="0">
      <pane xSplit="2" ySplit="5" topLeftCell="D102" activePane="bottomRight" state="frozen"/>
      <selection sqref="A1:K1"/>
      <selection pane="topRight" sqref="A1:K1"/>
      <selection pane="bottomLeft" sqref="A1:K1"/>
      <selection pane="bottomRight" activeCell="D5" sqref="D5"/>
    </sheetView>
  </sheetViews>
  <sheetFormatPr defaultColWidth="9.140625" defaultRowHeight="15.75" x14ac:dyDescent="0.25"/>
  <cols>
    <col min="1" max="1" width="8.42578125" style="222" customWidth="1"/>
    <col min="2" max="2" width="74.140625" style="223" customWidth="1"/>
    <col min="3" max="3" width="18" style="209" customWidth="1"/>
    <col min="4" max="7" width="17" style="209" customWidth="1"/>
    <col min="8" max="8" width="18" style="209" customWidth="1"/>
    <col min="9" max="9" width="28.85546875" style="210" customWidth="1"/>
    <col min="10" max="10" width="23" style="209" customWidth="1"/>
    <col min="11" max="11" width="13.42578125" style="209" customWidth="1"/>
    <col min="12" max="16384" width="9.140625" style="209"/>
  </cols>
  <sheetData>
    <row r="1" spans="1:9" s="266" customFormat="1" ht="35.1" customHeight="1" thickBot="1" x14ac:dyDescent="0.3">
      <c r="A1" s="816" t="s">
        <v>812</v>
      </c>
      <c r="B1" s="817"/>
      <c r="C1" s="817"/>
      <c r="D1" s="817"/>
      <c r="E1" s="817"/>
      <c r="F1" s="817"/>
      <c r="G1" s="817"/>
      <c r="H1" s="818"/>
      <c r="I1" s="267"/>
    </row>
    <row r="2" spans="1:9" s="266" customFormat="1" ht="32.450000000000003" customHeight="1" x14ac:dyDescent="0.25">
      <c r="A2" s="819" t="s">
        <v>1057</v>
      </c>
      <c r="B2" s="820"/>
      <c r="C2" s="820"/>
      <c r="D2" s="820"/>
      <c r="E2" s="820"/>
      <c r="F2" s="820"/>
      <c r="G2" s="820"/>
      <c r="H2" s="821"/>
      <c r="I2" s="267"/>
    </row>
    <row r="3" spans="1:9" s="269" customFormat="1" ht="31.5" customHeight="1" x14ac:dyDescent="0.25">
      <c r="A3" s="822" t="s">
        <v>80</v>
      </c>
      <c r="B3" s="823" t="s">
        <v>153</v>
      </c>
      <c r="C3" s="825">
        <v>2022</v>
      </c>
      <c r="D3" s="825"/>
      <c r="E3" s="825">
        <v>2023</v>
      </c>
      <c r="F3" s="825"/>
      <c r="G3" s="826" t="s">
        <v>810</v>
      </c>
      <c r="H3" s="827"/>
      <c r="I3" s="268"/>
    </row>
    <row r="4" spans="1:9" s="266" customFormat="1" ht="31.5" customHeight="1" x14ac:dyDescent="0.25">
      <c r="A4" s="822"/>
      <c r="B4" s="824"/>
      <c r="C4" s="270" t="s">
        <v>154</v>
      </c>
      <c r="D4" s="270" t="s">
        <v>155</v>
      </c>
      <c r="E4" s="270" t="s">
        <v>154</v>
      </c>
      <c r="F4" s="270" t="s">
        <v>155</v>
      </c>
      <c r="G4" s="270" t="s">
        <v>154</v>
      </c>
      <c r="H4" s="271" t="s">
        <v>155</v>
      </c>
      <c r="I4" s="267"/>
    </row>
    <row r="5" spans="1:9" s="266" customFormat="1" x14ac:dyDescent="0.25">
      <c r="A5" s="272"/>
      <c r="B5" s="273"/>
      <c r="C5" s="274" t="s">
        <v>119</v>
      </c>
      <c r="D5" s="274" t="s">
        <v>120</v>
      </c>
      <c r="E5" s="274" t="s">
        <v>121</v>
      </c>
      <c r="F5" s="274" t="s">
        <v>127</v>
      </c>
      <c r="G5" s="274" t="s">
        <v>9</v>
      </c>
      <c r="H5" s="275" t="s">
        <v>10</v>
      </c>
      <c r="I5" s="267"/>
    </row>
    <row r="6" spans="1:9" x14ac:dyDescent="0.25">
      <c r="A6" s="211">
        <v>1</v>
      </c>
      <c r="B6" s="276" t="s">
        <v>554</v>
      </c>
      <c r="C6" s="555">
        <f>SUM(C7:C18)</f>
        <v>4341268.76</v>
      </c>
      <c r="D6" s="555">
        <f>SUM(D7:D18)</f>
        <v>434727.86</v>
      </c>
      <c r="E6" s="555">
        <f>SUM(E7:E18)</f>
        <v>5119650.58</v>
      </c>
      <c r="F6" s="555">
        <f>SUM(F7:F18)</f>
        <v>509671.41000000003</v>
      </c>
      <c r="G6" s="555">
        <f>E6-C6</f>
        <v>778381.8200000003</v>
      </c>
      <c r="H6" s="556">
        <f>F6-D6</f>
        <v>74943.550000000047</v>
      </c>
    </row>
    <row r="7" spans="1:9" ht="17.25" customHeight="1" x14ac:dyDescent="0.25">
      <c r="A7" s="211">
        <f>A6+1</f>
        <v>2</v>
      </c>
      <c r="B7" s="277" t="s">
        <v>687</v>
      </c>
      <c r="C7" s="557">
        <v>70104.22</v>
      </c>
      <c r="D7" s="557">
        <v>447.63</v>
      </c>
      <c r="E7" s="557">
        <v>65931.59</v>
      </c>
      <c r="F7" s="557">
        <v>257.23</v>
      </c>
      <c r="G7" s="558">
        <f>E7-C7</f>
        <v>-4172.6300000000047</v>
      </c>
      <c r="H7" s="559">
        <f>F7-D7</f>
        <v>-190.39999999999998</v>
      </c>
    </row>
    <row r="8" spans="1:9" ht="30.6" customHeight="1" x14ac:dyDescent="0.25">
      <c r="A8" s="211">
        <f t="shared" ref="A8:A72" si="0">A7+1</f>
        <v>3</v>
      </c>
      <c r="B8" s="278" t="s">
        <v>688</v>
      </c>
      <c r="C8" s="557">
        <v>1767631.75</v>
      </c>
      <c r="D8" s="557">
        <v>7333.45</v>
      </c>
      <c r="E8" s="557">
        <v>2551761.65</v>
      </c>
      <c r="F8" s="557">
        <v>6515.65</v>
      </c>
      <c r="G8" s="558">
        <f t="shared" ref="G8:H72" si="1">E8-C8</f>
        <v>784129.89999999991</v>
      </c>
      <c r="H8" s="559">
        <f t="shared" si="1"/>
        <v>-817.80000000000018</v>
      </c>
    </row>
    <row r="9" spans="1:9" x14ac:dyDescent="0.25">
      <c r="A9" s="211">
        <f t="shared" si="0"/>
        <v>4</v>
      </c>
      <c r="B9" s="277" t="s">
        <v>689</v>
      </c>
      <c r="C9" s="557">
        <v>181748.58</v>
      </c>
      <c r="D9" s="557">
        <v>1949.01</v>
      </c>
      <c r="E9" s="557">
        <v>246471.74</v>
      </c>
      <c r="F9" s="557">
        <v>2937.58</v>
      </c>
      <c r="G9" s="558">
        <f t="shared" si="1"/>
        <v>64723.16</v>
      </c>
      <c r="H9" s="559">
        <f t="shared" si="1"/>
        <v>988.56999999999994</v>
      </c>
    </row>
    <row r="10" spans="1:9" x14ac:dyDescent="0.25">
      <c r="A10" s="211">
        <f t="shared" si="0"/>
        <v>5</v>
      </c>
      <c r="B10" s="277" t="s">
        <v>690</v>
      </c>
      <c r="C10" s="557">
        <v>18797.63</v>
      </c>
      <c r="D10" s="557">
        <v>1070.08</v>
      </c>
      <c r="E10" s="557">
        <v>28077.56</v>
      </c>
      <c r="F10" s="557">
        <v>3898.59</v>
      </c>
      <c r="G10" s="558">
        <f t="shared" si="1"/>
        <v>9279.93</v>
      </c>
      <c r="H10" s="559">
        <f t="shared" si="1"/>
        <v>2828.51</v>
      </c>
    </row>
    <row r="11" spans="1:9" x14ac:dyDescent="0.25">
      <c r="A11" s="211">
        <f t="shared" si="0"/>
        <v>6</v>
      </c>
      <c r="B11" s="277" t="s">
        <v>691</v>
      </c>
      <c r="C11" s="557">
        <v>32930.89</v>
      </c>
      <c r="D11" s="557">
        <v>4779.7700000000004</v>
      </c>
      <c r="E11" s="557">
        <v>27135.79</v>
      </c>
      <c r="F11" s="557">
        <v>5851.51</v>
      </c>
      <c r="G11" s="558">
        <f t="shared" si="1"/>
        <v>-5795.0999999999985</v>
      </c>
      <c r="H11" s="559">
        <f t="shared" si="1"/>
        <v>1071.7399999999998</v>
      </c>
    </row>
    <row r="12" spans="1:9" x14ac:dyDescent="0.25">
      <c r="A12" s="211">
        <f t="shared" si="0"/>
        <v>7</v>
      </c>
      <c r="B12" s="524" t="s">
        <v>902</v>
      </c>
      <c r="C12" s="557">
        <v>97150.18</v>
      </c>
      <c r="D12" s="557">
        <v>17527.34</v>
      </c>
      <c r="E12" s="557">
        <v>135613.47</v>
      </c>
      <c r="F12" s="557">
        <v>15552.92</v>
      </c>
      <c r="G12" s="558">
        <f t="shared" si="1"/>
        <v>38463.290000000008</v>
      </c>
      <c r="H12" s="559">
        <f t="shared" si="1"/>
        <v>-1974.42</v>
      </c>
    </row>
    <row r="13" spans="1:9" x14ac:dyDescent="0.25">
      <c r="A13" s="211">
        <f t="shared" si="0"/>
        <v>8</v>
      </c>
      <c r="B13" s="277" t="s">
        <v>692</v>
      </c>
      <c r="C13" s="557">
        <v>114910.53</v>
      </c>
      <c r="D13" s="557">
        <v>5318.68</v>
      </c>
      <c r="E13" s="557">
        <v>133830.57999999999</v>
      </c>
      <c r="F13" s="557">
        <v>5851.39</v>
      </c>
      <c r="G13" s="558">
        <f t="shared" si="1"/>
        <v>18920.049999999988</v>
      </c>
      <c r="H13" s="559">
        <f t="shared" si="1"/>
        <v>532.71</v>
      </c>
    </row>
    <row r="14" spans="1:9" x14ac:dyDescent="0.25">
      <c r="A14" s="211">
        <f t="shared" si="0"/>
        <v>9</v>
      </c>
      <c r="B14" s="277" t="s">
        <v>775</v>
      </c>
      <c r="C14" s="557">
        <v>309920.34000000003</v>
      </c>
      <c r="D14" s="557">
        <v>345347.05</v>
      </c>
      <c r="E14" s="557">
        <v>323221.51</v>
      </c>
      <c r="F14" s="557">
        <v>417007.37</v>
      </c>
      <c r="G14" s="558">
        <f t="shared" si="1"/>
        <v>13301.169999999984</v>
      </c>
      <c r="H14" s="559">
        <f t="shared" si="1"/>
        <v>71660.320000000007</v>
      </c>
      <c r="I14" s="172"/>
    </row>
    <row r="15" spans="1:9" x14ac:dyDescent="0.25">
      <c r="A15" s="211">
        <f t="shared" si="0"/>
        <v>10</v>
      </c>
      <c r="B15" s="279" t="s">
        <v>693</v>
      </c>
      <c r="C15" s="557">
        <v>569969.29</v>
      </c>
      <c r="D15" s="557">
        <v>1671.85</v>
      </c>
      <c r="E15" s="557">
        <v>542996.11</v>
      </c>
      <c r="F15" s="557">
        <v>15260</v>
      </c>
      <c r="G15" s="558">
        <f t="shared" si="1"/>
        <v>-26973.180000000051</v>
      </c>
      <c r="H15" s="559">
        <f t="shared" si="1"/>
        <v>13588.15</v>
      </c>
    </row>
    <row r="16" spans="1:9" ht="16.149999999999999" customHeight="1" x14ac:dyDescent="0.25">
      <c r="A16" s="211">
        <f t="shared" si="0"/>
        <v>11</v>
      </c>
      <c r="B16" s="277" t="s">
        <v>40</v>
      </c>
      <c r="C16" s="557">
        <v>467376.27</v>
      </c>
      <c r="D16" s="557">
        <v>1153.1400000000001</v>
      </c>
      <c r="E16" s="557">
        <v>172900.37</v>
      </c>
      <c r="F16" s="557">
        <v>4185.7</v>
      </c>
      <c r="G16" s="558">
        <f t="shared" si="1"/>
        <v>-294475.90000000002</v>
      </c>
      <c r="H16" s="559">
        <f t="shared" si="1"/>
        <v>3032.5599999999995</v>
      </c>
    </row>
    <row r="17" spans="1:9" ht="31.5" x14ac:dyDescent="0.25">
      <c r="A17" s="211">
        <f t="shared" si="0"/>
        <v>12</v>
      </c>
      <c r="B17" s="279" t="s">
        <v>694</v>
      </c>
      <c r="C17" s="557">
        <v>656529.65</v>
      </c>
      <c r="D17" s="557">
        <v>45717.25</v>
      </c>
      <c r="E17" s="557">
        <v>868251.73</v>
      </c>
      <c r="F17" s="557">
        <v>32078.57</v>
      </c>
      <c r="G17" s="558">
        <f t="shared" si="1"/>
        <v>211722.07999999996</v>
      </c>
      <c r="H17" s="559">
        <f t="shared" si="1"/>
        <v>-13638.68</v>
      </c>
      <c r="I17" s="212"/>
    </row>
    <row r="18" spans="1:9" ht="15.75" customHeight="1" x14ac:dyDescent="0.25">
      <c r="A18" s="211">
        <f t="shared" si="0"/>
        <v>13</v>
      </c>
      <c r="B18" s="524" t="s">
        <v>903</v>
      </c>
      <c r="C18" s="557">
        <v>54199.43</v>
      </c>
      <c r="D18" s="557">
        <v>2412.61</v>
      </c>
      <c r="E18" s="557">
        <v>23458.48</v>
      </c>
      <c r="F18" s="557">
        <v>274.89999999999998</v>
      </c>
      <c r="G18" s="558">
        <f t="shared" si="1"/>
        <v>-30740.95</v>
      </c>
      <c r="H18" s="559">
        <f t="shared" si="1"/>
        <v>-2137.71</v>
      </c>
      <c r="I18" s="212"/>
    </row>
    <row r="19" spans="1:9" x14ac:dyDescent="0.25">
      <c r="A19" s="211">
        <f t="shared" si="0"/>
        <v>14</v>
      </c>
      <c r="B19" s="276" t="s">
        <v>555</v>
      </c>
      <c r="C19" s="555">
        <f>SUM(C20:C25)</f>
        <v>2368405.1199999996</v>
      </c>
      <c r="D19" s="555">
        <f>SUM(D20:D25)</f>
        <v>77444.479999999981</v>
      </c>
      <c r="E19" s="555">
        <f>SUM(E20:E25)</f>
        <v>3471012.5</v>
      </c>
      <c r="F19" s="555">
        <f>SUM(F20:F25)</f>
        <v>74649.37</v>
      </c>
      <c r="G19" s="555">
        <f t="shared" si="1"/>
        <v>1102607.3800000004</v>
      </c>
      <c r="H19" s="556">
        <f t="shared" si="1"/>
        <v>-2795.109999999986</v>
      </c>
    </row>
    <row r="20" spans="1:9" x14ac:dyDescent="0.25">
      <c r="A20" s="211">
        <f t="shared" si="0"/>
        <v>15</v>
      </c>
      <c r="B20" s="277" t="s">
        <v>695</v>
      </c>
      <c r="C20" s="557">
        <v>862897.8</v>
      </c>
      <c r="D20" s="557">
        <v>20257.099999999999</v>
      </c>
      <c r="E20" s="557">
        <v>965206.4</v>
      </c>
      <c r="F20" s="557">
        <v>20194.990000000002</v>
      </c>
      <c r="G20" s="558">
        <f t="shared" si="1"/>
        <v>102308.59999999998</v>
      </c>
      <c r="H20" s="559">
        <f t="shared" si="1"/>
        <v>-62.109999999996944</v>
      </c>
    </row>
    <row r="21" spans="1:9" x14ac:dyDescent="0.25">
      <c r="A21" s="211">
        <f t="shared" si="0"/>
        <v>16</v>
      </c>
      <c r="B21" s="277" t="s">
        <v>696</v>
      </c>
      <c r="C21" s="557">
        <v>1118334.8799999999</v>
      </c>
      <c r="D21" s="557">
        <v>24341.52</v>
      </c>
      <c r="E21" s="557">
        <v>2072344.95</v>
      </c>
      <c r="F21" s="557">
        <v>23460.89</v>
      </c>
      <c r="G21" s="558">
        <f t="shared" si="1"/>
        <v>954010.07000000007</v>
      </c>
      <c r="H21" s="559">
        <f t="shared" si="1"/>
        <v>-880.63000000000102</v>
      </c>
    </row>
    <row r="22" spans="1:9" x14ac:dyDescent="0.25">
      <c r="A22" s="211">
        <f t="shared" si="0"/>
        <v>17</v>
      </c>
      <c r="B22" s="277" t="s">
        <v>697</v>
      </c>
      <c r="C22" s="557">
        <v>155326.35</v>
      </c>
      <c r="D22" s="557">
        <v>21508.06</v>
      </c>
      <c r="E22" s="557">
        <v>215441.75</v>
      </c>
      <c r="F22" s="557">
        <v>20294.599999999999</v>
      </c>
      <c r="G22" s="558">
        <f t="shared" si="1"/>
        <v>60115.399999999994</v>
      </c>
      <c r="H22" s="559">
        <f t="shared" si="1"/>
        <v>-1213.4600000000028</v>
      </c>
    </row>
    <row r="23" spans="1:9" x14ac:dyDescent="0.25">
      <c r="A23" s="211">
        <f t="shared" si="0"/>
        <v>18</v>
      </c>
      <c r="B23" s="277" t="s">
        <v>698</v>
      </c>
      <c r="C23" s="557">
        <v>231027.33</v>
      </c>
      <c r="D23" s="557">
        <v>11131.18</v>
      </c>
      <c r="E23" s="557">
        <v>215218.33</v>
      </c>
      <c r="F23" s="557">
        <v>10666.3</v>
      </c>
      <c r="G23" s="558">
        <f t="shared" si="1"/>
        <v>-15809</v>
      </c>
      <c r="H23" s="559">
        <f t="shared" si="1"/>
        <v>-464.88000000000102</v>
      </c>
    </row>
    <row r="24" spans="1:9" x14ac:dyDescent="0.25">
      <c r="A24" s="211">
        <f t="shared" si="0"/>
        <v>19</v>
      </c>
      <c r="B24" s="277" t="s">
        <v>699</v>
      </c>
      <c r="C24" s="557">
        <v>818.76</v>
      </c>
      <c r="D24" s="557">
        <v>206.62</v>
      </c>
      <c r="E24" s="557">
        <v>2801.07</v>
      </c>
      <c r="F24" s="557">
        <v>32.590000000000003</v>
      </c>
      <c r="G24" s="558">
        <f t="shared" si="1"/>
        <v>1982.3100000000002</v>
      </c>
      <c r="H24" s="559">
        <f t="shared" si="1"/>
        <v>-174.03</v>
      </c>
    </row>
    <row r="25" spans="1:9" x14ac:dyDescent="0.25">
      <c r="A25" s="211">
        <f t="shared" si="0"/>
        <v>20</v>
      </c>
      <c r="B25" s="277" t="s">
        <v>700</v>
      </c>
      <c r="C25" s="557"/>
      <c r="D25" s="557"/>
      <c r="E25" s="557"/>
      <c r="F25" s="557"/>
      <c r="G25" s="558">
        <f t="shared" si="1"/>
        <v>0</v>
      </c>
      <c r="H25" s="559">
        <f t="shared" si="1"/>
        <v>0</v>
      </c>
    </row>
    <row r="26" spans="1:9" x14ac:dyDescent="0.25">
      <c r="A26" s="211">
        <f t="shared" si="0"/>
        <v>21</v>
      </c>
      <c r="B26" s="276" t="s">
        <v>150</v>
      </c>
      <c r="C26" s="560" t="s">
        <v>140</v>
      </c>
      <c r="D26" s="560" t="s">
        <v>140</v>
      </c>
      <c r="E26" s="560" t="s">
        <v>140</v>
      </c>
      <c r="F26" s="560" t="s">
        <v>140</v>
      </c>
      <c r="G26" s="561" t="s">
        <v>56</v>
      </c>
      <c r="H26" s="562" t="s">
        <v>56</v>
      </c>
    </row>
    <row r="27" spans="1:9" x14ac:dyDescent="0.25">
      <c r="A27" s="211">
        <f t="shared" si="0"/>
        <v>22</v>
      </c>
      <c r="B27" s="276" t="s">
        <v>556</v>
      </c>
      <c r="C27" s="555">
        <f>SUM(C28:C31)</f>
        <v>2711.31</v>
      </c>
      <c r="D27" s="555">
        <f>SUM(D28:D31)</f>
        <v>68948.039999999994</v>
      </c>
      <c r="E27" s="555">
        <f>SUM(E28:E31)</f>
        <v>2153.2600000000002</v>
      </c>
      <c r="F27" s="555">
        <f>SUM(F28:F31)</f>
        <v>98615.67</v>
      </c>
      <c r="G27" s="555">
        <f t="shared" si="1"/>
        <v>-558.04999999999973</v>
      </c>
      <c r="H27" s="556">
        <f t="shared" si="1"/>
        <v>29667.630000000005</v>
      </c>
    </row>
    <row r="28" spans="1:9" x14ac:dyDescent="0.25">
      <c r="A28" s="211">
        <f t="shared" si="0"/>
        <v>23</v>
      </c>
      <c r="B28" s="280" t="s">
        <v>113</v>
      </c>
      <c r="C28" s="557"/>
      <c r="D28" s="557"/>
      <c r="E28" s="557"/>
      <c r="F28" s="557"/>
      <c r="G28" s="558">
        <f t="shared" si="1"/>
        <v>0</v>
      </c>
      <c r="H28" s="559">
        <f t="shared" si="1"/>
        <v>0</v>
      </c>
    </row>
    <row r="29" spans="1:9" x14ac:dyDescent="0.25">
      <c r="A29" s="211">
        <f t="shared" si="0"/>
        <v>24</v>
      </c>
      <c r="B29" s="281" t="s">
        <v>132</v>
      </c>
      <c r="C29" s="557"/>
      <c r="D29" s="557"/>
      <c r="E29" s="557"/>
      <c r="F29" s="557"/>
      <c r="G29" s="558">
        <f t="shared" si="1"/>
        <v>0</v>
      </c>
      <c r="H29" s="559">
        <f t="shared" si="1"/>
        <v>0</v>
      </c>
    </row>
    <row r="30" spans="1:9" x14ac:dyDescent="0.25">
      <c r="A30" s="211">
        <f t="shared" si="0"/>
        <v>25</v>
      </c>
      <c r="B30" s="281" t="s">
        <v>18</v>
      </c>
      <c r="C30" s="557">
        <v>2711.31</v>
      </c>
      <c r="D30" s="557">
        <v>68948.039999999994</v>
      </c>
      <c r="E30" s="557">
        <v>2153.2600000000002</v>
      </c>
      <c r="F30" s="557">
        <v>98615.67</v>
      </c>
      <c r="G30" s="558">
        <f t="shared" si="1"/>
        <v>-558.04999999999973</v>
      </c>
      <c r="H30" s="559">
        <f t="shared" si="1"/>
        <v>29667.630000000005</v>
      </c>
    </row>
    <row r="31" spans="1:9" x14ac:dyDescent="0.25">
      <c r="A31" s="211">
        <f t="shared" si="0"/>
        <v>26</v>
      </c>
      <c r="B31" s="280" t="s">
        <v>19</v>
      </c>
      <c r="C31" s="557"/>
      <c r="D31" s="557"/>
      <c r="E31" s="557"/>
      <c r="F31" s="557"/>
      <c r="G31" s="558">
        <f t="shared" si="1"/>
        <v>0</v>
      </c>
      <c r="H31" s="559">
        <f t="shared" si="1"/>
        <v>0</v>
      </c>
    </row>
    <row r="32" spans="1:9" x14ac:dyDescent="0.25">
      <c r="A32" s="211">
        <f t="shared" si="0"/>
        <v>27</v>
      </c>
      <c r="B32" s="276" t="s">
        <v>557</v>
      </c>
      <c r="C32" s="555">
        <f>SUM(C33:C39)</f>
        <v>757310.98</v>
      </c>
      <c r="D32" s="555">
        <f>SUM(D33:D39)</f>
        <v>22131.23</v>
      </c>
      <c r="E32" s="555">
        <f>SUM(E33:E39)</f>
        <v>758572.8</v>
      </c>
      <c r="F32" s="555">
        <f>SUM(F33:F39)</f>
        <v>40278.94</v>
      </c>
      <c r="G32" s="555">
        <f t="shared" si="1"/>
        <v>1261.8200000000652</v>
      </c>
      <c r="H32" s="556">
        <f t="shared" si="1"/>
        <v>18147.710000000003</v>
      </c>
    </row>
    <row r="33" spans="1:9" x14ac:dyDescent="0.25">
      <c r="A33" s="211">
        <f t="shared" si="0"/>
        <v>28</v>
      </c>
      <c r="B33" s="277" t="s">
        <v>701</v>
      </c>
      <c r="C33" s="557">
        <v>347051.15</v>
      </c>
      <c r="D33" s="557"/>
      <c r="E33" s="557">
        <v>385636.51</v>
      </c>
      <c r="F33" s="557">
        <v>2812.97</v>
      </c>
      <c r="G33" s="558">
        <f t="shared" si="1"/>
        <v>38585.359999999986</v>
      </c>
      <c r="H33" s="559">
        <f t="shared" si="1"/>
        <v>2812.97</v>
      </c>
    </row>
    <row r="34" spans="1:9" ht="31.5" x14ac:dyDescent="0.25">
      <c r="A34" s="211">
        <f t="shared" si="0"/>
        <v>29</v>
      </c>
      <c r="B34" s="277" t="s">
        <v>702</v>
      </c>
      <c r="C34" s="557">
        <v>236974.11</v>
      </c>
      <c r="D34" s="557">
        <v>9056.2099999999991</v>
      </c>
      <c r="E34" s="557">
        <v>197948.01</v>
      </c>
      <c r="F34" s="557">
        <v>11812.35</v>
      </c>
      <c r="G34" s="558">
        <f t="shared" si="1"/>
        <v>-39026.099999999977</v>
      </c>
      <c r="H34" s="559">
        <f t="shared" si="1"/>
        <v>2756.1400000000012</v>
      </c>
      <c r="I34" s="212"/>
    </row>
    <row r="35" spans="1:9" x14ac:dyDescent="0.25">
      <c r="A35" s="211">
        <f t="shared" si="0"/>
        <v>30</v>
      </c>
      <c r="B35" s="277" t="s">
        <v>703</v>
      </c>
      <c r="C35" s="557">
        <v>23570.71</v>
      </c>
      <c r="D35" s="557">
        <v>3251.36</v>
      </c>
      <c r="E35" s="557">
        <v>23463.95</v>
      </c>
      <c r="F35" s="557">
        <v>7289.58</v>
      </c>
      <c r="G35" s="558">
        <f t="shared" si="1"/>
        <v>-106.7599999999984</v>
      </c>
      <c r="H35" s="559">
        <f t="shared" si="1"/>
        <v>4038.22</v>
      </c>
    </row>
    <row r="36" spans="1:9" x14ac:dyDescent="0.25">
      <c r="A36" s="211">
        <f t="shared" si="0"/>
        <v>31</v>
      </c>
      <c r="B36" s="277" t="s">
        <v>704</v>
      </c>
      <c r="C36" s="557">
        <v>57605.73</v>
      </c>
      <c r="D36" s="557">
        <v>9823.66</v>
      </c>
      <c r="E36" s="557">
        <v>59902.63</v>
      </c>
      <c r="F36" s="557">
        <v>18364.04</v>
      </c>
      <c r="G36" s="558">
        <f t="shared" si="1"/>
        <v>2296.8999999999942</v>
      </c>
      <c r="H36" s="559">
        <f t="shared" si="1"/>
        <v>8540.380000000001</v>
      </c>
    </row>
    <row r="37" spans="1:9" x14ac:dyDescent="0.25">
      <c r="A37" s="211">
        <f t="shared" si="0"/>
        <v>32</v>
      </c>
      <c r="B37" s="279" t="s">
        <v>706</v>
      </c>
      <c r="C37" s="557">
        <v>13184</v>
      </c>
      <c r="D37" s="557"/>
      <c r="E37" s="557">
        <v>51510.29</v>
      </c>
      <c r="F37" s="557"/>
      <c r="G37" s="558">
        <f t="shared" si="1"/>
        <v>38326.29</v>
      </c>
      <c r="H37" s="559">
        <f t="shared" si="1"/>
        <v>0</v>
      </c>
    </row>
    <row r="38" spans="1:9" x14ac:dyDescent="0.25">
      <c r="A38" s="211">
        <f t="shared" si="0"/>
        <v>33</v>
      </c>
      <c r="B38" s="277" t="s">
        <v>705</v>
      </c>
      <c r="C38" s="557">
        <v>44367.64</v>
      </c>
      <c r="D38" s="557"/>
      <c r="E38" s="557">
        <v>24983.35</v>
      </c>
      <c r="F38" s="557"/>
      <c r="G38" s="558">
        <f t="shared" si="1"/>
        <v>-19384.29</v>
      </c>
      <c r="H38" s="559">
        <f t="shared" si="1"/>
        <v>0</v>
      </c>
    </row>
    <row r="39" spans="1:9" x14ac:dyDescent="0.25">
      <c r="A39" s="211">
        <f t="shared" si="0"/>
        <v>34</v>
      </c>
      <c r="B39" s="277" t="s">
        <v>41</v>
      </c>
      <c r="C39" s="557">
        <v>34557.64</v>
      </c>
      <c r="D39" s="557"/>
      <c r="E39" s="557">
        <v>15128.06</v>
      </c>
      <c r="F39" s="557"/>
      <c r="G39" s="558">
        <f t="shared" si="1"/>
        <v>-19429.580000000002</v>
      </c>
      <c r="H39" s="559">
        <f t="shared" si="1"/>
        <v>0</v>
      </c>
    </row>
    <row r="40" spans="1:9" x14ac:dyDescent="0.25">
      <c r="A40" s="211">
        <f t="shared" si="0"/>
        <v>35</v>
      </c>
      <c r="B40" s="276" t="s">
        <v>558</v>
      </c>
      <c r="C40" s="555">
        <f>C41+C42</f>
        <v>1225406.26</v>
      </c>
      <c r="D40" s="555">
        <f>D41+D42</f>
        <v>2978.91</v>
      </c>
      <c r="E40" s="555">
        <f>E41+E42</f>
        <v>1300172.55</v>
      </c>
      <c r="F40" s="555">
        <f>F41+F42</f>
        <v>4437.71</v>
      </c>
      <c r="G40" s="555">
        <f t="shared" si="1"/>
        <v>74766.290000000037</v>
      </c>
      <c r="H40" s="556">
        <f t="shared" si="1"/>
        <v>1458.8000000000002</v>
      </c>
    </row>
    <row r="41" spans="1:9" x14ac:dyDescent="0.25">
      <c r="A41" s="211">
        <f t="shared" si="0"/>
        <v>36</v>
      </c>
      <c r="B41" s="277" t="s">
        <v>707</v>
      </c>
      <c r="C41" s="557">
        <v>110245.01</v>
      </c>
      <c r="D41" s="557">
        <v>2978.91</v>
      </c>
      <c r="E41" s="557">
        <v>109430.32</v>
      </c>
      <c r="F41" s="557">
        <v>4437.71</v>
      </c>
      <c r="G41" s="558">
        <f t="shared" si="1"/>
        <v>-814.68999999998778</v>
      </c>
      <c r="H41" s="559">
        <f t="shared" si="1"/>
        <v>1458.8000000000002</v>
      </c>
    </row>
    <row r="42" spans="1:9" x14ac:dyDescent="0.25">
      <c r="A42" s="211">
        <f t="shared" si="0"/>
        <v>37</v>
      </c>
      <c r="B42" s="277" t="s">
        <v>708</v>
      </c>
      <c r="C42" s="557">
        <v>1115161.25</v>
      </c>
      <c r="D42" s="557">
        <v>0</v>
      </c>
      <c r="E42" s="557">
        <v>1190742.23</v>
      </c>
      <c r="F42" s="557"/>
      <c r="G42" s="558">
        <f t="shared" si="1"/>
        <v>75580.979999999981</v>
      </c>
      <c r="H42" s="559">
        <f t="shared" si="1"/>
        <v>0</v>
      </c>
      <c r="I42" s="212"/>
    </row>
    <row r="43" spans="1:9" x14ac:dyDescent="0.25">
      <c r="A43" s="211">
        <f t="shared" si="0"/>
        <v>38</v>
      </c>
      <c r="B43" s="276" t="s">
        <v>151</v>
      </c>
      <c r="C43" s="563">
        <v>63297.54</v>
      </c>
      <c r="D43" s="563">
        <v>128.88</v>
      </c>
      <c r="E43" s="563">
        <v>178943.23</v>
      </c>
      <c r="F43" s="563">
        <v>1151.8599999999999</v>
      </c>
      <c r="G43" s="558">
        <f t="shared" si="1"/>
        <v>115645.69</v>
      </c>
      <c r="H43" s="559">
        <f t="shared" si="1"/>
        <v>1022.9799999999999</v>
      </c>
    </row>
    <row r="44" spans="1:9" x14ac:dyDescent="0.25">
      <c r="A44" s="211">
        <f t="shared" si="0"/>
        <v>39</v>
      </c>
      <c r="B44" s="276" t="s">
        <v>559</v>
      </c>
      <c r="C44" s="555">
        <f>SUM(C45:C59)</f>
        <v>5789602.3600000003</v>
      </c>
      <c r="D44" s="555">
        <f>SUM(D45:D59)</f>
        <v>116543.38000000003</v>
      </c>
      <c r="E44" s="555">
        <f>SUM(E45:E59)</f>
        <v>9223250.6499999985</v>
      </c>
      <c r="F44" s="555">
        <f>SUM(F45:F59)</f>
        <v>279995.93</v>
      </c>
      <c r="G44" s="555">
        <f t="shared" si="1"/>
        <v>3433648.2899999982</v>
      </c>
      <c r="H44" s="556">
        <f t="shared" si="1"/>
        <v>163452.54999999996</v>
      </c>
    </row>
    <row r="45" spans="1:9" x14ac:dyDescent="0.25">
      <c r="A45" s="211">
        <f t="shared" si="0"/>
        <v>40</v>
      </c>
      <c r="B45" s="277" t="s">
        <v>709</v>
      </c>
      <c r="C45" s="557">
        <v>142616.62</v>
      </c>
      <c r="D45" s="557">
        <v>17500</v>
      </c>
      <c r="E45" s="557">
        <v>174100.26</v>
      </c>
      <c r="F45" s="557">
        <v>44282.54</v>
      </c>
      <c r="G45" s="558">
        <f t="shared" si="1"/>
        <v>31483.640000000014</v>
      </c>
      <c r="H45" s="559">
        <f t="shared" si="1"/>
        <v>26782.54</v>
      </c>
    </row>
    <row r="46" spans="1:9" x14ac:dyDescent="0.25">
      <c r="A46" s="211">
        <f t="shared" si="0"/>
        <v>41</v>
      </c>
      <c r="B46" s="277" t="s">
        <v>42</v>
      </c>
      <c r="C46" s="557">
        <v>15145.83</v>
      </c>
      <c r="D46" s="557">
        <v>411.86</v>
      </c>
      <c r="E46" s="557">
        <v>37898.79</v>
      </c>
      <c r="F46" s="557">
        <v>450</v>
      </c>
      <c r="G46" s="558">
        <f t="shared" si="1"/>
        <v>22752.959999999999</v>
      </c>
      <c r="H46" s="559">
        <f t="shared" si="1"/>
        <v>38.139999999999986</v>
      </c>
    </row>
    <row r="47" spans="1:9" x14ac:dyDescent="0.25">
      <c r="A47" s="211">
        <f t="shared" si="0"/>
        <v>42</v>
      </c>
      <c r="B47" s="277" t="s">
        <v>710</v>
      </c>
      <c r="C47" s="557">
        <v>160949.4</v>
      </c>
      <c r="D47" s="557">
        <v>1645</v>
      </c>
      <c r="E47" s="557">
        <v>215805.55</v>
      </c>
      <c r="F47" s="557">
        <v>0</v>
      </c>
      <c r="G47" s="558">
        <f t="shared" si="1"/>
        <v>54856.149999999994</v>
      </c>
      <c r="H47" s="559">
        <f t="shared" si="1"/>
        <v>-1645</v>
      </c>
    </row>
    <row r="48" spans="1:9" x14ac:dyDescent="0.25">
      <c r="A48" s="211">
        <f t="shared" si="0"/>
        <v>43</v>
      </c>
      <c r="B48" s="277" t="s">
        <v>711</v>
      </c>
      <c r="C48" s="557">
        <v>23171.18</v>
      </c>
      <c r="D48" s="557">
        <v>8614.8700000000008</v>
      </c>
      <c r="E48" s="557">
        <v>29922.2</v>
      </c>
      <c r="F48" s="557">
        <v>0</v>
      </c>
      <c r="G48" s="558">
        <f t="shared" si="1"/>
        <v>6751.02</v>
      </c>
      <c r="H48" s="559">
        <f t="shared" si="1"/>
        <v>-8614.8700000000008</v>
      </c>
    </row>
    <row r="49" spans="1:11" x14ac:dyDescent="0.25">
      <c r="A49" s="211">
        <f t="shared" si="0"/>
        <v>44</v>
      </c>
      <c r="B49" s="277" t="s">
        <v>712</v>
      </c>
      <c r="C49" s="557">
        <v>37049.379999999997</v>
      </c>
      <c r="D49" s="557">
        <v>3297.78</v>
      </c>
      <c r="E49" s="557">
        <f>-76.38+29013.39</f>
        <v>28937.01</v>
      </c>
      <c r="F49" s="557">
        <v>2678.12</v>
      </c>
      <c r="G49" s="558">
        <f t="shared" si="1"/>
        <v>-8112.369999999999</v>
      </c>
      <c r="H49" s="559">
        <f t="shared" si="1"/>
        <v>-619.66000000000031</v>
      </c>
    </row>
    <row r="50" spans="1:11" x14ac:dyDescent="0.25">
      <c r="A50" s="211">
        <f t="shared" si="0"/>
        <v>45</v>
      </c>
      <c r="B50" s="524" t="s">
        <v>918</v>
      </c>
      <c r="C50" s="557">
        <v>2628.59</v>
      </c>
      <c r="D50" s="557">
        <v>166.08</v>
      </c>
      <c r="E50" s="557">
        <v>2180.75</v>
      </c>
      <c r="F50" s="557">
        <v>0</v>
      </c>
      <c r="G50" s="558">
        <f t="shared" si="1"/>
        <v>-447.84000000000015</v>
      </c>
      <c r="H50" s="559">
        <f t="shared" si="1"/>
        <v>-166.08</v>
      </c>
    </row>
    <row r="51" spans="1:11" x14ac:dyDescent="0.25">
      <c r="A51" s="211">
        <f t="shared" si="0"/>
        <v>46</v>
      </c>
      <c r="B51" s="277" t="s">
        <v>713</v>
      </c>
      <c r="C51" s="557">
        <v>59214.58</v>
      </c>
      <c r="D51" s="557">
        <v>3507.79</v>
      </c>
      <c r="E51" s="557">
        <v>63317.75</v>
      </c>
      <c r="F51" s="557">
        <v>3800.01</v>
      </c>
      <c r="G51" s="558">
        <f t="shared" si="1"/>
        <v>4103.1699999999983</v>
      </c>
      <c r="H51" s="559">
        <f t="shared" si="1"/>
        <v>292.22000000000025</v>
      </c>
    </row>
    <row r="52" spans="1:11" x14ac:dyDescent="0.25">
      <c r="A52" s="211">
        <f t="shared" si="0"/>
        <v>47</v>
      </c>
      <c r="B52" s="277" t="s">
        <v>714</v>
      </c>
      <c r="C52" s="557">
        <v>90531.45</v>
      </c>
      <c r="D52" s="557">
        <v>6381.55</v>
      </c>
      <c r="E52" s="557">
        <f>35305.26+0.9</f>
        <v>35306.160000000003</v>
      </c>
      <c r="F52" s="557">
        <v>11000.38</v>
      </c>
      <c r="G52" s="558">
        <f t="shared" si="1"/>
        <v>-55225.289999999994</v>
      </c>
      <c r="H52" s="559">
        <f t="shared" si="1"/>
        <v>4618.829999999999</v>
      </c>
    </row>
    <row r="53" spans="1:11" x14ac:dyDescent="0.25">
      <c r="A53" s="211">
        <f t="shared" si="0"/>
        <v>48</v>
      </c>
      <c r="B53" s="277" t="s">
        <v>43</v>
      </c>
      <c r="C53" s="557">
        <v>89229.74</v>
      </c>
      <c r="D53" s="557">
        <v>2051.62</v>
      </c>
      <c r="E53" s="557">
        <v>153815.85999999999</v>
      </c>
      <c r="F53" s="557">
        <v>2109.1799999999998</v>
      </c>
      <c r="G53" s="558">
        <f t="shared" si="1"/>
        <v>64586.119999999981</v>
      </c>
      <c r="H53" s="559">
        <f t="shared" si="1"/>
        <v>57.559999999999945</v>
      </c>
    </row>
    <row r="54" spans="1:11" x14ac:dyDescent="0.25">
      <c r="A54" s="211">
        <f t="shared" si="0"/>
        <v>49</v>
      </c>
      <c r="B54" s="277" t="s">
        <v>44</v>
      </c>
      <c r="C54" s="557"/>
      <c r="D54" s="557"/>
      <c r="E54" s="557">
        <v>1262.8800000000001</v>
      </c>
      <c r="F54" s="557">
        <v>0</v>
      </c>
      <c r="G54" s="558">
        <f t="shared" si="1"/>
        <v>1262.8800000000001</v>
      </c>
      <c r="H54" s="559">
        <f t="shared" si="1"/>
        <v>0</v>
      </c>
    </row>
    <row r="55" spans="1:11" x14ac:dyDescent="0.25">
      <c r="A55" s="211">
        <f t="shared" si="0"/>
        <v>50</v>
      </c>
      <c r="B55" s="277" t="s">
        <v>715</v>
      </c>
      <c r="C55" s="557">
        <v>15112.24</v>
      </c>
      <c r="D55" s="557">
        <v>40</v>
      </c>
      <c r="E55" s="557">
        <v>12424.81</v>
      </c>
      <c r="F55" s="557">
        <v>182.36</v>
      </c>
      <c r="G55" s="558">
        <f t="shared" si="1"/>
        <v>-2687.4300000000003</v>
      </c>
      <c r="H55" s="559">
        <f t="shared" si="1"/>
        <v>142.36000000000001</v>
      </c>
    </row>
    <row r="56" spans="1:11" x14ac:dyDescent="0.25">
      <c r="A56" s="211">
        <f t="shared" si="0"/>
        <v>51</v>
      </c>
      <c r="B56" s="277" t="s">
        <v>716</v>
      </c>
      <c r="C56" s="557">
        <v>392817.99</v>
      </c>
      <c r="D56" s="557">
        <v>2341.9699999999998</v>
      </c>
      <c r="E56" s="557">
        <v>750528.42</v>
      </c>
      <c r="F56" s="557">
        <v>846.65</v>
      </c>
      <c r="G56" s="558">
        <f t="shared" si="1"/>
        <v>357710.43000000005</v>
      </c>
      <c r="H56" s="559">
        <f t="shared" si="1"/>
        <v>-1495.3199999999997</v>
      </c>
    </row>
    <row r="57" spans="1:11" x14ac:dyDescent="0.25">
      <c r="A57" s="211">
        <f t="shared" si="0"/>
        <v>52</v>
      </c>
      <c r="B57" s="277" t="s">
        <v>34</v>
      </c>
      <c r="C57" s="557"/>
      <c r="D57" s="557"/>
      <c r="E57" s="557">
        <v>0</v>
      </c>
      <c r="F57" s="557">
        <v>0</v>
      </c>
      <c r="G57" s="558">
        <f t="shared" si="1"/>
        <v>0</v>
      </c>
      <c r="H57" s="559">
        <f t="shared" si="1"/>
        <v>0</v>
      </c>
    </row>
    <row r="58" spans="1:11" ht="47.25" x14ac:dyDescent="0.25">
      <c r="A58" s="211">
        <f t="shared" si="0"/>
        <v>53</v>
      </c>
      <c r="B58" s="277" t="s">
        <v>919</v>
      </c>
      <c r="C58" s="557">
        <f>5789602.36-1028767</f>
        <v>4760835.3600000003</v>
      </c>
      <c r="D58" s="557">
        <f>116543.38-45958.52</f>
        <v>70584.860000000015</v>
      </c>
      <c r="E58" s="557">
        <f>9223250.65-1507350.06</f>
        <v>7715900.5899999999</v>
      </c>
      <c r="F58" s="557">
        <v>214646.69</v>
      </c>
      <c r="G58" s="558">
        <f t="shared" si="1"/>
        <v>2955065.2299999995</v>
      </c>
      <c r="H58" s="559">
        <f t="shared" si="1"/>
        <v>144061.82999999999</v>
      </c>
      <c r="J58" s="431"/>
      <c r="K58" s="431"/>
    </row>
    <row r="59" spans="1:11" x14ac:dyDescent="0.25">
      <c r="A59" s="211">
        <f t="shared" si="0"/>
        <v>54</v>
      </c>
      <c r="B59" s="277" t="s">
        <v>717</v>
      </c>
      <c r="C59" s="557">
        <v>300</v>
      </c>
      <c r="D59" s="557"/>
      <c r="E59" s="557">
        <v>1849.62</v>
      </c>
      <c r="F59" s="557"/>
      <c r="G59" s="558">
        <f t="shared" si="1"/>
        <v>1549.62</v>
      </c>
      <c r="H59" s="559">
        <f t="shared" si="1"/>
        <v>0</v>
      </c>
    </row>
    <row r="60" spans="1:11" x14ac:dyDescent="0.25">
      <c r="A60" s="211">
        <f t="shared" si="0"/>
        <v>55</v>
      </c>
      <c r="B60" s="276" t="s">
        <v>718</v>
      </c>
      <c r="C60" s="555">
        <f>C61+C62</f>
        <v>35572027.350000001</v>
      </c>
      <c r="D60" s="555">
        <f>D61+D62</f>
        <v>399476.14999999997</v>
      </c>
      <c r="E60" s="555">
        <f>E61+E62</f>
        <v>39178825.419999994</v>
      </c>
      <c r="F60" s="555">
        <f>F61+F62</f>
        <v>591682.07999999996</v>
      </c>
      <c r="G60" s="555">
        <f t="shared" si="1"/>
        <v>3606798.0699999928</v>
      </c>
      <c r="H60" s="556">
        <f t="shared" si="1"/>
        <v>192205.93</v>
      </c>
    </row>
    <row r="61" spans="1:11" ht="118.5" customHeight="1" x14ac:dyDescent="0.25">
      <c r="A61" s="211">
        <f t="shared" si="0"/>
        <v>56</v>
      </c>
      <c r="B61" s="280" t="s">
        <v>615</v>
      </c>
      <c r="C61" s="557">
        <v>34931354.25</v>
      </c>
      <c r="D61" s="557">
        <v>369814.55</v>
      </c>
      <c r="E61" s="557">
        <v>38446175.159999996</v>
      </c>
      <c r="F61" s="557">
        <v>542887.88</v>
      </c>
      <c r="G61" s="558">
        <f t="shared" si="1"/>
        <v>3514820.9099999964</v>
      </c>
      <c r="H61" s="559">
        <f t="shared" si="1"/>
        <v>173073.33000000002</v>
      </c>
      <c r="I61" s="742" t="s">
        <v>1037</v>
      </c>
      <c r="J61" s="726">
        <f>SUM(E61:F61)</f>
        <v>38989063.039999999</v>
      </c>
    </row>
    <row r="62" spans="1:11" x14ac:dyDescent="0.25">
      <c r="A62" s="211">
        <f t="shared" si="0"/>
        <v>57</v>
      </c>
      <c r="B62" s="276" t="s">
        <v>905</v>
      </c>
      <c r="C62" s="555">
        <f>SUM(C63:C66)</f>
        <v>640673.10000000009</v>
      </c>
      <c r="D62" s="555">
        <f t="shared" ref="D62:F62" si="2">SUM(D63:D66)</f>
        <v>29661.599999999999</v>
      </c>
      <c r="E62" s="555">
        <f t="shared" si="2"/>
        <v>732650.25999999989</v>
      </c>
      <c r="F62" s="555">
        <f t="shared" si="2"/>
        <v>48794.2</v>
      </c>
      <c r="G62" s="555">
        <f t="shared" si="1"/>
        <v>91977.1599999998</v>
      </c>
      <c r="H62" s="556">
        <f t="shared" si="1"/>
        <v>19132.599999999999</v>
      </c>
    </row>
    <row r="63" spans="1:11" s="214" customFormat="1" x14ac:dyDescent="0.2">
      <c r="A63" s="211">
        <f t="shared" si="0"/>
        <v>58</v>
      </c>
      <c r="B63" s="282" t="s">
        <v>1</v>
      </c>
      <c r="C63" s="564">
        <v>85.92</v>
      </c>
      <c r="D63" s="564"/>
      <c r="E63" s="557">
        <v>8.9499999999999993</v>
      </c>
      <c r="F63" s="564"/>
      <c r="G63" s="558">
        <f t="shared" si="1"/>
        <v>-76.97</v>
      </c>
      <c r="H63" s="559">
        <f t="shared" si="1"/>
        <v>0</v>
      </c>
      <c r="I63" s="213"/>
      <c r="J63" s="765"/>
    </row>
    <row r="64" spans="1:11" x14ac:dyDescent="0.25">
      <c r="A64" s="211">
        <f t="shared" si="0"/>
        <v>59</v>
      </c>
      <c r="B64" s="282" t="s">
        <v>719</v>
      </c>
      <c r="C64" s="557">
        <v>535648.17000000004</v>
      </c>
      <c r="D64" s="557">
        <v>23301.599999999999</v>
      </c>
      <c r="E64" s="557">
        <v>589203.09</v>
      </c>
      <c r="F64" s="557">
        <v>42274.2</v>
      </c>
      <c r="G64" s="558">
        <f t="shared" si="1"/>
        <v>53554.919999999925</v>
      </c>
      <c r="H64" s="559">
        <f t="shared" si="1"/>
        <v>18972.599999999999</v>
      </c>
    </row>
    <row r="65" spans="1:9" x14ac:dyDescent="0.25">
      <c r="A65" s="211">
        <f t="shared" si="0"/>
        <v>60</v>
      </c>
      <c r="B65" s="280" t="s">
        <v>97</v>
      </c>
      <c r="C65" s="557">
        <v>104939.01</v>
      </c>
      <c r="D65" s="557">
        <v>6360</v>
      </c>
      <c r="E65" s="557">
        <v>134438.22</v>
      </c>
      <c r="F65" s="557">
        <v>6520</v>
      </c>
      <c r="G65" s="558">
        <f t="shared" si="1"/>
        <v>29499.210000000006</v>
      </c>
      <c r="H65" s="559">
        <f t="shared" si="1"/>
        <v>160</v>
      </c>
    </row>
    <row r="66" spans="1:9" x14ac:dyDescent="0.25">
      <c r="A66" s="211">
        <v>61</v>
      </c>
      <c r="B66" s="280" t="s">
        <v>904</v>
      </c>
      <c r="C66" s="557"/>
      <c r="D66" s="557"/>
      <c r="E66" s="557">
        <v>9000</v>
      </c>
      <c r="F66" s="557"/>
      <c r="G66" s="558">
        <f t="shared" si="1"/>
        <v>9000</v>
      </c>
      <c r="H66" s="559">
        <f t="shared" si="1"/>
        <v>0</v>
      </c>
      <c r="I66" s="728"/>
    </row>
    <row r="67" spans="1:9" x14ac:dyDescent="0.25">
      <c r="A67" s="211">
        <v>62</v>
      </c>
      <c r="B67" s="276" t="s">
        <v>62</v>
      </c>
      <c r="C67" s="563">
        <v>12143865.82</v>
      </c>
      <c r="D67" s="563">
        <v>134754.79999999999</v>
      </c>
      <c r="E67" s="563">
        <v>13394294.949999999</v>
      </c>
      <c r="F67" s="563">
        <v>202858.23</v>
      </c>
      <c r="G67" s="558">
        <f t="shared" si="1"/>
        <v>1250429.129999999</v>
      </c>
      <c r="H67" s="559">
        <f t="shared" si="1"/>
        <v>68103.430000000022</v>
      </c>
    </row>
    <row r="68" spans="1:9" x14ac:dyDescent="0.25">
      <c r="A68" s="211">
        <f t="shared" si="0"/>
        <v>63</v>
      </c>
      <c r="B68" s="276" t="s">
        <v>7</v>
      </c>
      <c r="C68" s="563">
        <v>279310.87</v>
      </c>
      <c r="D68" s="563">
        <v>3684.13</v>
      </c>
      <c r="E68" s="563">
        <v>401183.96</v>
      </c>
      <c r="F68" s="563">
        <v>8855.32</v>
      </c>
      <c r="G68" s="558">
        <f t="shared" si="1"/>
        <v>121873.09000000003</v>
      </c>
      <c r="H68" s="559">
        <f t="shared" si="1"/>
        <v>5171.1899999999996</v>
      </c>
    </row>
    <row r="69" spans="1:9" ht="18.75" customHeight="1" x14ac:dyDescent="0.25">
      <c r="A69" s="211">
        <f t="shared" si="0"/>
        <v>64</v>
      </c>
      <c r="B69" s="276" t="s">
        <v>911</v>
      </c>
      <c r="C69" s="555">
        <f>SUM(C70:C75)</f>
        <v>1313410.5900000001</v>
      </c>
      <c r="D69" s="555">
        <f>SUM(D70:D75)</f>
        <v>9207.3799999999992</v>
      </c>
      <c r="E69" s="555">
        <f>SUM(E70:E75)</f>
        <v>1465405.1300000001</v>
      </c>
      <c r="F69" s="555">
        <f>SUM(F70:F75)</f>
        <v>11909.68</v>
      </c>
      <c r="G69" s="555">
        <f t="shared" si="1"/>
        <v>151994.54000000004</v>
      </c>
      <c r="H69" s="556">
        <f t="shared" si="1"/>
        <v>2702.3000000000011</v>
      </c>
    </row>
    <row r="70" spans="1:9" x14ac:dyDescent="0.25">
      <c r="A70" s="211">
        <f t="shared" si="0"/>
        <v>65</v>
      </c>
      <c r="B70" s="277" t="s">
        <v>720</v>
      </c>
      <c r="C70" s="557">
        <v>377207.57</v>
      </c>
      <c r="D70" s="557">
        <v>4211.12</v>
      </c>
      <c r="E70" s="557">
        <v>435199.35</v>
      </c>
      <c r="F70" s="557">
        <v>6150.71</v>
      </c>
      <c r="G70" s="558">
        <f t="shared" si="1"/>
        <v>57991.77999999997</v>
      </c>
      <c r="H70" s="559">
        <f t="shared" si="1"/>
        <v>1939.5900000000001</v>
      </c>
    </row>
    <row r="71" spans="1:9" x14ac:dyDescent="0.25">
      <c r="A71" s="211">
        <f t="shared" si="0"/>
        <v>66</v>
      </c>
      <c r="B71" s="277" t="s">
        <v>721</v>
      </c>
      <c r="C71" s="557">
        <v>520143.52</v>
      </c>
      <c r="D71" s="557"/>
      <c r="E71" s="557">
        <v>645204.56000000006</v>
      </c>
      <c r="F71" s="557"/>
      <c r="G71" s="558">
        <f t="shared" si="1"/>
        <v>125061.04000000004</v>
      </c>
      <c r="H71" s="559">
        <f t="shared" si="1"/>
        <v>0</v>
      </c>
    </row>
    <row r="72" spans="1:9" x14ac:dyDescent="0.25">
      <c r="A72" s="211">
        <f t="shared" si="0"/>
        <v>67</v>
      </c>
      <c r="B72" s="277" t="s">
        <v>722</v>
      </c>
      <c r="C72" s="557">
        <v>124158</v>
      </c>
      <c r="D72" s="557">
        <v>2967</v>
      </c>
      <c r="E72" s="557">
        <v>106047.46</v>
      </c>
      <c r="F72" s="557"/>
      <c r="G72" s="558">
        <f t="shared" si="1"/>
        <v>-18110.539999999994</v>
      </c>
      <c r="H72" s="559">
        <f t="shared" si="1"/>
        <v>-2967</v>
      </c>
    </row>
    <row r="73" spans="1:9" x14ac:dyDescent="0.25">
      <c r="A73" s="211">
        <f t="shared" ref="A73:A105" si="3">A72+1</f>
        <v>68</v>
      </c>
      <c r="B73" s="277" t="s">
        <v>723</v>
      </c>
      <c r="C73" s="557">
        <v>185780.21</v>
      </c>
      <c r="D73" s="557">
        <v>2029.26</v>
      </c>
      <c r="E73" s="557">
        <v>156026.73000000001</v>
      </c>
      <c r="F73" s="557">
        <v>5758.97</v>
      </c>
      <c r="G73" s="558">
        <f t="shared" ref="G73:H104" si="4">E73-C73</f>
        <v>-29753.479999999981</v>
      </c>
      <c r="H73" s="559">
        <f t="shared" si="4"/>
        <v>3729.71</v>
      </c>
    </row>
    <row r="74" spans="1:9" x14ac:dyDescent="0.25">
      <c r="A74" s="211">
        <f t="shared" si="3"/>
        <v>69</v>
      </c>
      <c r="B74" s="277" t="s">
        <v>724</v>
      </c>
      <c r="C74" s="557"/>
      <c r="D74" s="557"/>
      <c r="E74" s="557"/>
      <c r="F74" s="557"/>
      <c r="G74" s="558">
        <f t="shared" si="4"/>
        <v>0</v>
      </c>
      <c r="H74" s="559">
        <f t="shared" si="4"/>
        <v>0</v>
      </c>
    </row>
    <row r="75" spans="1:9" x14ac:dyDescent="0.25">
      <c r="A75" s="211">
        <f t="shared" si="3"/>
        <v>70</v>
      </c>
      <c r="B75" s="277" t="s">
        <v>776</v>
      </c>
      <c r="C75" s="557">
        <v>106121.29</v>
      </c>
      <c r="D75" s="557"/>
      <c r="E75" s="557">
        <v>122927.03</v>
      </c>
      <c r="F75" s="557"/>
      <c r="G75" s="558">
        <f t="shared" si="4"/>
        <v>16805.740000000005</v>
      </c>
      <c r="H75" s="559">
        <f t="shared" si="4"/>
        <v>0</v>
      </c>
      <c r="I75" s="172"/>
    </row>
    <row r="76" spans="1:9" x14ac:dyDescent="0.25">
      <c r="A76" s="211">
        <f t="shared" si="3"/>
        <v>71</v>
      </c>
      <c r="B76" s="276" t="s">
        <v>14</v>
      </c>
      <c r="C76" s="557"/>
      <c r="D76" s="557"/>
      <c r="E76" s="557"/>
      <c r="F76" s="557"/>
      <c r="G76" s="558">
        <f t="shared" si="4"/>
        <v>0</v>
      </c>
      <c r="H76" s="559">
        <f t="shared" si="4"/>
        <v>0</v>
      </c>
      <c r="I76" s="212"/>
    </row>
    <row r="77" spans="1:9" x14ac:dyDescent="0.25">
      <c r="A77" s="211">
        <f t="shared" si="3"/>
        <v>72</v>
      </c>
      <c r="B77" s="276" t="s">
        <v>179</v>
      </c>
      <c r="C77" s="557"/>
      <c r="D77" s="557">
        <v>889.6</v>
      </c>
      <c r="E77" s="557"/>
      <c r="F77" s="557">
        <v>912.33</v>
      </c>
      <c r="G77" s="558">
        <f t="shared" si="4"/>
        <v>0</v>
      </c>
      <c r="H77" s="559">
        <f t="shared" si="4"/>
        <v>22.730000000000018</v>
      </c>
    </row>
    <row r="78" spans="1:9" x14ac:dyDescent="0.25">
      <c r="A78" s="211">
        <f t="shared" si="3"/>
        <v>73</v>
      </c>
      <c r="B78" s="276" t="s">
        <v>63</v>
      </c>
      <c r="C78" s="557">
        <v>33008.82</v>
      </c>
      <c r="D78" s="557">
        <v>2921.56</v>
      </c>
      <c r="E78" s="557">
        <v>33022.29</v>
      </c>
      <c r="F78" s="557">
        <v>2921.56</v>
      </c>
      <c r="G78" s="558">
        <f t="shared" si="4"/>
        <v>13.470000000001164</v>
      </c>
      <c r="H78" s="559">
        <f t="shared" si="4"/>
        <v>0</v>
      </c>
    </row>
    <row r="79" spans="1:9" x14ac:dyDescent="0.25">
      <c r="A79" s="211">
        <f t="shared" si="3"/>
        <v>74</v>
      </c>
      <c r="B79" s="276" t="s">
        <v>129</v>
      </c>
      <c r="C79" s="557">
        <v>194401.49</v>
      </c>
      <c r="D79" s="557">
        <v>16946.98</v>
      </c>
      <c r="E79" s="563">
        <v>427121.75</v>
      </c>
      <c r="F79" s="563">
        <v>16720.39</v>
      </c>
      <c r="G79" s="558">
        <f t="shared" si="4"/>
        <v>232720.26</v>
      </c>
      <c r="H79" s="559">
        <f t="shared" si="4"/>
        <v>-226.59000000000015</v>
      </c>
    </row>
    <row r="80" spans="1:9" s="775" customFormat="1" x14ac:dyDescent="0.25">
      <c r="A80" s="770">
        <f t="shared" si="3"/>
        <v>75</v>
      </c>
      <c r="B80" s="771" t="s">
        <v>912</v>
      </c>
      <c r="C80" s="772">
        <f>C81+C82</f>
        <v>3461462.7800000003</v>
      </c>
      <c r="D80" s="772">
        <f>D81+D82</f>
        <v>1634.48</v>
      </c>
      <c r="E80" s="772">
        <f>E81+E82</f>
        <v>3876170.61</v>
      </c>
      <c r="F80" s="772">
        <f>F81+F82</f>
        <v>1684.8300000000002</v>
      </c>
      <c r="G80" s="772">
        <f t="shared" si="4"/>
        <v>414707.82999999961</v>
      </c>
      <c r="H80" s="773">
        <f t="shared" si="4"/>
        <v>50.350000000000136</v>
      </c>
      <c r="I80" s="774" t="s">
        <v>1083</v>
      </c>
    </row>
    <row r="81" spans="1:25" ht="16.5" customHeight="1" x14ac:dyDescent="0.25">
      <c r="A81" s="211">
        <f t="shared" si="3"/>
        <v>76</v>
      </c>
      <c r="B81" s="276" t="s">
        <v>616</v>
      </c>
      <c r="C81" s="563">
        <f>10049.1+5723.5+442.49+134.05</f>
        <v>16349.14</v>
      </c>
      <c r="D81" s="563"/>
      <c r="E81" s="563">
        <f>12606.19+6985.29+9.17</f>
        <v>19600.649999999998</v>
      </c>
      <c r="F81" s="563"/>
      <c r="G81" s="558">
        <f t="shared" si="4"/>
        <v>3251.5099999999984</v>
      </c>
      <c r="H81" s="559">
        <f t="shared" si="4"/>
        <v>0</v>
      </c>
      <c r="I81" s="212"/>
    </row>
    <row r="82" spans="1:25" s="775" customFormat="1" ht="81.75" customHeight="1" x14ac:dyDescent="0.25">
      <c r="A82" s="770">
        <f t="shared" si="3"/>
        <v>77</v>
      </c>
      <c r="B82" s="776" t="s">
        <v>913</v>
      </c>
      <c r="C82" s="772">
        <f>SUM(C83:C90)</f>
        <v>3445113.64</v>
      </c>
      <c r="D82" s="772">
        <f>SUM(D83:D90)</f>
        <v>1634.48</v>
      </c>
      <c r="E82" s="772">
        <f>SUM(E83:E90)</f>
        <v>3856569.96</v>
      </c>
      <c r="F82" s="772">
        <f>SUM(F83:F90)</f>
        <v>1684.8300000000002</v>
      </c>
      <c r="G82" s="772">
        <f t="shared" si="4"/>
        <v>411456.31999999983</v>
      </c>
      <c r="H82" s="773">
        <f t="shared" si="4"/>
        <v>50.350000000000136</v>
      </c>
      <c r="I82" s="785" t="s">
        <v>1108</v>
      </c>
      <c r="J82" s="784">
        <f>E82+E103</f>
        <v>9884782.25</v>
      </c>
      <c r="K82" s="784">
        <f>F82+F103</f>
        <v>77957.27</v>
      </c>
    </row>
    <row r="83" spans="1:25" ht="16.5" customHeight="1" x14ac:dyDescent="0.25">
      <c r="A83" s="211">
        <f t="shared" si="3"/>
        <v>78</v>
      </c>
      <c r="B83" s="277" t="s">
        <v>725</v>
      </c>
      <c r="C83" s="557">
        <v>3228887.17</v>
      </c>
      <c r="D83" s="557"/>
      <c r="E83" s="557">
        <v>3653962.56</v>
      </c>
      <c r="F83" s="557"/>
      <c r="G83" s="558">
        <f t="shared" si="4"/>
        <v>425075.39000000013</v>
      </c>
      <c r="H83" s="559">
        <f t="shared" si="4"/>
        <v>0</v>
      </c>
    </row>
    <row r="84" spans="1:25" x14ac:dyDescent="0.25">
      <c r="A84" s="211">
        <f t="shared" si="3"/>
        <v>79</v>
      </c>
      <c r="B84" s="277" t="s">
        <v>45</v>
      </c>
      <c r="C84" s="557">
        <v>12430.77</v>
      </c>
      <c r="D84" s="557">
        <v>493.05</v>
      </c>
      <c r="E84" s="557">
        <v>16218.36</v>
      </c>
      <c r="F84" s="557">
        <v>449.63</v>
      </c>
      <c r="G84" s="558">
        <f t="shared" si="4"/>
        <v>3787.59</v>
      </c>
      <c r="H84" s="559">
        <f t="shared" si="4"/>
        <v>-43.420000000000016</v>
      </c>
    </row>
    <row r="85" spans="1:25" x14ac:dyDescent="0.25">
      <c r="A85" s="211">
        <f t="shared" si="3"/>
        <v>80</v>
      </c>
      <c r="B85" s="277" t="s">
        <v>46</v>
      </c>
      <c r="C85" s="557"/>
      <c r="D85" s="557"/>
      <c r="E85" s="557"/>
      <c r="F85" s="557"/>
      <c r="G85" s="558">
        <f t="shared" si="4"/>
        <v>0</v>
      </c>
      <c r="H85" s="559">
        <f t="shared" si="4"/>
        <v>0</v>
      </c>
    </row>
    <row r="86" spans="1:25" ht="31.5" x14ac:dyDescent="0.25">
      <c r="A86" s="211">
        <f t="shared" si="3"/>
        <v>81</v>
      </c>
      <c r="B86" s="277" t="s">
        <v>726</v>
      </c>
      <c r="C86" s="557">
        <v>108909.2</v>
      </c>
      <c r="D86" s="557">
        <v>1054.51</v>
      </c>
      <c r="E86" s="557">
        <v>100865.32</v>
      </c>
      <c r="F86" s="557">
        <v>1229.75</v>
      </c>
      <c r="G86" s="558">
        <f t="shared" si="4"/>
        <v>-8043.8799999999901</v>
      </c>
      <c r="H86" s="559">
        <f t="shared" si="4"/>
        <v>175.24</v>
      </c>
      <c r="I86" s="215"/>
      <c r="J86" s="216"/>
      <c r="K86" s="216"/>
      <c r="L86" s="216"/>
    </row>
    <row r="87" spans="1:25" ht="31.5" x14ac:dyDescent="0.25">
      <c r="A87" s="211">
        <f t="shared" si="3"/>
        <v>82</v>
      </c>
      <c r="B87" s="277" t="s">
        <v>769</v>
      </c>
      <c r="C87" s="557">
        <v>85735</v>
      </c>
      <c r="D87" s="557"/>
      <c r="E87" s="557">
        <v>63827</v>
      </c>
      <c r="F87" s="557"/>
      <c r="G87" s="558">
        <f t="shared" si="4"/>
        <v>-21908</v>
      </c>
      <c r="H87" s="559">
        <f t="shared" si="4"/>
        <v>0</v>
      </c>
      <c r="J87" s="212"/>
    </row>
    <row r="88" spans="1:25" ht="15.75" customHeight="1" x14ac:dyDescent="0.25">
      <c r="A88" s="211" t="s">
        <v>523</v>
      </c>
      <c r="B88" s="277" t="s">
        <v>727</v>
      </c>
      <c r="C88" s="557"/>
      <c r="D88" s="557"/>
      <c r="E88" s="557"/>
      <c r="F88" s="557"/>
      <c r="G88" s="558">
        <f t="shared" si="4"/>
        <v>0</v>
      </c>
      <c r="H88" s="559">
        <f t="shared" si="4"/>
        <v>0</v>
      </c>
      <c r="I88" s="208"/>
    </row>
    <row r="89" spans="1:25" ht="15.75" customHeight="1" x14ac:dyDescent="0.25">
      <c r="A89" s="211">
        <f>A87+1</f>
        <v>83</v>
      </c>
      <c r="B89" s="277" t="s">
        <v>728</v>
      </c>
      <c r="C89" s="557">
        <v>7230</v>
      </c>
      <c r="D89" s="557"/>
      <c r="E89" s="557">
        <v>11579</v>
      </c>
      <c r="F89" s="557"/>
      <c r="G89" s="558">
        <f t="shared" si="4"/>
        <v>4349</v>
      </c>
      <c r="H89" s="559">
        <f t="shared" si="4"/>
        <v>0</v>
      </c>
      <c r="I89" s="208"/>
    </row>
    <row r="90" spans="1:25" ht="31.5" x14ac:dyDescent="0.25">
      <c r="A90" s="211">
        <f t="shared" si="3"/>
        <v>84</v>
      </c>
      <c r="B90" s="524" t="s">
        <v>906</v>
      </c>
      <c r="C90" s="557">
        <v>1921.5</v>
      </c>
      <c r="D90" s="557">
        <v>86.92</v>
      </c>
      <c r="E90" s="557">
        <v>10117.719999999999</v>
      </c>
      <c r="F90" s="557">
        <v>5.45</v>
      </c>
      <c r="G90" s="558">
        <f t="shared" si="4"/>
        <v>8196.2199999999993</v>
      </c>
      <c r="H90" s="559">
        <f t="shared" si="4"/>
        <v>-81.47</v>
      </c>
      <c r="I90" s="208"/>
      <c r="J90" s="212"/>
    </row>
    <row r="91" spans="1:25" ht="31.5" x14ac:dyDescent="0.25">
      <c r="A91" s="211">
        <f t="shared" si="3"/>
        <v>85</v>
      </c>
      <c r="B91" s="276" t="s">
        <v>914</v>
      </c>
      <c r="C91" s="555">
        <f>SUM(C92:C101)</f>
        <v>4258895.88</v>
      </c>
      <c r="D91" s="555">
        <f>SUM(D92:D101)</f>
        <v>63551.850000000006</v>
      </c>
      <c r="E91" s="555">
        <f>SUM(E92:E101)</f>
        <v>4475496.93</v>
      </c>
      <c r="F91" s="555">
        <f>SUM(F92:F101)</f>
        <v>61445.100000000006</v>
      </c>
      <c r="G91" s="555">
        <f t="shared" si="4"/>
        <v>216601.04999999981</v>
      </c>
      <c r="H91" s="556">
        <f t="shared" si="4"/>
        <v>-2106.75</v>
      </c>
      <c r="I91" s="208"/>
    </row>
    <row r="92" spans="1:25" ht="31.5" customHeight="1" x14ac:dyDescent="0.25">
      <c r="A92" s="436">
        <f t="shared" si="3"/>
        <v>86</v>
      </c>
      <c r="B92" s="437" t="s">
        <v>770</v>
      </c>
      <c r="C92" s="557">
        <v>593140.86</v>
      </c>
      <c r="D92" s="557"/>
      <c r="E92" s="557">
        <f>237923.99+356397</f>
        <v>594320.99</v>
      </c>
      <c r="F92" s="557"/>
      <c r="G92" s="558">
        <f t="shared" si="4"/>
        <v>1180.1300000000047</v>
      </c>
      <c r="H92" s="559">
        <f t="shared" si="4"/>
        <v>0</v>
      </c>
      <c r="I92" s="729"/>
      <c r="J92" s="217"/>
      <c r="K92" s="217"/>
      <c r="L92" s="217"/>
    </row>
    <row r="93" spans="1:25" ht="86.25" x14ac:dyDescent="0.25">
      <c r="A93" s="434">
        <f t="shared" si="3"/>
        <v>87</v>
      </c>
      <c r="B93" s="435" t="s">
        <v>778</v>
      </c>
      <c r="C93" s="557">
        <v>1627009.35</v>
      </c>
      <c r="D93" s="557">
        <v>59870.55</v>
      </c>
      <c r="E93" s="557">
        <f>885145.13+800003.21+7027.49+11</f>
        <v>1692186.8299999998</v>
      </c>
      <c r="F93" s="557">
        <v>59068.3</v>
      </c>
      <c r="G93" s="558">
        <f t="shared" si="4"/>
        <v>65177.479999999749</v>
      </c>
      <c r="H93" s="559">
        <f t="shared" si="4"/>
        <v>-802.25</v>
      </c>
      <c r="I93" s="742" t="s">
        <v>1046</v>
      </c>
      <c r="J93" s="225"/>
      <c r="K93" s="225"/>
      <c r="L93" s="225"/>
      <c r="M93" s="225"/>
      <c r="N93" s="225"/>
      <c r="O93" s="225"/>
      <c r="P93" s="225"/>
      <c r="Q93" s="225"/>
      <c r="R93" s="225"/>
      <c r="S93" s="225"/>
      <c r="T93" s="225"/>
      <c r="U93" s="225"/>
      <c r="V93" s="225"/>
      <c r="W93" s="225"/>
      <c r="X93" s="225"/>
      <c r="Y93" s="225"/>
    </row>
    <row r="94" spans="1:25" ht="31.5" x14ac:dyDescent="0.25">
      <c r="A94" s="436" t="s">
        <v>464</v>
      </c>
      <c r="B94" s="438" t="s">
        <v>771</v>
      </c>
      <c r="C94" s="557">
        <v>1545642.51</v>
      </c>
      <c r="D94" s="557"/>
      <c r="E94" s="557">
        <f>1389257.36+417278</f>
        <v>1806535.36</v>
      </c>
      <c r="F94" s="557"/>
      <c r="G94" s="558">
        <f>E94-C94</f>
        <v>260892.85000000009</v>
      </c>
      <c r="H94" s="559">
        <f>F94-D94</f>
        <v>0</v>
      </c>
      <c r="I94" s="726"/>
      <c r="J94" s="567"/>
    </row>
    <row r="95" spans="1:25" ht="93.75" customHeight="1" x14ac:dyDescent="0.25">
      <c r="A95" s="436" t="s">
        <v>768</v>
      </c>
      <c r="B95" s="438" t="s">
        <v>772</v>
      </c>
      <c r="C95" s="557">
        <v>393425.16</v>
      </c>
      <c r="D95" s="557"/>
      <c r="E95" s="557">
        <f>247150+11676+7119.01+57912.82</f>
        <v>323857.83</v>
      </c>
      <c r="F95" s="557"/>
      <c r="G95" s="558">
        <f>E95-C95</f>
        <v>-69567.329999999958</v>
      </c>
      <c r="H95" s="559">
        <f>F95-D95</f>
        <v>0</v>
      </c>
      <c r="I95" s="741"/>
    </row>
    <row r="96" spans="1:25" ht="15.75" customHeight="1" x14ac:dyDescent="0.25">
      <c r="A96" s="211">
        <f>A93+1</f>
        <v>88</v>
      </c>
      <c r="B96" s="280" t="s">
        <v>522</v>
      </c>
      <c r="C96" s="557">
        <v>220.64</v>
      </c>
      <c r="D96" s="557">
        <v>3681.3</v>
      </c>
      <c r="E96" s="557">
        <f>7884.24+12.9</f>
        <v>7897.1399999999994</v>
      </c>
      <c r="F96" s="557">
        <v>2376.8000000000002</v>
      </c>
      <c r="G96" s="558">
        <f t="shared" si="4"/>
        <v>7676.4999999999991</v>
      </c>
      <c r="H96" s="559">
        <f t="shared" si="4"/>
        <v>-1304.5</v>
      </c>
      <c r="I96" s="212"/>
    </row>
    <row r="97" spans="1:9" ht="15.75" customHeight="1" x14ac:dyDescent="0.25">
      <c r="A97" s="211">
        <f t="shared" si="3"/>
        <v>89</v>
      </c>
      <c r="B97" s="280" t="s">
        <v>58</v>
      </c>
      <c r="C97" s="557"/>
      <c r="D97" s="557"/>
      <c r="E97" s="557"/>
      <c r="F97" s="557"/>
      <c r="G97" s="558">
        <f t="shared" si="4"/>
        <v>0</v>
      </c>
      <c r="H97" s="559">
        <f t="shared" si="4"/>
        <v>0</v>
      </c>
    </row>
    <row r="98" spans="1:9" ht="15.75" customHeight="1" x14ac:dyDescent="0.25">
      <c r="A98" s="211">
        <f t="shared" si="3"/>
        <v>90</v>
      </c>
      <c r="B98" s="280" t="s">
        <v>59</v>
      </c>
      <c r="C98" s="557">
        <v>85985.06</v>
      </c>
      <c r="D98" s="557"/>
      <c r="E98" s="557">
        <v>50698.78</v>
      </c>
      <c r="F98" s="557"/>
      <c r="G98" s="558">
        <f t="shared" si="4"/>
        <v>-35286.28</v>
      </c>
      <c r="H98" s="559">
        <f t="shared" si="4"/>
        <v>0</v>
      </c>
    </row>
    <row r="99" spans="1:9" ht="31.5" x14ac:dyDescent="0.25">
      <c r="A99" s="211">
        <f t="shared" si="3"/>
        <v>91</v>
      </c>
      <c r="B99" s="283" t="s">
        <v>524</v>
      </c>
      <c r="C99" s="557">
        <v>13472.3</v>
      </c>
      <c r="D99" s="557"/>
      <c r="E99" s="557"/>
      <c r="F99" s="557"/>
      <c r="G99" s="558">
        <f t="shared" si="4"/>
        <v>-13472.3</v>
      </c>
      <c r="H99" s="559">
        <f t="shared" si="4"/>
        <v>0</v>
      </c>
      <c r="I99" s="218"/>
    </row>
    <row r="100" spans="1:9" ht="40.5" customHeight="1" x14ac:dyDescent="0.25">
      <c r="A100" s="211">
        <f t="shared" si="3"/>
        <v>92</v>
      </c>
      <c r="B100" s="284" t="s">
        <v>729</v>
      </c>
      <c r="C100" s="557"/>
      <c r="D100" s="557"/>
      <c r="E100" s="557"/>
      <c r="F100" s="557"/>
      <c r="G100" s="558">
        <f t="shared" si="4"/>
        <v>0</v>
      </c>
      <c r="H100" s="559">
        <f t="shared" si="4"/>
        <v>0</v>
      </c>
    </row>
    <row r="101" spans="1:9" ht="16.5" customHeight="1" x14ac:dyDescent="0.25">
      <c r="A101" s="211">
        <f>A100+1</f>
        <v>93</v>
      </c>
      <c r="B101" s="525" t="s">
        <v>907</v>
      </c>
      <c r="C101" s="557"/>
      <c r="D101" s="557"/>
      <c r="E101" s="557"/>
      <c r="F101" s="557"/>
      <c r="G101" s="558">
        <f t="shared" si="4"/>
        <v>0</v>
      </c>
      <c r="H101" s="559">
        <f t="shared" si="4"/>
        <v>0</v>
      </c>
    </row>
    <row r="102" spans="1:9" ht="16.149999999999999" customHeight="1" x14ac:dyDescent="0.25">
      <c r="A102" s="211">
        <f t="shared" si="3"/>
        <v>94</v>
      </c>
      <c r="B102" s="276" t="s">
        <v>533</v>
      </c>
      <c r="C102" s="557">
        <v>1559258.11</v>
      </c>
      <c r="D102" s="557"/>
      <c r="E102" s="557">
        <v>902890.84</v>
      </c>
      <c r="F102" s="557"/>
      <c r="G102" s="558">
        <f t="shared" si="4"/>
        <v>-656367.27000000014</v>
      </c>
      <c r="H102" s="559">
        <f t="shared" si="4"/>
        <v>0</v>
      </c>
    </row>
    <row r="103" spans="1:9" ht="16.149999999999999" customHeight="1" x14ac:dyDescent="0.25">
      <c r="A103" s="211">
        <f t="shared" si="3"/>
        <v>95</v>
      </c>
      <c r="B103" s="276" t="s">
        <v>617</v>
      </c>
      <c r="C103" s="557">
        <f>4580525.21-14983.85</f>
        <v>4565541.3600000003</v>
      </c>
      <c r="D103" s="557">
        <v>79719.63</v>
      </c>
      <c r="E103" s="557">
        <v>6028212.29</v>
      </c>
      <c r="F103" s="557">
        <v>76272.44</v>
      </c>
      <c r="G103" s="558">
        <f t="shared" si="4"/>
        <v>1462670.9299999997</v>
      </c>
      <c r="H103" s="559">
        <f t="shared" si="4"/>
        <v>-3447.1900000000023</v>
      </c>
      <c r="I103" s="224"/>
    </row>
    <row r="104" spans="1:9" x14ac:dyDescent="0.25">
      <c r="A104" s="211">
        <f t="shared" si="3"/>
        <v>96</v>
      </c>
      <c r="B104" s="276" t="s">
        <v>534</v>
      </c>
      <c r="C104" s="557"/>
      <c r="D104" s="557">
        <v>18529.3</v>
      </c>
      <c r="E104" s="557">
        <v>1128.27</v>
      </c>
      <c r="F104" s="557">
        <v>20162.900000000001</v>
      </c>
      <c r="G104" s="558">
        <f t="shared" si="4"/>
        <v>1128.27</v>
      </c>
      <c r="H104" s="559">
        <f t="shared" si="4"/>
        <v>1633.6000000000022</v>
      </c>
    </row>
    <row r="105" spans="1:9" ht="34.5" customHeight="1" thickBot="1" x14ac:dyDescent="0.3">
      <c r="A105" s="236">
        <f t="shared" si="3"/>
        <v>97</v>
      </c>
      <c r="B105" s="285" t="s">
        <v>917</v>
      </c>
      <c r="C105" s="565">
        <f t="shared" ref="C105:D105" si="5">C6+C19+C27+C32+C40+C43+C44+C60+C67+C68+C69+C76+C77+C78+C79+C80+C91+C102+C103+C104</f>
        <v>77929185.399999991</v>
      </c>
      <c r="D105" s="565">
        <f t="shared" si="5"/>
        <v>1454218.64</v>
      </c>
      <c r="E105" s="565">
        <f>E6+E19+E27+E32+E40+E43+E44+E60+E67+E68+E69+E76+E77+E78+E79+E80+E91+E102+E103+E104</f>
        <v>90237508.00999999</v>
      </c>
      <c r="F105" s="565">
        <f>F6+F19+F27+F32+F40+F43+F44+F60+F67+F68+F69+F76+F77+F78+F79+F80+F91+F102+F103+F104</f>
        <v>2004225.7500000002</v>
      </c>
      <c r="G105" s="565">
        <f>E105-C105</f>
        <v>12308322.609999999</v>
      </c>
      <c r="H105" s="566">
        <f>F105-D105</f>
        <v>550007.11000000034</v>
      </c>
    </row>
    <row r="106" spans="1:9" x14ac:dyDescent="0.25">
      <c r="A106" s="219"/>
      <c r="B106" s="286"/>
      <c r="C106" s="727"/>
      <c r="D106" s="568">
        <f>C105+D105-C104-D104</f>
        <v>79364874.739999995</v>
      </c>
      <c r="E106" s="727"/>
      <c r="F106" s="568">
        <f>E105+F105-E104-F104</f>
        <v>92220442.589999989</v>
      </c>
      <c r="G106" s="567"/>
      <c r="H106" s="567"/>
      <c r="I106" s="220" t="s">
        <v>516</v>
      </c>
    </row>
    <row r="107" spans="1:9" ht="31.5" x14ac:dyDescent="0.25">
      <c r="A107" s="221" t="s">
        <v>500</v>
      </c>
      <c r="B107" s="287" t="s">
        <v>915</v>
      </c>
      <c r="C107" s="727"/>
      <c r="D107" s="727"/>
      <c r="E107" s="727"/>
      <c r="F107" s="727"/>
      <c r="H107" s="209" t="s">
        <v>1084</v>
      </c>
    </row>
    <row r="108" spans="1:9" x14ac:dyDescent="0.25">
      <c r="B108" s="287" t="s">
        <v>777</v>
      </c>
      <c r="D108" s="217"/>
      <c r="E108" s="727"/>
      <c r="F108" s="727"/>
      <c r="H108" s="217" t="s">
        <v>1085</v>
      </c>
    </row>
    <row r="109" spans="1:9" x14ac:dyDescent="0.25">
      <c r="D109" s="727"/>
      <c r="E109" s="217"/>
      <c r="F109" s="727"/>
      <c r="H109" s="209" t="s">
        <v>1086</v>
      </c>
    </row>
    <row r="110" spans="1:9" x14ac:dyDescent="0.25">
      <c r="F110" s="217"/>
      <c r="H110" s="217" t="s">
        <v>1104</v>
      </c>
    </row>
    <row r="975" spans="6:6" x14ac:dyDescent="0.25">
      <c r="F975" s="209" t="s">
        <v>182</v>
      </c>
    </row>
    <row r="994" spans="4:4" x14ac:dyDescent="0.25">
      <c r="D994" s="209" t="s">
        <v>181</v>
      </c>
    </row>
  </sheetData>
  <mergeCells count="7">
    <mergeCell ref="A1:H1"/>
    <mergeCell ref="A2:H2"/>
    <mergeCell ref="A3:A4"/>
    <mergeCell ref="B3:B4"/>
    <mergeCell ref="C3:D3"/>
    <mergeCell ref="E3:F3"/>
    <mergeCell ref="G3:H3"/>
  </mergeCells>
  <printOptions horizontalCentered="1" verticalCentered="1" gridLines="1"/>
  <pageMargins left="0.19685039370078741" right="0.19685039370078741" top="0.19685039370078741" bottom="0.19685039370078741" header="0.39370078740157483" footer="0.23622047244094491"/>
  <pageSetup paperSize="9" scale="54" fitToHeight="0" orientation="portrait" r:id="rId1"/>
  <headerFooter alignWithMargins="0">
    <oddFooter xml:space="preserve">&amp;C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tabColor indexed="42"/>
    <pageSetUpPr fitToPage="1"/>
  </sheetPr>
  <dimension ref="A1:O38"/>
  <sheetViews>
    <sheetView zoomScaleNormal="100" workbookViewId="0">
      <pane xSplit="2" ySplit="6" topLeftCell="F23" activePane="bottomRight" state="frozen"/>
      <selection pane="topRight" activeCell="C1" sqref="C1"/>
      <selection pane="bottomLeft" activeCell="A7" sqref="A7"/>
      <selection pane="bottomRight" activeCell="J30" sqref="J30"/>
    </sheetView>
  </sheetViews>
  <sheetFormatPr defaultColWidth="9.140625" defaultRowHeight="15.75" x14ac:dyDescent="0.2"/>
  <cols>
    <col min="1" max="1" width="5.5703125" style="18" customWidth="1"/>
    <col min="2" max="2" width="65.42578125" style="25" customWidth="1"/>
    <col min="3" max="3" width="14.7109375" style="13" customWidth="1"/>
    <col min="4" max="4" width="14" style="13" customWidth="1"/>
    <col min="5" max="5" width="15.85546875" style="13" customWidth="1"/>
    <col min="6" max="6" width="15.7109375" style="13" customWidth="1"/>
    <col min="7" max="7" width="19.140625" style="13" customWidth="1"/>
    <col min="8" max="8" width="18.7109375" style="13" customWidth="1"/>
    <col min="9" max="9" width="16.28515625" style="13" customWidth="1"/>
    <col min="10" max="10" width="17.7109375" style="13" bestFit="1" customWidth="1"/>
    <col min="11" max="11" width="13.28515625" style="13" customWidth="1"/>
    <col min="12" max="13" width="9.85546875" style="13" customWidth="1"/>
    <col min="14" max="14" width="9.140625" style="13" customWidth="1"/>
    <col min="15" max="15" width="32.42578125" style="13" customWidth="1"/>
    <col min="16" max="16384" width="9.140625" style="13"/>
  </cols>
  <sheetData>
    <row r="1" spans="1:15" s="255" customFormat="1" ht="35.1" customHeight="1" thickBot="1" x14ac:dyDescent="0.25">
      <c r="A1" s="837" t="s">
        <v>813</v>
      </c>
      <c r="B1" s="838"/>
      <c r="C1" s="838"/>
      <c r="D1" s="838"/>
      <c r="E1" s="838"/>
      <c r="F1" s="838"/>
      <c r="G1" s="838"/>
      <c r="H1" s="838"/>
      <c r="I1" s="838"/>
      <c r="J1" s="838"/>
      <c r="K1" s="838"/>
    </row>
    <row r="2" spans="1:15" s="255" customFormat="1" ht="35.450000000000003" customHeight="1" thickBot="1" x14ac:dyDescent="0.25">
      <c r="A2" s="813" t="s">
        <v>1057</v>
      </c>
      <c r="B2" s="814"/>
      <c r="C2" s="814"/>
      <c r="D2" s="814"/>
      <c r="E2" s="814"/>
      <c r="F2" s="814"/>
      <c r="G2" s="814"/>
      <c r="H2" s="814"/>
      <c r="I2" s="814"/>
      <c r="J2" s="814"/>
      <c r="K2" s="815"/>
      <c r="L2" s="288"/>
      <c r="M2" s="288"/>
      <c r="N2" s="288"/>
    </row>
    <row r="3" spans="1:15" s="255" customFormat="1" ht="32.25" customHeight="1" x14ac:dyDescent="0.2">
      <c r="A3" s="853" t="s">
        <v>80</v>
      </c>
      <c r="B3" s="809" t="s">
        <v>90</v>
      </c>
      <c r="C3" s="809" t="s">
        <v>814</v>
      </c>
      <c r="D3" s="809"/>
      <c r="E3" s="809"/>
      <c r="F3" s="809"/>
      <c r="G3" s="809" t="s">
        <v>479</v>
      </c>
      <c r="H3" s="844" t="s">
        <v>133</v>
      </c>
      <c r="I3" s="809" t="s">
        <v>481</v>
      </c>
      <c r="J3" s="839" t="s">
        <v>482</v>
      </c>
      <c r="K3" s="846" t="s">
        <v>503</v>
      </c>
      <c r="L3" s="828" t="s">
        <v>541</v>
      </c>
      <c r="M3" s="831" t="s">
        <v>553</v>
      </c>
      <c r="N3" s="834" t="s">
        <v>542</v>
      </c>
      <c r="O3" s="289"/>
    </row>
    <row r="4" spans="1:15" s="255" customFormat="1" ht="34.5" customHeight="1" x14ac:dyDescent="0.2">
      <c r="A4" s="854"/>
      <c r="B4" s="849"/>
      <c r="C4" s="849" t="s">
        <v>88</v>
      </c>
      <c r="D4" s="237" t="s">
        <v>133</v>
      </c>
      <c r="E4" s="849" t="s">
        <v>89</v>
      </c>
      <c r="F4" s="849" t="s">
        <v>67</v>
      </c>
      <c r="G4" s="849"/>
      <c r="H4" s="845"/>
      <c r="I4" s="849"/>
      <c r="J4" s="840"/>
      <c r="K4" s="846"/>
      <c r="L4" s="829"/>
      <c r="M4" s="832"/>
      <c r="N4" s="835"/>
      <c r="O4" s="289"/>
    </row>
    <row r="5" spans="1:15" s="291" customFormat="1" ht="79.5" thickBot="1" x14ac:dyDescent="0.25">
      <c r="A5" s="854"/>
      <c r="B5" s="849"/>
      <c r="C5" s="849"/>
      <c r="D5" s="237" t="s">
        <v>463</v>
      </c>
      <c r="E5" s="849"/>
      <c r="F5" s="849"/>
      <c r="G5" s="849"/>
      <c r="H5" s="237" t="s">
        <v>480</v>
      </c>
      <c r="I5" s="849"/>
      <c r="J5" s="840"/>
      <c r="K5" s="847"/>
      <c r="L5" s="830"/>
      <c r="M5" s="833"/>
      <c r="N5" s="836"/>
      <c r="O5" s="290"/>
    </row>
    <row r="6" spans="1:15" s="295" customFormat="1" ht="15.75" customHeight="1" thickBot="1" x14ac:dyDescent="0.25">
      <c r="A6" s="292"/>
      <c r="B6" s="241"/>
      <c r="C6" s="257" t="s">
        <v>119</v>
      </c>
      <c r="D6" s="257" t="s">
        <v>120</v>
      </c>
      <c r="E6" s="257" t="s">
        <v>121</v>
      </c>
      <c r="F6" s="257" t="s">
        <v>68</v>
      </c>
      <c r="G6" s="257" t="s">
        <v>122</v>
      </c>
      <c r="H6" s="257" t="s">
        <v>123</v>
      </c>
      <c r="I6" s="257" t="s">
        <v>124</v>
      </c>
      <c r="J6" s="293" t="s">
        <v>69</v>
      </c>
      <c r="K6" s="294" t="s">
        <v>504</v>
      </c>
    </row>
    <row r="7" spans="1:15" s="16" customFormat="1" x14ac:dyDescent="0.2">
      <c r="A7" s="19">
        <v>1</v>
      </c>
      <c r="B7" s="238" t="s">
        <v>116</v>
      </c>
      <c r="C7" s="532">
        <f>SUM(C8:C12)</f>
        <v>639.34</v>
      </c>
      <c r="D7" s="532">
        <f>SUM(D8:D12)</f>
        <v>638.77</v>
      </c>
      <c r="E7" s="532">
        <f>SUM(E8:E12)</f>
        <v>93.83</v>
      </c>
      <c r="F7" s="532">
        <f t="shared" ref="F7:F13" si="0">C7+E7</f>
        <v>733.17000000000007</v>
      </c>
      <c r="G7" s="532">
        <f>SUM(G8:G12)</f>
        <v>16383965.84</v>
      </c>
      <c r="H7" s="532">
        <f>SUM(H8:H12)</f>
        <v>16202561.490000002</v>
      </c>
      <c r="I7" s="532">
        <f>SUM(I8:I12)</f>
        <v>6437551.2100000009</v>
      </c>
      <c r="J7" s="587">
        <f t="shared" ref="J7:J13" si="1">G7+I7</f>
        <v>22821517.050000001</v>
      </c>
      <c r="K7" s="588">
        <f>IF(F7=0,0,J7/F7/12)</f>
        <v>2593.9319496160506</v>
      </c>
      <c r="L7" s="578">
        <v>1759.52</v>
      </c>
      <c r="M7" s="579">
        <v>2142</v>
      </c>
      <c r="N7" s="580">
        <v>2841.02</v>
      </c>
    </row>
    <row r="8" spans="1:15" x14ac:dyDescent="0.2">
      <c r="A8" s="19">
        <v>2</v>
      </c>
      <c r="B8" s="239" t="s">
        <v>730</v>
      </c>
      <c r="C8" s="569">
        <v>88.66</v>
      </c>
      <c r="D8" s="569">
        <v>88.2</v>
      </c>
      <c r="E8" s="569">
        <v>19.79</v>
      </c>
      <c r="F8" s="532">
        <f t="shared" si="0"/>
        <v>108.44999999999999</v>
      </c>
      <c r="G8" s="569">
        <v>3609824.06</v>
      </c>
      <c r="H8" s="569">
        <v>3552453.56</v>
      </c>
      <c r="I8" s="569">
        <v>1662129.1099999999</v>
      </c>
      <c r="J8" s="587">
        <f t="shared" si="1"/>
        <v>5271953.17</v>
      </c>
      <c r="K8" s="588">
        <f t="shared" ref="K8:K30" si="2">IF(F8=0,0,J8/F8/12)</f>
        <v>4050.9859920086069</v>
      </c>
      <c r="L8" s="581">
        <v>2607.11</v>
      </c>
      <c r="M8" s="582">
        <v>3639.81</v>
      </c>
      <c r="N8" s="583">
        <v>4962.55</v>
      </c>
    </row>
    <row r="9" spans="1:15" x14ac:dyDescent="0.2">
      <c r="A9" s="19">
        <v>3</v>
      </c>
      <c r="B9" s="239" t="s">
        <v>91</v>
      </c>
      <c r="C9" s="569">
        <v>182.71</v>
      </c>
      <c r="D9" s="569">
        <v>182.64</v>
      </c>
      <c r="E9" s="569">
        <v>21.58</v>
      </c>
      <c r="F9" s="532">
        <f t="shared" si="0"/>
        <v>204.29000000000002</v>
      </c>
      <c r="G9" s="569">
        <v>5618417.5099999998</v>
      </c>
      <c r="H9" s="569">
        <v>5534191.0800000001</v>
      </c>
      <c r="I9" s="569">
        <v>1474101.7300000004</v>
      </c>
      <c r="J9" s="587">
        <f t="shared" si="1"/>
        <v>7092519.2400000002</v>
      </c>
      <c r="K9" s="588">
        <f t="shared" si="2"/>
        <v>2893.1581085711482</v>
      </c>
      <c r="L9" s="581">
        <v>2120.4299999999998</v>
      </c>
      <c r="M9" s="582">
        <v>2545.85</v>
      </c>
      <c r="N9" s="583">
        <v>3632.78</v>
      </c>
    </row>
    <row r="10" spans="1:15" x14ac:dyDescent="0.2">
      <c r="A10" s="19">
        <v>4</v>
      </c>
      <c r="B10" s="239" t="s">
        <v>92</v>
      </c>
      <c r="C10" s="569">
        <v>281.89</v>
      </c>
      <c r="D10" s="569">
        <v>281.89</v>
      </c>
      <c r="E10" s="569">
        <v>39.409999999999997</v>
      </c>
      <c r="F10" s="532">
        <f t="shared" si="0"/>
        <v>321.29999999999995</v>
      </c>
      <c r="G10" s="569">
        <v>5752518.0199999996</v>
      </c>
      <c r="H10" s="569">
        <v>5715201.0499999998</v>
      </c>
      <c r="I10" s="569">
        <v>2518452.6400000006</v>
      </c>
      <c r="J10" s="587">
        <f t="shared" si="1"/>
        <v>8270970.6600000001</v>
      </c>
      <c r="K10" s="588">
        <f t="shared" si="2"/>
        <v>2145.1838001867418</v>
      </c>
      <c r="L10" s="581">
        <v>1643.72</v>
      </c>
      <c r="M10" s="582">
        <v>2007.59</v>
      </c>
      <c r="N10" s="583">
        <v>2434.98</v>
      </c>
    </row>
    <row r="11" spans="1:15" x14ac:dyDescent="0.2">
      <c r="A11" s="19">
        <v>5</v>
      </c>
      <c r="B11" s="239" t="s">
        <v>93</v>
      </c>
      <c r="C11" s="569">
        <v>16.88</v>
      </c>
      <c r="D11" s="569">
        <v>16.87</v>
      </c>
      <c r="E11" s="569">
        <v>3.58</v>
      </c>
      <c r="F11" s="532">
        <f t="shared" si="0"/>
        <v>20.46</v>
      </c>
      <c r="G11" s="569">
        <v>269558.21999999997</v>
      </c>
      <c r="H11" s="569">
        <v>269058.21000000002</v>
      </c>
      <c r="I11" s="569">
        <v>157234.24000000005</v>
      </c>
      <c r="J11" s="587">
        <f t="shared" si="1"/>
        <v>426792.46</v>
      </c>
      <c r="K11" s="588">
        <f t="shared" si="2"/>
        <v>1738.3205441511893</v>
      </c>
      <c r="L11" s="581">
        <v>1450.96</v>
      </c>
      <c r="M11" s="582">
        <v>1742.77</v>
      </c>
      <c r="N11" s="583">
        <v>2008.94</v>
      </c>
    </row>
    <row r="12" spans="1:15" x14ac:dyDescent="0.2">
      <c r="A12" s="19">
        <v>6</v>
      </c>
      <c r="B12" s="239" t="s">
        <v>94</v>
      </c>
      <c r="C12" s="569">
        <v>69.2</v>
      </c>
      <c r="D12" s="569">
        <v>69.17</v>
      </c>
      <c r="E12" s="569">
        <v>9.4700000000000006</v>
      </c>
      <c r="F12" s="532">
        <f t="shared" si="0"/>
        <v>78.67</v>
      </c>
      <c r="G12" s="569">
        <v>1133648.03</v>
      </c>
      <c r="H12" s="569">
        <v>1131657.5900000001</v>
      </c>
      <c r="I12" s="569">
        <v>625633.49</v>
      </c>
      <c r="J12" s="587">
        <f t="shared" si="1"/>
        <v>1759281.52</v>
      </c>
      <c r="K12" s="588">
        <f t="shared" si="2"/>
        <v>1863.5667132748613</v>
      </c>
      <c r="L12" s="581">
        <v>1543.35</v>
      </c>
      <c r="M12" s="582">
        <v>1761.99</v>
      </c>
      <c r="N12" s="583">
        <v>2124.13</v>
      </c>
    </row>
    <row r="13" spans="1:15" x14ac:dyDescent="0.2">
      <c r="A13" s="19">
        <v>7</v>
      </c>
      <c r="B13" s="238" t="s">
        <v>20</v>
      </c>
      <c r="C13" s="569">
        <v>180.9</v>
      </c>
      <c r="D13" s="569">
        <v>180.62</v>
      </c>
      <c r="E13" s="569">
        <v>48.98</v>
      </c>
      <c r="F13" s="532">
        <f t="shared" si="0"/>
        <v>229.88</v>
      </c>
      <c r="G13" s="569">
        <v>2807195.26</v>
      </c>
      <c r="H13" s="569">
        <v>2776910.65</v>
      </c>
      <c r="I13" s="569">
        <v>1149196.9700000002</v>
      </c>
      <c r="J13" s="587">
        <f t="shared" si="1"/>
        <v>3956392.23</v>
      </c>
      <c r="K13" s="588">
        <f t="shared" si="2"/>
        <v>1434.2237362971985</v>
      </c>
      <c r="L13" s="581">
        <v>1040.31</v>
      </c>
      <c r="M13" s="582">
        <v>1260.77</v>
      </c>
      <c r="N13" s="583">
        <v>1741.98</v>
      </c>
    </row>
    <row r="14" spans="1:15" x14ac:dyDescent="0.2">
      <c r="A14" s="19"/>
      <c r="B14" s="239" t="s">
        <v>133</v>
      </c>
      <c r="C14" s="570"/>
      <c r="D14" s="570"/>
      <c r="E14" s="570"/>
      <c r="F14" s="589"/>
      <c r="G14" s="570"/>
      <c r="H14" s="570"/>
      <c r="I14" s="570"/>
      <c r="J14" s="590"/>
      <c r="K14" s="588"/>
      <c r="L14" s="581"/>
      <c r="M14" s="582"/>
      <c r="N14" s="583"/>
    </row>
    <row r="15" spans="1:15" x14ac:dyDescent="0.2">
      <c r="A15" s="19">
        <v>8</v>
      </c>
      <c r="B15" s="239" t="s">
        <v>24</v>
      </c>
      <c r="C15" s="569">
        <v>48.33</v>
      </c>
      <c r="D15" s="569">
        <v>48.33</v>
      </c>
      <c r="E15" s="569">
        <v>6.92</v>
      </c>
      <c r="F15" s="532">
        <f t="shared" ref="F15:F21" si="3">C15+E15</f>
        <v>55.25</v>
      </c>
      <c r="G15" s="569">
        <v>928064.95</v>
      </c>
      <c r="H15" s="569">
        <v>928064.95</v>
      </c>
      <c r="I15" s="569">
        <v>193529.27000000002</v>
      </c>
      <c r="J15" s="587">
        <f t="shared" ref="J15:J21" si="4">G15+I15</f>
        <v>1121594.22</v>
      </c>
      <c r="K15" s="588">
        <f t="shared" si="2"/>
        <v>1691.6956561085972</v>
      </c>
      <c r="L15" s="581">
        <v>1218.94</v>
      </c>
      <c r="M15" s="582">
        <v>1580.76</v>
      </c>
      <c r="N15" s="583">
        <v>2041.85</v>
      </c>
    </row>
    <row r="16" spans="1:15" x14ac:dyDescent="0.2">
      <c r="A16" s="19">
        <v>9</v>
      </c>
      <c r="B16" s="238" t="s">
        <v>117</v>
      </c>
      <c r="C16" s="532">
        <f>SUM(C17:C19)</f>
        <v>212.7</v>
      </c>
      <c r="D16" s="532">
        <f>SUM(D17:D19)</f>
        <v>212.45</v>
      </c>
      <c r="E16" s="532">
        <f>SUM(E17:E19)</f>
        <v>38.82</v>
      </c>
      <c r="F16" s="532">
        <f t="shared" si="3"/>
        <v>251.51999999999998</v>
      </c>
      <c r="G16" s="532">
        <f>SUM(G17:G19)</f>
        <v>3441713.78</v>
      </c>
      <c r="H16" s="532">
        <f>SUM(H17:H19)</f>
        <v>3418453.08</v>
      </c>
      <c r="I16" s="532">
        <f>SUM(I17:I19)</f>
        <v>1076843.48</v>
      </c>
      <c r="J16" s="587">
        <f t="shared" si="4"/>
        <v>4518557.26</v>
      </c>
      <c r="K16" s="588">
        <f t="shared" si="2"/>
        <v>1497.0834857400339</v>
      </c>
      <c r="L16" s="581">
        <v>1125.55</v>
      </c>
      <c r="M16" s="582">
        <v>1300.1600000000001</v>
      </c>
      <c r="N16" s="583">
        <v>1613.86</v>
      </c>
    </row>
    <row r="17" spans="1:15" x14ac:dyDescent="0.2">
      <c r="A17" s="19">
        <v>10</v>
      </c>
      <c r="B17" s="239" t="s">
        <v>95</v>
      </c>
      <c r="C17" s="569">
        <v>76.489999999999995</v>
      </c>
      <c r="D17" s="569">
        <v>76.489999999999995</v>
      </c>
      <c r="E17" s="569">
        <v>5.45</v>
      </c>
      <c r="F17" s="532">
        <f t="shared" si="3"/>
        <v>81.94</v>
      </c>
      <c r="G17" s="569">
        <v>1324632.3999999999</v>
      </c>
      <c r="H17" s="569">
        <v>1316940.8999999999</v>
      </c>
      <c r="I17" s="569">
        <v>232473.65000000014</v>
      </c>
      <c r="J17" s="587">
        <f t="shared" si="4"/>
        <v>1557106.05</v>
      </c>
      <c r="K17" s="588">
        <f t="shared" si="2"/>
        <v>1583.5835672443252</v>
      </c>
      <c r="L17" s="581">
        <v>1187.17</v>
      </c>
      <c r="M17" s="582">
        <v>1430.15</v>
      </c>
      <c r="N17" s="583">
        <v>1613.86</v>
      </c>
    </row>
    <row r="18" spans="1:15" x14ac:dyDescent="0.2">
      <c r="A18" s="19">
        <v>11</v>
      </c>
      <c r="B18" s="239" t="s">
        <v>70</v>
      </c>
      <c r="C18" s="569">
        <v>74.63</v>
      </c>
      <c r="D18" s="569">
        <v>74.53</v>
      </c>
      <c r="E18" s="569">
        <v>21.59</v>
      </c>
      <c r="F18" s="532">
        <f t="shared" si="3"/>
        <v>96.22</v>
      </c>
      <c r="G18" s="569">
        <v>1165745.04</v>
      </c>
      <c r="H18" s="569">
        <v>1158015.8400000001</v>
      </c>
      <c r="I18" s="569">
        <v>574019.02</v>
      </c>
      <c r="J18" s="587">
        <f t="shared" si="4"/>
        <v>1739764.06</v>
      </c>
      <c r="K18" s="588">
        <f t="shared" si="2"/>
        <v>1506.7588685650937</v>
      </c>
      <c r="L18" s="581">
        <v>1106.99</v>
      </c>
      <c r="M18" s="582">
        <v>1308.51</v>
      </c>
      <c r="N18" s="583">
        <v>1688.38</v>
      </c>
    </row>
    <row r="19" spans="1:15" x14ac:dyDescent="0.2">
      <c r="A19" s="19">
        <v>12</v>
      </c>
      <c r="B19" s="239" t="s">
        <v>61</v>
      </c>
      <c r="C19" s="569">
        <v>61.58</v>
      </c>
      <c r="D19" s="569">
        <v>61.43</v>
      </c>
      <c r="E19" s="569">
        <v>11.78</v>
      </c>
      <c r="F19" s="532">
        <f t="shared" si="3"/>
        <v>73.36</v>
      </c>
      <c r="G19" s="569">
        <v>951336.34</v>
      </c>
      <c r="H19" s="569">
        <v>943496.34</v>
      </c>
      <c r="I19" s="569">
        <v>270350.80999999994</v>
      </c>
      <c r="J19" s="587">
        <f t="shared" si="4"/>
        <v>1221687.1499999999</v>
      </c>
      <c r="K19" s="588">
        <f t="shared" si="2"/>
        <v>1387.7762063794983</v>
      </c>
      <c r="L19" s="581">
        <v>1100.54</v>
      </c>
      <c r="M19" s="582">
        <v>1219.82</v>
      </c>
      <c r="N19" s="583">
        <v>1366.14</v>
      </c>
    </row>
    <row r="20" spans="1:15" x14ac:dyDescent="0.2">
      <c r="A20" s="19">
        <v>13</v>
      </c>
      <c r="B20" s="238" t="s">
        <v>114</v>
      </c>
      <c r="C20" s="569">
        <v>116.8</v>
      </c>
      <c r="D20" s="569">
        <v>98.1</v>
      </c>
      <c r="E20" s="569">
        <v>38.479999999999997</v>
      </c>
      <c r="F20" s="532">
        <f t="shared" si="3"/>
        <v>155.28</v>
      </c>
      <c r="G20" s="569">
        <v>2836053.45</v>
      </c>
      <c r="H20" s="569">
        <v>2468376.02</v>
      </c>
      <c r="I20" s="569">
        <v>1269741.7199999997</v>
      </c>
      <c r="J20" s="587">
        <f t="shared" si="4"/>
        <v>4105795.17</v>
      </c>
      <c r="K20" s="588">
        <f t="shared" si="2"/>
        <v>2203.4363569036577</v>
      </c>
      <c r="L20" s="581">
        <v>1484.23</v>
      </c>
      <c r="M20" s="582">
        <v>1881.59</v>
      </c>
      <c r="N20" s="583">
        <v>2508.85</v>
      </c>
    </row>
    <row r="21" spans="1:15" ht="31.5" x14ac:dyDescent="0.2">
      <c r="A21" s="19">
        <v>14</v>
      </c>
      <c r="B21" s="238" t="s">
        <v>21</v>
      </c>
      <c r="C21" s="569">
        <v>132.69999999999999</v>
      </c>
      <c r="D21" s="569">
        <v>132.69999999999999</v>
      </c>
      <c r="E21" s="569">
        <v>23.01</v>
      </c>
      <c r="F21" s="532">
        <f t="shared" si="3"/>
        <v>155.70999999999998</v>
      </c>
      <c r="G21" s="569">
        <v>1434431.31</v>
      </c>
      <c r="H21" s="569">
        <v>1434301.31</v>
      </c>
      <c r="I21" s="569">
        <v>440077.11999999988</v>
      </c>
      <c r="J21" s="587">
        <f t="shared" si="4"/>
        <v>1874508.43</v>
      </c>
      <c r="K21" s="588">
        <f t="shared" si="2"/>
        <v>1003.2049054866953</v>
      </c>
      <c r="L21" s="581">
        <v>797.34</v>
      </c>
      <c r="M21" s="582">
        <v>913.38</v>
      </c>
      <c r="N21" s="583">
        <v>1156.5</v>
      </c>
    </row>
    <row r="22" spans="1:15" ht="47.25" x14ac:dyDescent="0.2">
      <c r="A22" s="19">
        <v>15</v>
      </c>
      <c r="B22" s="238" t="s">
        <v>147</v>
      </c>
      <c r="C22" s="532">
        <f>SUM(C23:C26)</f>
        <v>31.6</v>
      </c>
      <c r="D22" s="532">
        <f>SUM(D23:D26)</f>
        <v>31.6</v>
      </c>
      <c r="E22" s="532">
        <f>SUM(E23:E26)</f>
        <v>10.33</v>
      </c>
      <c r="F22" s="532">
        <f>SUM(F27:F27)</f>
        <v>0</v>
      </c>
      <c r="G22" s="532">
        <f>SUM(G23:G26)</f>
        <v>426303.35000000003</v>
      </c>
      <c r="H22" s="532">
        <f>SUM(H23:H26)</f>
        <v>426303.35000000003</v>
      </c>
      <c r="I22" s="532">
        <f>SUM(I23:I26)</f>
        <v>227749.48</v>
      </c>
      <c r="J22" s="587">
        <f>SUM(J23:J26)</f>
        <v>654052.82999999996</v>
      </c>
      <c r="K22" s="588">
        <f t="shared" si="2"/>
        <v>0</v>
      </c>
      <c r="L22" s="591" t="s">
        <v>140</v>
      </c>
      <c r="M22" s="571" t="s">
        <v>140</v>
      </c>
      <c r="N22" s="592" t="s">
        <v>140</v>
      </c>
    </row>
    <row r="23" spans="1:15" x14ac:dyDescent="0.2">
      <c r="A23" s="19" t="s">
        <v>115</v>
      </c>
      <c r="B23" s="296" t="s">
        <v>971</v>
      </c>
      <c r="C23" s="569">
        <v>31.1</v>
      </c>
      <c r="D23" s="569">
        <v>31.1</v>
      </c>
      <c r="E23" s="569">
        <v>10.33</v>
      </c>
      <c r="F23" s="532">
        <f t="shared" ref="F23:F29" si="5">C23+E23</f>
        <v>41.43</v>
      </c>
      <c r="G23" s="569">
        <v>418086.26</v>
      </c>
      <c r="H23" s="569">
        <v>418086.26</v>
      </c>
      <c r="I23" s="569">
        <v>227749.48</v>
      </c>
      <c r="J23" s="587">
        <f>G23+I23</f>
        <v>645835.74</v>
      </c>
      <c r="K23" s="588">
        <f t="shared" si="2"/>
        <v>1299.0500844798455</v>
      </c>
      <c r="L23" s="591" t="s">
        <v>140</v>
      </c>
      <c r="M23" s="571" t="s">
        <v>140</v>
      </c>
      <c r="N23" s="592" t="s">
        <v>140</v>
      </c>
    </row>
    <row r="24" spans="1:15" x14ac:dyDescent="0.2">
      <c r="A24" s="19" t="s">
        <v>190</v>
      </c>
      <c r="B24" s="296" t="s">
        <v>972</v>
      </c>
      <c r="C24" s="569">
        <v>0.5</v>
      </c>
      <c r="D24" s="569">
        <v>0.5</v>
      </c>
      <c r="E24" s="569"/>
      <c r="F24" s="532">
        <f t="shared" si="5"/>
        <v>0.5</v>
      </c>
      <c r="G24" s="569">
        <v>8217.09</v>
      </c>
      <c r="H24" s="569">
        <v>8217.09</v>
      </c>
      <c r="I24" s="569"/>
      <c r="J24" s="587">
        <f>G24+I24</f>
        <v>8217.09</v>
      </c>
      <c r="K24" s="588">
        <f t="shared" si="2"/>
        <v>1369.5150000000001</v>
      </c>
      <c r="L24" s="591" t="s">
        <v>140</v>
      </c>
      <c r="M24" s="571" t="s">
        <v>140</v>
      </c>
      <c r="N24" s="592" t="s">
        <v>140</v>
      </c>
    </row>
    <row r="25" spans="1:15" x14ac:dyDescent="0.2">
      <c r="A25" s="19" t="s">
        <v>191</v>
      </c>
      <c r="B25" s="296"/>
      <c r="C25" s="569"/>
      <c r="D25" s="569"/>
      <c r="E25" s="569"/>
      <c r="F25" s="532">
        <f t="shared" si="5"/>
        <v>0</v>
      </c>
      <c r="G25" s="569"/>
      <c r="H25" s="569"/>
      <c r="I25" s="569"/>
      <c r="J25" s="587">
        <f>G25+I25</f>
        <v>0</v>
      </c>
      <c r="K25" s="588">
        <f t="shared" si="2"/>
        <v>0</v>
      </c>
      <c r="L25" s="591" t="s">
        <v>140</v>
      </c>
      <c r="M25" s="571" t="s">
        <v>140</v>
      </c>
      <c r="N25" s="592" t="s">
        <v>140</v>
      </c>
    </row>
    <row r="26" spans="1:15" ht="16.5" customHeight="1" x14ac:dyDescent="0.2">
      <c r="A26" s="19" t="s">
        <v>192</v>
      </c>
      <c r="B26" s="296"/>
      <c r="C26" s="569"/>
      <c r="D26" s="569"/>
      <c r="E26" s="569"/>
      <c r="F26" s="532">
        <f t="shared" si="5"/>
        <v>0</v>
      </c>
      <c r="G26" s="569"/>
      <c r="H26" s="569"/>
      <c r="I26" s="569"/>
      <c r="J26" s="587">
        <f>G26+I26</f>
        <v>0</v>
      </c>
      <c r="K26" s="588">
        <f t="shared" si="2"/>
        <v>0</v>
      </c>
      <c r="L26" s="591" t="s">
        <v>140</v>
      </c>
      <c r="M26" s="571" t="s">
        <v>140</v>
      </c>
      <c r="N26" s="592" t="s">
        <v>140</v>
      </c>
    </row>
    <row r="27" spans="1:15" x14ac:dyDescent="0.2">
      <c r="A27" s="19"/>
      <c r="B27" s="239"/>
      <c r="C27" s="570"/>
      <c r="D27" s="570"/>
      <c r="E27" s="570"/>
      <c r="F27" s="589">
        <f t="shared" si="5"/>
        <v>0</v>
      </c>
      <c r="G27" s="570"/>
      <c r="H27" s="570"/>
      <c r="I27" s="570"/>
      <c r="J27" s="590"/>
      <c r="K27" s="588"/>
      <c r="L27" s="593"/>
      <c r="M27" s="582"/>
      <c r="N27" s="594"/>
    </row>
    <row r="28" spans="1:15" x14ac:dyDescent="0.2">
      <c r="A28" s="19">
        <v>16</v>
      </c>
      <c r="B28" s="238" t="s">
        <v>22</v>
      </c>
      <c r="C28" s="569">
        <v>44.69</v>
      </c>
      <c r="D28" s="569">
        <v>44.69</v>
      </c>
      <c r="E28" s="569">
        <v>14.44</v>
      </c>
      <c r="F28" s="532">
        <f t="shared" si="5"/>
        <v>59.129999999999995</v>
      </c>
      <c r="G28" s="569">
        <v>525430.80000000005</v>
      </c>
      <c r="H28" s="569">
        <v>525430.80000000005</v>
      </c>
      <c r="I28" s="569">
        <v>267036.98</v>
      </c>
      <c r="J28" s="587">
        <f>G28+I28</f>
        <v>792467.78</v>
      </c>
      <c r="K28" s="588">
        <f t="shared" si="2"/>
        <v>1116.8439314504765</v>
      </c>
      <c r="L28" s="581">
        <v>864.01</v>
      </c>
      <c r="M28" s="582">
        <v>1012.02</v>
      </c>
      <c r="N28" s="583">
        <v>1349.98</v>
      </c>
    </row>
    <row r="29" spans="1:15" x14ac:dyDescent="0.2">
      <c r="A29" s="19">
        <v>17</v>
      </c>
      <c r="B29" s="238" t="s">
        <v>23</v>
      </c>
      <c r="C29" s="569"/>
      <c r="D29" s="569"/>
      <c r="E29" s="569">
        <v>50.79</v>
      </c>
      <c r="F29" s="532">
        <f t="shared" si="5"/>
        <v>50.79</v>
      </c>
      <c r="G29" s="569"/>
      <c r="H29" s="569"/>
      <c r="I29" s="569">
        <v>649376.54</v>
      </c>
      <c r="J29" s="587">
        <f>G29+I29</f>
        <v>649376.54</v>
      </c>
      <c r="K29" s="588">
        <f t="shared" si="2"/>
        <v>1065.4599658725472</v>
      </c>
      <c r="L29" s="581">
        <v>798.89</v>
      </c>
      <c r="M29" s="582">
        <v>967.3</v>
      </c>
      <c r="N29" s="583">
        <v>1124.76</v>
      </c>
    </row>
    <row r="30" spans="1:15" ht="132" customHeight="1" thickBot="1" x14ac:dyDescent="0.3">
      <c r="A30" s="20">
        <v>18</v>
      </c>
      <c r="B30" s="240" t="s">
        <v>148</v>
      </c>
      <c r="C30" s="174">
        <f t="shared" ref="C30:J30" si="6">C7+C13+C16+C20+C21+C28+C29</f>
        <v>1327.13</v>
      </c>
      <c r="D30" s="174">
        <f t="shared" si="6"/>
        <v>1307.33</v>
      </c>
      <c r="E30" s="174">
        <f t="shared" si="6"/>
        <v>308.35000000000002</v>
      </c>
      <c r="F30" s="174">
        <f t="shared" si="6"/>
        <v>1635.48</v>
      </c>
      <c r="G30" s="174">
        <f t="shared" si="6"/>
        <v>27428790.440000001</v>
      </c>
      <c r="H30" s="174">
        <f t="shared" si="6"/>
        <v>26826033.349999998</v>
      </c>
      <c r="I30" s="174">
        <f t="shared" si="6"/>
        <v>11289824.020000003</v>
      </c>
      <c r="J30" s="595">
        <f t="shared" si="6"/>
        <v>38718614.460000001</v>
      </c>
      <c r="K30" s="596">
        <f t="shared" si="2"/>
        <v>1972.8466291241714</v>
      </c>
      <c r="L30" s="584">
        <v>1312.61</v>
      </c>
      <c r="M30" s="585">
        <v>1798.76</v>
      </c>
      <c r="N30" s="586">
        <v>2396.89</v>
      </c>
      <c r="O30" s="739" t="s">
        <v>1037</v>
      </c>
    </row>
    <row r="31" spans="1:15" ht="16.5" thickBot="1" x14ac:dyDescent="0.25">
      <c r="A31" s="12"/>
      <c r="B31" s="12"/>
      <c r="C31" s="15"/>
      <c r="D31" s="12"/>
      <c r="E31" s="12"/>
      <c r="F31" s="15"/>
      <c r="G31" s="15"/>
      <c r="H31" s="15"/>
      <c r="I31" s="15"/>
      <c r="J31" s="717"/>
    </row>
    <row r="32" spans="1:15" ht="16.5" thickBot="1" x14ac:dyDescent="0.3">
      <c r="A32" s="841" t="s">
        <v>0</v>
      </c>
      <c r="B32" s="842"/>
      <c r="C32" s="842"/>
      <c r="D32" s="842"/>
      <c r="E32" s="842"/>
      <c r="F32" s="842"/>
      <c r="G32" s="842"/>
      <c r="H32" s="842"/>
      <c r="I32" s="842"/>
      <c r="J32" s="843"/>
      <c r="L32" s="198" t="s">
        <v>543</v>
      </c>
      <c r="M32" s="199"/>
      <c r="N32" s="200"/>
      <c r="O32" s="732"/>
    </row>
    <row r="33" spans="1:15" x14ac:dyDescent="0.25">
      <c r="A33" s="850" t="s">
        <v>505</v>
      </c>
      <c r="B33" s="851"/>
      <c r="C33" s="851"/>
      <c r="D33" s="851"/>
      <c r="E33" s="851"/>
      <c r="F33" s="851"/>
      <c r="G33" s="851"/>
      <c r="H33" s="851"/>
      <c r="I33" s="851"/>
      <c r="J33" s="852"/>
    </row>
    <row r="34" spans="1:15" ht="50.25" customHeight="1" x14ac:dyDescent="0.2">
      <c r="B34" s="848" t="s">
        <v>759</v>
      </c>
      <c r="C34" s="848"/>
      <c r="D34" s="848"/>
      <c r="E34" s="848"/>
      <c r="F34" s="848"/>
      <c r="G34" s="848"/>
      <c r="H34" s="848"/>
      <c r="I34" s="848"/>
      <c r="J34" s="848"/>
      <c r="K34" s="754" t="s">
        <v>1073</v>
      </c>
      <c r="M34" s="754" t="s">
        <v>1073</v>
      </c>
      <c r="O34" s="732"/>
    </row>
    <row r="35" spans="1:15" x14ac:dyDescent="0.2">
      <c r="B35" s="202" t="s">
        <v>475</v>
      </c>
      <c r="C35" s="203"/>
      <c r="D35" s="203"/>
      <c r="E35" s="203"/>
      <c r="F35" s="203"/>
      <c r="G35" s="203"/>
      <c r="H35" s="203"/>
      <c r="I35" s="203"/>
      <c r="J35" s="203"/>
    </row>
    <row r="36" spans="1:15" x14ac:dyDescent="0.2">
      <c r="B36" s="202" t="s">
        <v>476</v>
      </c>
      <c r="C36" s="203"/>
      <c r="D36" s="203"/>
      <c r="E36" s="203"/>
      <c r="F36" s="203"/>
      <c r="G36" s="203"/>
      <c r="H36" s="203"/>
      <c r="I36" s="203"/>
      <c r="J36" s="203"/>
    </row>
    <row r="37" spans="1:15" x14ac:dyDescent="0.2">
      <c r="B37" s="202" t="s">
        <v>477</v>
      </c>
      <c r="C37" s="203"/>
      <c r="D37" s="203"/>
      <c r="E37" s="203"/>
      <c r="F37" s="203"/>
      <c r="G37" s="203"/>
      <c r="H37" s="203"/>
      <c r="I37" s="203"/>
      <c r="J37" s="203"/>
    </row>
    <row r="38" spans="1:15" x14ac:dyDescent="0.2">
      <c r="B38" s="204"/>
      <c r="C38" s="203"/>
      <c r="D38" s="203"/>
      <c r="E38" s="203"/>
      <c r="F38" s="203"/>
      <c r="G38" s="203"/>
      <c r="H38" s="203"/>
      <c r="I38" s="203"/>
      <c r="J38" s="203"/>
    </row>
  </sheetData>
  <mergeCells count="19">
    <mergeCell ref="A32:J32"/>
    <mergeCell ref="C3:F3"/>
    <mergeCell ref="H3:H4"/>
    <mergeCell ref="K3:K5"/>
    <mergeCell ref="B34:J34"/>
    <mergeCell ref="G3:G5"/>
    <mergeCell ref="I3:I5"/>
    <mergeCell ref="C4:C5"/>
    <mergeCell ref="A33:J33"/>
    <mergeCell ref="E4:E5"/>
    <mergeCell ref="F4:F5"/>
    <mergeCell ref="B3:B5"/>
    <mergeCell ref="A3:A5"/>
    <mergeCell ref="L3:L5"/>
    <mergeCell ref="M3:M5"/>
    <mergeCell ref="N3:N5"/>
    <mergeCell ref="A1:K1"/>
    <mergeCell ref="A2:K2"/>
    <mergeCell ref="J3:J5"/>
  </mergeCells>
  <phoneticPr fontId="0" type="noConversion"/>
  <printOptions gridLines="1"/>
  <pageMargins left="0.47244094488188981" right="0.31496062992125984" top="0.74803149606299213" bottom="0.39370078740157483" header="0.51181102362204722" footer="0.27559055118110237"/>
  <pageSetup paperSize="9" scale="57" orientation="landscape" r:id="rId1"/>
  <headerFooter alignWithMargins="0"/>
  <ignoredErrors>
    <ignoredError sqref="F7:F30 J22:J3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Normal="100" workbookViewId="0">
      <pane xSplit="2" ySplit="6" topLeftCell="C22" activePane="bottomRight" state="frozen"/>
      <selection pane="topRight" activeCell="C1" sqref="C1"/>
      <selection pane="bottomLeft" activeCell="A7" sqref="A7"/>
      <selection pane="bottomRight" activeCell="N34" sqref="N34"/>
    </sheetView>
  </sheetViews>
  <sheetFormatPr defaultColWidth="9.140625" defaultRowHeight="15.75" x14ac:dyDescent="0.2"/>
  <cols>
    <col min="1" max="1" width="5.5703125" style="18" customWidth="1"/>
    <col min="2" max="2" width="60.28515625" style="25" customWidth="1"/>
    <col min="3" max="3" width="14.7109375" style="13" customWidth="1"/>
    <col min="4" max="4" width="14" style="13" customWidth="1"/>
    <col min="5" max="5" width="15.85546875" style="13" customWidth="1"/>
    <col min="6" max="6" width="15.7109375" style="13" customWidth="1"/>
    <col min="7" max="7" width="19.140625" style="13" customWidth="1"/>
    <col min="8" max="8" width="18.7109375" style="13" customWidth="1"/>
    <col min="9" max="9" width="16.28515625" style="13" customWidth="1"/>
    <col min="10" max="10" width="17.7109375" style="13" bestFit="1" customWidth="1"/>
    <col min="11" max="11" width="13.28515625" style="13" customWidth="1"/>
    <col min="12" max="12" width="12.42578125" style="13" customWidth="1"/>
    <col min="13" max="13" width="9.7109375" style="13" customWidth="1"/>
    <col min="14" max="14" width="9" style="13" customWidth="1"/>
    <col min="15" max="15" width="8.7109375" style="13" customWidth="1"/>
    <col min="16" max="16384" width="9.140625" style="13"/>
  </cols>
  <sheetData>
    <row r="1" spans="1:15" s="255" customFormat="1" ht="35.1" customHeight="1" thickBot="1" x14ac:dyDescent="0.25">
      <c r="A1" s="856" t="s">
        <v>815</v>
      </c>
      <c r="B1" s="857"/>
      <c r="C1" s="857"/>
      <c r="D1" s="857"/>
      <c r="E1" s="857"/>
      <c r="F1" s="857"/>
      <c r="G1" s="857"/>
      <c r="H1" s="857"/>
      <c r="I1" s="857"/>
      <c r="J1" s="857"/>
      <c r="K1" s="857"/>
    </row>
    <row r="2" spans="1:15" s="255" customFormat="1" ht="35.450000000000003" customHeight="1" thickBot="1" x14ac:dyDescent="0.25">
      <c r="A2" s="813" t="s">
        <v>1058</v>
      </c>
      <c r="B2" s="814"/>
      <c r="C2" s="814"/>
      <c r="D2" s="814"/>
      <c r="E2" s="814"/>
      <c r="F2" s="814"/>
      <c r="G2" s="814"/>
      <c r="H2" s="814"/>
      <c r="I2" s="814"/>
      <c r="J2" s="814"/>
      <c r="K2" s="814"/>
      <c r="L2" s="297" t="s">
        <v>509</v>
      </c>
      <c r="M2" s="298"/>
      <c r="N2" s="298"/>
      <c r="O2" s="298"/>
    </row>
    <row r="3" spans="1:15" s="255" customFormat="1" ht="21" customHeight="1" x14ac:dyDescent="0.2">
      <c r="A3" s="853" t="s">
        <v>80</v>
      </c>
      <c r="B3" s="858" t="s">
        <v>552</v>
      </c>
      <c r="C3" s="809" t="s">
        <v>816</v>
      </c>
      <c r="D3" s="809"/>
      <c r="E3" s="809"/>
      <c r="F3" s="809"/>
      <c r="G3" s="809" t="s">
        <v>479</v>
      </c>
      <c r="H3" s="844" t="s">
        <v>133</v>
      </c>
      <c r="I3" s="809" t="s">
        <v>481</v>
      </c>
      <c r="J3" s="839" t="s">
        <v>482</v>
      </c>
      <c r="K3" s="860" t="s">
        <v>510</v>
      </c>
      <c r="L3" s="868" t="s">
        <v>572</v>
      </c>
      <c r="M3" s="828" t="s">
        <v>541</v>
      </c>
      <c r="N3" s="831" t="s">
        <v>553</v>
      </c>
      <c r="O3" s="834" t="s">
        <v>542</v>
      </c>
    </row>
    <row r="4" spans="1:15" s="255" customFormat="1" ht="34.5" customHeight="1" x14ac:dyDescent="0.2">
      <c r="A4" s="854"/>
      <c r="B4" s="859"/>
      <c r="C4" s="849" t="s">
        <v>511</v>
      </c>
      <c r="D4" s="237" t="s">
        <v>133</v>
      </c>
      <c r="E4" s="849" t="s">
        <v>513</v>
      </c>
      <c r="F4" s="849" t="s">
        <v>514</v>
      </c>
      <c r="G4" s="849"/>
      <c r="H4" s="845"/>
      <c r="I4" s="849"/>
      <c r="J4" s="840"/>
      <c r="K4" s="860"/>
      <c r="L4" s="868"/>
      <c r="M4" s="829"/>
      <c r="N4" s="832"/>
      <c r="O4" s="835"/>
    </row>
    <row r="5" spans="1:15" s="291" customFormat="1" ht="63.75" thickBot="1" x14ac:dyDescent="0.25">
      <c r="A5" s="854"/>
      <c r="B5" s="859"/>
      <c r="C5" s="849"/>
      <c r="D5" s="299" t="s">
        <v>512</v>
      </c>
      <c r="E5" s="849"/>
      <c r="F5" s="849"/>
      <c r="G5" s="849"/>
      <c r="H5" s="237" t="s">
        <v>480</v>
      </c>
      <c r="I5" s="849"/>
      <c r="J5" s="840"/>
      <c r="K5" s="861"/>
      <c r="L5" s="869"/>
      <c r="M5" s="830"/>
      <c r="N5" s="833"/>
      <c r="O5" s="836"/>
    </row>
    <row r="6" spans="1:15" s="295" customFormat="1" ht="18" customHeight="1" thickBot="1" x14ac:dyDescent="0.25">
      <c r="A6" s="292"/>
      <c r="B6" s="241"/>
      <c r="C6" s="257" t="s">
        <v>119</v>
      </c>
      <c r="D6" s="257" t="s">
        <v>120</v>
      </c>
      <c r="E6" s="257" t="s">
        <v>121</v>
      </c>
      <c r="F6" s="257" t="s">
        <v>68</v>
      </c>
      <c r="G6" s="257" t="s">
        <v>122</v>
      </c>
      <c r="H6" s="257" t="s">
        <v>123</v>
      </c>
      <c r="I6" s="257" t="s">
        <v>124</v>
      </c>
      <c r="J6" s="293" t="s">
        <v>69</v>
      </c>
      <c r="K6" s="300" t="s">
        <v>504</v>
      </c>
      <c r="L6" s="301" t="s">
        <v>467</v>
      </c>
      <c r="M6" s="302"/>
      <c r="N6" s="302"/>
      <c r="O6" s="302"/>
    </row>
    <row r="7" spans="1:15" s="16" customFormat="1" x14ac:dyDescent="0.2">
      <c r="A7" s="19">
        <v>1</v>
      </c>
      <c r="B7" s="238" t="s">
        <v>116</v>
      </c>
      <c r="C7" s="532">
        <f>SUM(C8:C12)</f>
        <v>334.18999999999994</v>
      </c>
      <c r="D7" s="532">
        <f>SUM(D8:D12)</f>
        <v>332.07</v>
      </c>
      <c r="E7" s="532">
        <f>SUM(E8:E12)</f>
        <v>53.129999999999995</v>
      </c>
      <c r="F7" s="532">
        <f t="shared" ref="F7:F13" si="0">C7+E7</f>
        <v>387.31999999999994</v>
      </c>
      <c r="G7" s="532">
        <f>SUM(G8:G12)</f>
        <v>7870203.2600000007</v>
      </c>
      <c r="H7" s="532">
        <f>SUM(H8:H12)</f>
        <v>7825723.3799999999</v>
      </c>
      <c r="I7" s="532">
        <f>SUM(I8:I12)</f>
        <v>3341278.42</v>
      </c>
      <c r="J7" s="587">
        <f t="shared" ref="J7:J13" si="1">G7+I7</f>
        <v>11211481.68</v>
      </c>
      <c r="K7" s="588">
        <f>IF(F7=0,0,J7/F7/12)</f>
        <v>2412.1918310440983</v>
      </c>
      <c r="L7" s="597">
        <f>IF('T6-Zamestnanci_a_mzdy'!F7-'T6a-Zamestnanci_a_mzdy (ženy)'!F7=0,0,('T6-Zamestnanci_a_mzdy'!J7-'T6a-Zamestnanci_a_mzdy (ženy)'!J7)/('T6-Zamestnanci_a_mzdy'!F7-'T6a-Zamestnanci_a_mzdy (ženy)'!F7)/12)</f>
        <v>2797.4640667919612</v>
      </c>
      <c r="M7" s="598">
        <v>1712.7059999999999</v>
      </c>
      <c r="N7" s="599">
        <v>2086.87</v>
      </c>
      <c r="O7" s="600">
        <v>2621.85</v>
      </c>
    </row>
    <row r="8" spans="1:15" x14ac:dyDescent="0.2">
      <c r="A8" s="19">
        <v>2</v>
      </c>
      <c r="B8" s="239" t="s">
        <v>730</v>
      </c>
      <c r="C8" s="569">
        <v>24.71</v>
      </c>
      <c r="D8" s="569">
        <v>24.71</v>
      </c>
      <c r="E8" s="569">
        <v>7.43</v>
      </c>
      <c r="F8" s="532">
        <f t="shared" si="0"/>
        <v>32.14</v>
      </c>
      <c r="G8" s="569">
        <v>1015199.36</v>
      </c>
      <c r="H8" s="569">
        <v>1015199.36</v>
      </c>
      <c r="I8" s="569">
        <v>604192.30000000005</v>
      </c>
      <c r="J8" s="587">
        <f t="shared" si="1"/>
        <v>1619391.6600000001</v>
      </c>
      <c r="K8" s="588">
        <f t="shared" ref="K8:K30" si="2">IF(F8=0,0,J8/F8/12)</f>
        <v>4198.7960485376479</v>
      </c>
      <c r="L8" s="597">
        <f>IF('T6-Zamestnanci_a_mzdy'!F8-'T6a-Zamestnanci_a_mzdy (ženy)'!F8=0,0,('T6-Zamestnanci_a_mzdy'!J8-'T6a-Zamestnanci_a_mzdy (ženy)'!J8)/('T6-Zamestnanci_a_mzdy'!F8-'T6a-Zamestnanci_a_mzdy (ženy)'!F8)/12)</f>
        <v>3988.7318285065307</v>
      </c>
      <c r="M8" s="601">
        <v>2917.41</v>
      </c>
      <c r="N8" s="602">
        <v>4156.79</v>
      </c>
      <c r="O8" s="603">
        <v>4962.55</v>
      </c>
    </row>
    <row r="9" spans="1:15" x14ac:dyDescent="0.2">
      <c r="A9" s="19">
        <v>3</v>
      </c>
      <c r="B9" s="239" t="s">
        <v>91</v>
      </c>
      <c r="C9" s="569">
        <v>90.97</v>
      </c>
      <c r="D9" s="569">
        <v>90.97</v>
      </c>
      <c r="E9" s="569">
        <v>11.33</v>
      </c>
      <c r="F9" s="532">
        <f t="shared" si="0"/>
        <v>102.3</v>
      </c>
      <c r="G9" s="569">
        <v>2629475.6800000002</v>
      </c>
      <c r="H9" s="569">
        <v>2629475.6800000002</v>
      </c>
      <c r="I9" s="569">
        <v>719697.76</v>
      </c>
      <c r="J9" s="587">
        <f t="shared" si="1"/>
        <v>3349173.4400000004</v>
      </c>
      <c r="K9" s="588">
        <f t="shared" si="2"/>
        <v>2728.2286086673189</v>
      </c>
      <c r="L9" s="597">
        <f>IF('T6-Zamestnanci_a_mzdy'!F9-'T6a-Zamestnanci_a_mzdy (ženy)'!F9=0,0,('T6-Zamestnanci_a_mzdy'!J9-'T6a-Zamestnanci_a_mzdy (ženy)'!J9)/('T6-Zamestnanci_a_mzdy'!F9-'T6a-Zamestnanci_a_mzdy (ženy)'!F9)/12)</f>
        <v>3058.5889139458109</v>
      </c>
      <c r="M9" s="601">
        <v>2114.1799999999998</v>
      </c>
      <c r="N9" s="602">
        <v>2502.35</v>
      </c>
      <c r="O9" s="603">
        <v>3251.69</v>
      </c>
    </row>
    <row r="10" spans="1:15" ht="31.5" x14ac:dyDescent="0.2">
      <c r="A10" s="19">
        <v>4</v>
      </c>
      <c r="B10" s="239" t="s">
        <v>92</v>
      </c>
      <c r="C10" s="569">
        <v>165.08</v>
      </c>
      <c r="D10" s="569">
        <v>164.29</v>
      </c>
      <c r="E10" s="569">
        <v>25.08</v>
      </c>
      <c r="F10" s="532">
        <f t="shared" si="0"/>
        <v>190.16000000000003</v>
      </c>
      <c r="G10" s="569">
        <v>3359676.69</v>
      </c>
      <c r="H10" s="569">
        <v>3342574.05</v>
      </c>
      <c r="I10" s="569">
        <v>1509060.61</v>
      </c>
      <c r="J10" s="587">
        <f t="shared" si="1"/>
        <v>4868737.3</v>
      </c>
      <c r="K10" s="588">
        <f t="shared" si="2"/>
        <v>2133.6143686018791</v>
      </c>
      <c r="L10" s="597">
        <f>IF('T6-Zamestnanci_a_mzdy'!F10-'T6a-Zamestnanci_a_mzdy (ženy)'!F10=0,0,('T6-Zamestnanci_a_mzdy'!J10-'T6a-Zamestnanci_a_mzdy (ženy)'!J10)/('T6-Zamestnanci_a_mzdy'!F10-'T6a-Zamestnanci_a_mzdy (ženy)'!F10)/12)</f>
        <v>2161.960093538713</v>
      </c>
      <c r="M10" s="601">
        <v>1605.89</v>
      </c>
      <c r="N10" s="602">
        <v>1970.51</v>
      </c>
      <c r="O10" s="603">
        <v>2415.84</v>
      </c>
    </row>
    <row r="11" spans="1:15" x14ac:dyDescent="0.2">
      <c r="A11" s="19">
        <v>5</v>
      </c>
      <c r="B11" s="239" t="s">
        <v>93</v>
      </c>
      <c r="C11" s="569">
        <v>9.09</v>
      </c>
      <c r="D11" s="569">
        <v>9.09</v>
      </c>
      <c r="E11" s="569">
        <v>3.19</v>
      </c>
      <c r="F11" s="532">
        <f t="shared" si="0"/>
        <v>12.28</v>
      </c>
      <c r="G11" s="569">
        <v>144983.21</v>
      </c>
      <c r="H11" s="569">
        <v>144983.21</v>
      </c>
      <c r="I11" s="569">
        <v>112315.12</v>
      </c>
      <c r="J11" s="587">
        <f t="shared" si="1"/>
        <v>257298.33</v>
      </c>
      <c r="K11" s="588">
        <f t="shared" si="2"/>
        <v>1746.0527280130293</v>
      </c>
      <c r="L11" s="597">
        <f>IF('T6-Zamestnanci_a_mzdy'!F11-'T6a-Zamestnanci_a_mzdy (ženy)'!F11=0,0,('T6-Zamestnanci_a_mzdy'!J11-'T6a-Zamestnanci_a_mzdy (ženy)'!J11)/('T6-Zamestnanci_a_mzdy'!F11-'T6a-Zamestnanci_a_mzdy (ženy)'!F11)/12)</f>
        <v>1726.712815810921</v>
      </c>
      <c r="M11" s="601">
        <v>1421.26</v>
      </c>
      <c r="N11" s="602">
        <v>1718.19</v>
      </c>
      <c r="O11" s="603">
        <v>2067.8000000000002</v>
      </c>
    </row>
    <row r="12" spans="1:15" x14ac:dyDescent="0.2">
      <c r="A12" s="19">
        <v>6</v>
      </c>
      <c r="B12" s="239" t="s">
        <v>94</v>
      </c>
      <c r="C12" s="569">
        <v>44.34</v>
      </c>
      <c r="D12" s="569">
        <v>43.01</v>
      </c>
      <c r="E12" s="569">
        <v>6.1</v>
      </c>
      <c r="F12" s="532">
        <f t="shared" si="0"/>
        <v>50.440000000000005</v>
      </c>
      <c r="G12" s="569">
        <v>720868.32</v>
      </c>
      <c r="H12" s="569">
        <v>693491.08</v>
      </c>
      <c r="I12" s="569">
        <v>396012.63</v>
      </c>
      <c r="J12" s="587">
        <f t="shared" si="1"/>
        <v>1116880.95</v>
      </c>
      <c r="K12" s="588">
        <f t="shared" si="2"/>
        <v>1845.2302240285487</v>
      </c>
      <c r="L12" s="597">
        <f>IF('T6-Zamestnanci_a_mzdy'!F12-'T6a-Zamestnanci_a_mzdy (ženy)'!F12=0,0,('T6-Zamestnanci_a_mzdy'!J12-'T6a-Zamestnanci_a_mzdy (ženy)'!J12)/('T6-Zamestnanci_a_mzdy'!F12-'T6a-Zamestnanci_a_mzdy (ženy)'!F12)/12)</f>
        <v>1896.3294662888184</v>
      </c>
      <c r="M12" s="601">
        <v>1543.35</v>
      </c>
      <c r="N12" s="602">
        <v>1752.12</v>
      </c>
      <c r="O12" s="603">
        <v>2118.5700000000002</v>
      </c>
    </row>
    <row r="13" spans="1:15" x14ac:dyDescent="0.2">
      <c r="A13" s="19">
        <v>7</v>
      </c>
      <c r="B13" s="238" t="s">
        <v>20</v>
      </c>
      <c r="C13" s="569">
        <v>130.88999999999999</v>
      </c>
      <c r="D13" s="569">
        <v>125.95</v>
      </c>
      <c r="E13" s="569">
        <v>28.13</v>
      </c>
      <c r="F13" s="532">
        <f t="shared" si="0"/>
        <v>159.01999999999998</v>
      </c>
      <c r="G13" s="569">
        <v>1840278.29</v>
      </c>
      <c r="H13" s="569">
        <v>1736194.08</v>
      </c>
      <c r="I13" s="569">
        <v>653711.43999999994</v>
      </c>
      <c r="J13" s="587">
        <f t="shared" si="1"/>
        <v>2493989.73</v>
      </c>
      <c r="K13" s="588">
        <f t="shared" si="2"/>
        <v>1306.9581027543707</v>
      </c>
      <c r="L13" s="597">
        <f>IF('T6-Zamestnanci_a_mzdy'!F13-'T6a-Zamestnanci_a_mzdy (ženy)'!F13=0,0,('T6-Zamestnanci_a_mzdy'!J13-'T6a-Zamestnanci_a_mzdy (ženy)'!J13)/('T6-Zamestnanci_a_mzdy'!F13-'T6a-Zamestnanci_a_mzdy (ženy)'!F13)/12)</f>
        <v>1719.8260654812302</v>
      </c>
      <c r="M13" s="601">
        <v>1029.6600000000001</v>
      </c>
      <c r="N13" s="602">
        <v>1204.31</v>
      </c>
      <c r="O13" s="603">
        <v>1675.3</v>
      </c>
    </row>
    <row r="14" spans="1:15" x14ac:dyDescent="0.2">
      <c r="A14" s="19"/>
      <c r="B14" s="239" t="s">
        <v>133</v>
      </c>
      <c r="C14" s="570"/>
      <c r="D14" s="570"/>
      <c r="E14" s="570"/>
      <c r="F14" s="589"/>
      <c r="G14" s="570"/>
      <c r="H14" s="570"/>
      <c r="I14" s="570"/>
      <c r="J14" s="590"/>
      <c r="K14" s="590"/>
      <c r="L14" s="597"/>
      <c r="M14" s="601"/>
      <c r="N14" s="602"/>
      <c r="O14" s="603"/>
    </row>
    <row r="15" spans="1:15" x14ac:dyDescent="0.2">
      <c r="A15" s="19">
        <v>8</v>
      </c>
      <c r="B15" s="239" t="s">
        <v>24</v>
      </c>
      <c r="C15" s="569">
        <v>16.510000000000002</v>
      </c>
      <c r="D15" s="569">
        <v>16.510000000000002</v>
      </c>
      <c r="E15" s="569">
        <v>2.57</v>
      </c>
      <c r="F15" s="532">
        <f t="shared" ref="F15:F21" si="3">C15+E15</f>
        <v>19.080000000000002</v>
      </c>
      <c r="G15" s="569">
        <v>244961.37</v>
      </c>
      <c r="H15" s="569">
        <v>244961.37</v>
      </c>
      <c r="I15" s="569">
        <v>60131.61</v>
      </c>
      <c r="J15" s="587">
        <f t="shared" ref="J15:J21" si="4">G15+I15</f>
        <v>305092.98</v>
      </c>
      <c r="K15" s="588">
        <f t="shared" si="2"/>
        <v>1332.516509433962</v>
      </c>
      <c r="L15" s="597">
        <f>IF('T6-Zamestnanci_a_mzdy'!F15-'T6a-Zamestnanci_a_mzdy (ženy)'!F15=0,0,('T6-Zamestnanci_a_mzdy'!J15-'T6a-Zamestnanci_a_mzdy (ženy)'!J15)/('T6-Zamestnanci_a_mzdy'!F15-'T6a-Zamestnanci_a_mzdy (ženy)'!F15)/12)</f>
        <v>1881.1658833287254</v>
      </c>
      <c r="M15" s="601">
        <v>1106.22</v>
      </c>
      <c r="N15" s="602">
        <v>1162.8599999999999</v>
      </c>
      <c r="O15" s="603">
        <v>1420.85</v>
      </c>
    </row>
    <row r="16" spans="1:15" x14ac:dyDescent="0.2">
      <c r="A16" s="19">
        <v>9</v>
      </c>
      <c r="B16" s="238" t="s">
        <v>117</v>
      </c>
      <c r="C16" s="532">
        <f>SUM(C17:C19)</f>
        <v>194.38</v>
      </c>
      <c r="D16" s="532">
        <f>SUM(D17:D19)</f>
        <v>194.38</v>
      </c>
      <c r="E16" s="532">
        <f>SUM(E17:E19)</f>
        <v>37.309999999999995</v>
      </c>
      <c r="F16" s="532">
        <f t="shared" si="3"/>
        <v>231.69</v>
      </c>
      <c r="G16" s="532">
        <f>SUM(G17:G19)</f>
        <v>3045269.58</v>
      </c>
      <c r="H16" s="532">
        <f>SUM(H17:H19)</f>
        <v>3045108.08</v>
      </c>
      <c r="I16" s="532">
        <f>SUM(I17:I19)</f>
        <v>1019629.87</v>
      </c>
      <c r="J16" s="587">
        <f t="shared" si="4"/>
        <v>4064899.45</v>
      </c>
      <c r="K16" s="588">
        <f t="shared" si="2"/>
        <v>1462.0467902513417</v>
      </c>
      <c r="L16" s="597">
        <f>IF('T6-Zamestnanci_a_mzdy'!F16-'T6a-Zamestnanci_a_mzdy (ženy)'!F16=0,0,('T6-Zamestnanci_a_mzdy'!J16-'T6a-Zamestnanci_a_mzdy (ženy)'!J16)/('T6-Zamestnanci_a_mzdy'!F16-'T6a-Zamestnanci_a_mzdy (ženy)'!F16)/12)</f>
        <v>1906.4456631366613</v>
      </c>
      <c r="M16" s="601">
        <v>1118.79</v>
      </c>
      <c r="N16" s="602">
        <v>1285.96</v>
      </c>
      <c r="O16" s="603">
        <v>1553.68</v>
      </c>
    </row>
    <row r="17" spans="1:15" x14ac:dyDescent="0.2">
      <c r="A17" s="19">
        <v>10</v>
      </c>
      <c r="B17" s="239" t="s">
        <v>95</v>
      </c>
      <c r="C17" s="569">
        <v>63.88</v>
      </c>
      <c r="D17" s="569">
        <v>63.88</v>
      </c>
      <c r="E17" s="569">
        <v>4.51</v>
      </c>
      <c r="F17" s="532">
        <f t="shared" si="3"/>
        <v>68.39</v>
      </c>
      <c r="G17" s="569">
        <v>1093468.3999999999</v>
      </c>
      <c r="H17" s="569">
        <v>1093306.8999999999</v>
      </c>
      <c r="I17" s="569">
        <v>187274.68</v>
      </c>
      <c r="J17" s="587">
        <f t="shared" si="4"/>
        <v>1280743.0799999998</v>
      </c>
      <c r="K17" s="588">
        <f t="shared" si="2"/>
        <v>1560.5876590144755</v>
      </c>
      <c r="L17" s="597">
        <f>IF('T6-Zamestnanci_a_mzdy'!F17-'T6a-Zamestnanci_a_mzdy (ženy)'!F17=0,0,('T6-Zamestnanci_a_mzdy'!J17-'T6a-Zamestnanci_a_mzdy (ženy)'!J17)/('T6-Zamestnanci_a_mzdy'!F17-'T6a-Zamestnanci_a_mzdy (ženy)'!F17)/12)</f>
        <v>1699.6492619926214</v>
      </c>
      <c r="M17" s="601">
        <v>1183.6500000000001</v>
      </c>
      <c r="N17" s="602">
        <v>1430.15</v>
      </c>
      <c r="O17" s="603">
        <v>1562.42</v>
      </c>
    </row>
    <row r="18" spans="1:15" x14ac:dyDescent="0.2">
      <c r="A18" s="19">
        <v>11</v>
      </c>
      <c r="B18" s="239" t="s">
        <v>70</v>
      </c>
      <c r="C18" s="569">
        <v>71.709999999999994</v>
      </c>
      <c r="D18" s="569">
        <v>71.709999999999994</v>
      </c>
      <c r="E18" s="569">
        <v>21.18</v>
      </c>
      <c r="F18" s="532">
        <f t="shared" si="3"/>
        <v>92.889999999999986</v>
      </c>
      <c r="G18" s="569">
        <v>1119492.1200000001</v>
      </c>
      <c r="H18" s="569">
        <v>1119492.1200000001</v>
      </c>
      <c r="I18" s="569">
        <v>565991.04</v>
      </c>
      <c r="J18" s="587">
        <f t="shared" si="4"/>
        <v>1685483.1600000001</v>
      </c>
      <c r="K18" s="588">
        <f t="shared" si="2"/>
        <v>1512.0780493056307</v>
      </c>
      <c r="L18" s="597">
        <f>IF('T6-Zamestnanci_a_mzdy'!F18-'T6a-Zamestnanci_a_mzdy (ženy)'!F18=0,0,('T6-Zamestnanci_a_mzdy'!J18-'T6a-Zamestnanci_a_mzdy (ženy)'!J18)/('T6-Zamestnanci_a_mzdy'!F18-'T6a-Zamestnanci_a_mzdy (ženy)'!F18)/12)</f>
        <v>1358.3808808808735</v>
      </c>
      <c r="M18" s="601">
        <v>1106.99</v>
      </c>
      <c r="N18" s="602">
        <v>1302.68</v>
      </c>
      <c r="O18" s="603">
        <v>1688.38</v>
      </c>
    </row>
    <row r="19" spans="1:15" x14ac:dyDescent="0.2">
      <c r="A19" s="19">
        <v>12</v>
      </c>
      <c r="B19" s="239" t="s">
        <v>61</v>
      </c>
      <c r="C19" s="569">
        <v>58.79</v>
      </c>
      <c r="D19" s="569">
        <v>58.79</v>
      </c>
      <c r="E19" s="569">
        <v>11.62</v>
      </c>
      <c r="F19" s="532">
        <f t="shared" si="3"/>
        <v>70.41</v>
      </c>
      <c r="G19" s="569">
        <v>832309.06</v>
      </c>
      <c r="H19" s="569">
        <v>832309.06</v>
      </c>
      <c r="I19" s="569">
        <v>266364.15000000002</v>
      </c>
      <c r="J19" s="587">
        <f t="shared" si="4"/>
        <v>1098673.21</v>
      </c>
      <c r="K19" s="588">
        <f t="shared" si="2"/>
        <v>1300.328090233395</v>
      </c>
      <c r="L19" s="597">
        <f>IF('T6-Zamestnanci_a_mzdy'!F19-'T6a-Zamestnanci_a_mzdy (ženy)'!F19=0,0,('T6-Zamestnanci_a_mzdy'!J19-'T6a-Zamestnanci_a_mzdy (ženy)'!J19)/('T6-Zamestnanci_a_mzdy'!F19-'T6a-Zamestnanci_a_mzdy (ženy)'!F19)/12)</f>
        <v>3474.9700564971699</v>
      </c>
      <c r="M19" s="601">
        <v>1092.01</v>
      </c>
      <c r="N19" s="602">
        <v>1209.3499999999999</v>
      </c>
      <c r="O19" s="603">
        <v>1355.12</v>
      </c>
    </row>
    <row r="20" spans="1:15" x14ac:dyDescent="0.2">
      <c r="A20" s="19">
        <v>13</v>
      </c>
      <c r="B20" s="238" t="s">
        <v>114</v>
      </c>
      <c r="C20" s="569">
        <v>58.42</v>
      </c>
      <c r="D20" s="569">
        <v>56.5</v>
      </c>
      <c r="E20" s="569">
        <v>22.033000000000001</v>
      </c>
      <c r="F20" s="532">
        <f t="shared" si="3"/>
        <v>80.453000000000003</v>
      </c>
      <c r="G20" s="569">
        <v>1301025.8999999999</v>
      </c>
      <c r="H20" s="569">
        <v>1271050.08</v>
      </c>
      <c r="I20" s="569">
        <v>676148.61</v>
      </c>
      <c r="J20" s="587">
        <f t="shared" si="4"/>
        <v>1977174.5099999998</v>
      </c>
      <c r="K20" s="588">
        <f t="shared" si="2"/>
        <v>2047.9602065802392</v>
      </c>
      <c r="L20" s="597">
        <f>IF('T6-Zamestnanci_a_mzdy'!F20-'T6a-Zamestnanci_a_mzdy (ženy)'!F20=0,0,('T6-Zamestnanci_a_mzdy'!J20-'T6a-Zamestnanci_a_mzdy (ženy)'!J20)/('T6-Zamestnanci_a_mzdy'!F20-'T6a-Zamestnanci_a_mzdy (ženy)'!F20)/12)</f>
        <v>2370.6022558702075</v>
      </c>
      <c r="M20" s="601">
        <v>1457.52</v>
      </c>
      <c r="N20" s="602">
        <v>1720.79</v>
      </c>
      <c r="O20" s="603">
        <v>2234.3200000000002</v>
      </c>
    </row>
    <row r="21" spans="1:15" ht="31.5" x14ac:dyDescent="0.2">
      <c r="A21" s="19">
        <v>14</v>
      </c>
      <c r="B21" s="238" t="s">
        <v>21</v>
      </c>
      <c r="C21" s="569">
        <v>75.81</v>
      </c>
      <c r="D21" s="569">
        <v>75.8</v>
      </c>
      <c r="E21" s="569">
        <v>16.059999999999999</v>
      </c>
      <c r="F21" s="532">
        <f t="shared" si="3"/>
        <v>91.87</v>
      </c>
      <c r="G21" s="569">
        <v>714022.7</v>
      </c>
      <c r="H21" s="569">
        <v>714022.7</v>
      </c>
      <c r="I21" s="569">
        <v>267988.15999999997</v>
      </c>
      <c r="J21" s="587">
        <f t="shared" si="4"/>
        <v>982010.85999999987</v>
      </c>
      <c r="K21" s="588">
        <f t="shared" si="2"/>
        <v>890.76127499002189</v>
      </c>
      <c r="L21" s="597">
        <f>IF('T6-Zamestnanci_a_mzdy'!F21-'T6a-Zamestnanci_a_mzdy (ženy)'!F21=0,0,('T6-Zamestnanci_a_mzdy'!J21-'T6a-Zamestnanci_a_mzdy (ženy)'!J21)/('T6-Zamestnanci_a_mzdy'!F21-'T6a-Zamestnanci_a_mzdy (ženy)'!F21)/12)</f>
        <v>1165.0187578320808</v>
      </c>
      <c r="M21" s="601">
        <v>778.6</v>
      </c>
      <c r="N21" s="602">
        <v>835.11</v>
      </c>
      <c r="O21" s="603">
        <v>975.02</v>
      </c>
    </row>
    <row r="22" spans="1:15" ht="47.25" x14ac:dyDescent="0.2">
      <c r="A22" s="19">
        <v>15</v>
      </c>
      <c r="B22" s="238" t="s">
        <v>147</v>
      </c>
      <c r="C22" s="532">
        <f>SUM(C23:C26)</f>
        <v>15.99</v>
      </c>
      <c r="D22" s="532">
        <f>SUM(D23:D26)</f>
        <v>15.99</v>
      </c>
      <c r="E22" s="532">
        <f>SUM(E23:E26)</f>
        <v>5.5</v>
      </c>
      <c r="F22" s="532">
        <f>SUM(F27:F27)</f>
        <v>0</v>
      </c>
      <c r="G22" s="532">
        <f>SUM(G23:G26)</f>
        <v>193823.63</v>
      </c>
      <c r="H22" s="532">
        <f>SUM(H23:H26)</f>
        <v>193823.63</v>
      </c>
      <c r="I22" s="532">
        <f>SUM(I23:I26)</f>
        <v>112512.71</v>
      </c>
      <c r="J22" s="587">
        <f>SUM(J23:J26)</f>
        <v>306336.34000000003</v>
      </c>
      <c r="K22" s="588">
        <f t="shared" si="2"/>
        <v>0</v>
      </c>
      <c r="L22" s="597">
        <f>IF('T6-Zamestnanci_a_mzdy'!F22-'T6a-Zamestnanci_a_mzdy (ženy)'!F22=0,0,('T6-Zamestnanci_a_mzdy'!J22-'T6a-Zamestnanci_a_mzdy (ženy)'!J22)/('T6-Zamestnanci_a_mzdy'!F22-'T6a-Zamestnanci_a_mzdy (ženy)'!F22)/12)</f>
        <v>0</v>
      </c>
      <c r="M22" s="604" t="s">
        <v>140</v>
      </c>
      <c r="N22" s="605" t="s">
        <v>140</v>
      </c>
      <c r="O22" s="606" t="s">
        <v>140</v>
      </c>
    </row>
    <row r="23" spans="1:15" x14ac:dyDescent="0.2">
      <c r="A23" s="19" t="s">
        <v>115</v>
      </c>
      <c r="B23" s="296" t="s">
        <v>971</v>
      </c>
      <c r="C23" s="569">
        <v>15.49</v>
      </c>
      <c r="D23" s="569">
        <v>15.49</v>
      </c>
      <c r="E23" s="569">
        <v>5.5</v>
      </c>
      <c r="F23" s="532">
        <f t="shared" ref="F23:F29" si="5">C23+E23</f>
        <v>20.990000000000002</v>
      </c>
      <c r="G23" s="569">
        <v>185606.54</v>
      </c>
      <c r="H23" s="569">
        <v>185606.54</v>
      </c>
      <c r="I23" s="569">
        <v>112512.71</v>
      </c>
      <c r="J23" s="587">
        <f>G23+I23</f>
        <v>298119.25</v>
      </c>
      <c r="K23" s="588">
        <f t="shared" si="2"/>
        <v>1183.5765046847703</v>
      </c>
      <c r="L23" s="597">
        <f>IF('T6-Zamestnanci_a_mzdy'!F23-'T6a-Zamestnanci_a_mzdy (ženy)'!F23=0,0,('T6-Zamestnanci_a_mzdy'!J23-'T6a-Zamestnanci_a_mzdy (ženy)'!J23)/('T6-Zamestnanci_a_mzdy'!F23-'T6a-Zamestnanci_a_mzdy (ženy)'!F23)/12)</f>
        <v>1417.6308300717549</v>
      </c>
      <c r="M23" s="604" t="s">
        <v>140</v>
      </c>
      <c r="N23" s="605" t="s">
        <v>140</v>
      </c>
      <c r="O23" s="606" t="s">
        <v>140</v>
      </c>
    </row>
    <row r="24" spans="1:15" x14ac:dyDescent="0.2">
      <c r="A24" s="19" t="s">
        <v>190</v>
      </c>
      <c r="B24" s="296" t="s">
        <v>972</v>
      </c>
      <c r="C24" s="569">
        <v>0.5</v>
      </c>
      <c r="D24" s="569">
        <v>0.5</v>
      </c>
      <c r="E24" s="569"/>
      <c r="F24" s="532">
        <f t="shared" si="5"/>
        <v>0.5</v>
      </c>
      <c r="G24" s="569">
        <v>8217.09</v>
      </c>
      <c r="H24" s="569">
        <v>8217.09</v>
      </c>
      <c r="I24" s="569"/>
      <c r="J24" s="587">
        <f>G24+I24</f>
        <v>8217.09</v>
      </c>
      <c r="K24" s="588">
        <f t="shared" si="2"/>
        <v>1369.5150000000001</v>
      </c>
      <c r="L24" s="597">
        <f>IF('T6-Zamestnanci_a_mzdy'!F24-'T6a-Zamestnanci_a_mzdy (ženy)'!F24=0,0,('T6-Zamestnanci_a_mzdy'!J24-'T6a-Zamestnanci_a_mzdy (ženy)'!J24)/('T6-Zamestnanci_a_mzdy'!F24-'T6a-Zamestnanci_a_mzdy (ženy)'!F24)/12)</f>
        <v>0</v>
      </c>
      <c r="M24" s="604" t="s">
        <v>140</v>
      </c>
      <c r="N24" s="605" t="s">
        <v>140</v>
      </c>
      <c r="O24" s="606" t="s">
        <v>140</v>
      </c>
    </row>
    <row r="25" spans="1:15" x14ac:dyDescent="0.2">
      <c r="A25" s="19" t="s">
        <v>191</v>
      </c>
      <c r="B25" s="296"/>
      <c r="C25" s="569"/>
      <c r="D25" s="569"/>
      <c r="E25" s="569"/>
      <c r="F25" s="532">
        <f t="shared" si="5"/>
        <v>0</v>
      </c>
      <c r="G25" s="569"/>
      <c r="H25" s="569"/>
      <c r="I25" s="569"/>
      <c r="J25" s="587">
        <f>G25+I25</f>
        <v>0</v>
      </c>
      <c r="K25" s="588">
        <f t="shared" si="2"/>
        <v>0</v>
      </c>
      <c r="L25" s="597">
        <f>IF('T6-Zamestnanci_a_mzdy'!F25-'T6a-Zamestnanci_a_mzdy (ženy)'!F25=0,0,('T6-Zamestnanci_a_mzdy'!J25-'T6a-Zamestnanci_a_mzdy (ženy)'!J25)/('T6-Zamestnanci_a_mzdy'!F25-'T6a-Zamestnanci_a_mzdy (ženy)'!F25)/12)</f>
        <v>0</v>
      </c>
      <c r="M25" s="604" t="s">
        <v>140</v>
      </c>
      <c r="N25" s="605" t="s">
        <v>140</v>
      </c>
      <c r="O25" s="606" t="s">
        <v>140</v>
      </c>
    </row>
    <row r="26" spans="1:15" ht="16.5" customHeight="1" x14ac:dyDescent="0.2">
      <c r="A26" s="19" t="s">
        <v>192</v>
      </c>
      <c r="B26" s="296"/>
      <c r="C26" s="569"/>
      <c r="D26" s="569"/>
      <c r="E26" s="569"/>
      <c r="F26" s="532">
        <f t="shared" si="5"/>
        <v>0</v>
      </c>
      <c r="G26" s="569"/>
      <c r="H26" s="569"/>
      <c r="I26" s="569"/>
      <c r="J26" s="587">
        <f>G26+I26</f>
        <v>0</v>
      </c>
      <c r="K26" s="588">
        <f t="shared" si="2"/>
        <v>0</v>
      </c>
      <c r="L26" s="597">
        <f>IF('T6-Zamestnanci_a_mzdy'!F26-'T6a-Zamestnanci_a_mzdy (ženy)'!F26=0,0,('T6-Zamestnanci_a_mzdy'!J26-'T6a-Zamestnanci_a_mzdy (ženy)'!J26)/('T6-Zamestnanci_a_mzdy'!F26-'T6a-Zamestnanci_a_mzdy (ženy)'!F26)/12)</f>
        <v>0</v>
      </c>
      <c r="M26" s="604" t="s">
        <v>140</v>
      </c>
      <c r="N26" s="605" t="s">
        <v>140</v>
      </c>
      <c r="O26" s="606" t="s">
        <v>140</v>
      </c>
    </row>
    <row r="27" spans="1:15" x14ac:dyDescent="0.2">
      <c r="A27" s="19"/>
      <c r="B27" s="239"/>
      <c r="C27" s="570"/>
      <c r="D27" s="570"/>
      <c r="E27" s="570"/>
      <c r="F27" s="589">
        <f t="shared" si="5"/>
        <v>0</v>
      </c>
      <c r="G27" s="570"/>
      <c r="H27" s="570"/>
      <c r="I27" s="570"/>
      <c r="J27" s="590"/>
      <c r="K27" s="590"/>
      <c r="L27" s="597"/>
      <c r="M27" s="607"/>
      <c r="N27" s="602"/>
      <c r="O27" s="608"/>
    </row>
    <row r="28" spans="1:15" x14ac:dyDescent="0.2">
      <c r="A28" s="19">
        <v>16</v>
      </c>
      <c r="B28" s="238" t="s">
        <v>22</v>
      </c>
      <c r="C28" s="569">
        <v>28.84</v>
      </c>
      <c r="D28" s="569">
        <v>28.84</v>
      </c>
      <c r="E28" s="569">
        <v>9.98</v>
      </c>
      <c r="F28" s="532">
        <f t="shared" si="5"/>
        <v>38.82</v>
      </c>
      <c r="G28" s="569">
        <v>323575.8</v>
      </c>
      <c r="H28" s="569">
        <v>323575.8</v>
      </c>
      <c r="I28" s="569">
        <v>179474.42</v>
      </c>
      <c r="J28" s="587">
        <f>G28+I28</f>
        <v>503050.22</v>
      </c>
      <c r="K28" s="588">
        <f t="shared" si="2"/>
        <v>1079.8776833247466</v>
      </c>
      <c r="L28" s="597">
        <f>IF('T6-Zamestnanci_a_mzdy'!F28-'T6a-Zamestnanci_a_mzdy (ženy)'!F28=0,0,('T6-Zamestnanci_a_mzdy'!J28-'T6a-Zamestnanci_a_mzdy (ženy)'!J28)/('T6-Zamestnanci_a_mzdy'!F28-'T6a-Zamestnanci_a_mzdy (ženy)'!F28)/12)</f>
        <v>1187.5002461841461</v>
      </c>
      <c r="M28" s="601">
        <v>870.62</v>
      </c>
      <c r="N28" s="602">
        <v>947.7</v>
      </c>
      <c r="O28" s="603">
        <v>1347.17</v>
      </c>
    </row>
    <row r="29" spans="1:15" x14ac:dyDescent="0.2">
      <c r="A29" s="19">
        <v>17</v>
      </c>
      <c r="B29" s="238" t="s">
        <v>23</v>
      </c>
      <c r="C29" s="569"/>
      <c r="D29" s="569"/>
      <c r="E29" s="569">
        <v>47.1</v>
      </c>
      <c r="F29" s="532">
        <f t="shared" si="5"/>
        <v>47.1</v>
      </c>
      <c r="G29" s="569"/>
      <c r="H29" s="569"/>
      <c r="I29" s="569">
        <v>600676.28</v>
      </c>
      <c r="J29" s="587">
        <f>G29+I29</f>
        <v>600676.28</v>
      </c>
      <c r="K29" s="588">
        <f t="shared" si="2"/>
        <v>1062.7676574663835</v>
      </c>
      <c r="L29" s="597">
        <f>IF('T6-Zamestnanci_a_mzdy'!F29-'T6a-Zamestnanci_a_mzdy (ženy)'!F29=0,0,('T6-Zamestnanci_a_mzdy'!J29-'T6a-Zamestnanci_a_mzdy (ženy)'!J29)/('T6-Zamestnanci_a_mzdy'!F29-'T6a-Zamestnanci_a_mzdy (ženy)'!F29)/12)</f>
        <v>1099.8252032520334</v>
      </c>
      <c r="M29" s="601">
        <v>805.69</v>
      </c>
      <c r="N29" s="602">
        <v>967.3</v>
      </c>
      <c r="O29" s="603">
        <v>1086.3699999999999</v>
      </c>
    </row>
    <row r="30" spans="1:15" ht="16.5" thickBot="1" x14ac:dyDescent="0.25">
      <c r="A30" s="20">
        <v>18</v>
      </c>
      <c r="B30" s="240" t="s">
        <v>148</v>
      </c>
      <c r="C30" s="174">
        <f t="shared" ref="C30:J30" si="6">C7+C13+C16+C20+C21+C28+C29</f>
        <v>822.52999999999986</v>
      </c>
      <c r="D30" s="174">
        <f t="shared" si="6"/>
        <v>813.54</v>
      </c>
      <c r="E30" s="174">
        <f t="shared" si="6"/>
        <v>213.74299999999999</v>
      </c>
      <c r="F30" s="174">
        <f t="shared" si="6"/>
        <v>1036.2729999999999</v>
      </c>
      <c r="G30" s="174">
        <f t="shared" si="6"/>
        <v>15094375.530000001</v>
      </c>
      <c r="H30" s="174">
        <f t="shared" si="6"/>
        <v>14915674.120000001</v>
      </c>
      <c r="I30" s="174">
        <f t="shared" si="6"/>
        <v>6738907.2000000002</v>
      </c>
      <c r="J30" s="595">
        <f t="shared" si="6"/>
        <v>21833282.729999997</v>
      </c>
      <c r="K30" s="596">
        <f t="shared" si="2"/>
        <v>1755.753770965759</v>
      </c>
      <c r="L30" s="609">
        <f>IF('T6-Zamestnanci_a_mzdy'!F30-'T6a-Zamestnanci_a_mzdy (ženy)'!F30=0,0,('T6-Zamestnanci_a_mzdy'!J30-'T6a-Zamestnanci_a_mzdy (ženy)'!J30)/('T6-Zamestnanci_a_mzdy'!F30-'T6a-Zamestnanci_a_mzdy (ženy)'!F30)/12)</f>
        <v>2348.288617289184</v>
      </c>
      <c r="M30" s="610">
        <v>1140.6099999999999</v>
      </c>
      <c r="N30" s="611">
        <v>1666.67</v>
      </c>
      <c r="O30" s="612">
        <v>2188.6</v>
      </c>
    </row>
    <row r="31" spans="1:15" x14ac:dyDescent="0.2">
      <c r="A31" s="12"/>
      <c r="B31" s="12"/>
      <c r="C31" s="15"/>
      <c r="D31" s="12"/>
      <c r="E31" s="12"/>
      <c r="F31" s="15"/>
      <c r="G31" s="15"/>
      <c r="H31" s="15"/>
      <c r="I31" s="15"/>
      <c r="J31" s="15"/>
      <c r="L31" s="188"/>
      <c r="M31" s="188"/>
      <c r="N31" s="188"/>
      <c r="O31" s="188"/>
    </row>
    <row r="32" spans="1:15" x14ac:dyDescent="0.25">
      <c r="A32" s="862" t="s">
        <v>0</v>
      </c>
      <c r="B32" s="863"/>
      <c r="C32" s="863"/>
      <c r="D32" s="863"/>
      <c r="E32" s="863"/>
      <c r="F32" s="863"/>
      <c r="G32" s="863"/>
      <c r="H32" s="863"/>
      <c r="I32" s="863"/>
      <c r="J32" s="864"/>
      <c r="L32" s="188"/>
      <c r="M32" s="188"/>
      <c r="N32" s="188"/>
      <c r="O32" s="188"/>
    </row>
    <row r="33" spans="1:15" x14ac:dyDescent="0.25">
      <c r="A33" s="865" t="s">
        <v>505</v>
      </c>
      <c r="B33" s="866"/>
      <c r="C33" s="866"/>
      <c r="D33" s="866"/>
      <c r="E33" s="866"/>
      <c r="F33" s="866"/>
      <c r="G33" s="866"/>
      <c r="H33" s="866"/>
      <c r="I33" s="866"/>
      <c r="J33" s="867"/>
      <c r="L33" s="188"/>
      <c r="M33" s="189" t="s">
        <v>543</v>
      </c>
      <c r="N33" s="188"/>
      <c r="O33" s="188"/>
    </row>
    <row r="34" spans="1:15" ht="50.25" customHeight="1" x14ac:dyDescent="0.2">
      <c r="A34" s="303"/>
      <c r="B34" s="855" t="s">
        <v>759</v>
      </c>
      <c r="C34" s="855"/>
      <c r="D34" s="855"/>
      <c r="E34" s="855"/>
      <c r="F34" s="855"/>
      <c r="G34" s="855"/>
      <c r="H34" s="855"/>
      <c r="I34" s="855"/>
      <c r="J34" s="855"/>
      <c r="K34" s="754" t="s">
        <v>1073</v>
      </c>
      <c r="L34" s="188"/>
      <c r="M34" s="188"/>
      <c r="N34" s="754" t="s">
        <v>1073</v>
      </c>
      <c r="O34" s="188"/>
    </row>
    <row r="35" spans="1:15" x14ac:dyDescent="0.2">
      <c r="A35" s="303"/>
      <c r="B35" s="304" t="s">
        <v>475</v>
      </c>
      <c r="C35" s="305"/>
      <c r="D35" s="305"/>
      <c r="E35" s="305"/>
      <c r="F35" s="305"/>
      <c r="G35" s="305"/>
      <c r="H35" s="305"/>
      <c r="I35" s="305"/>
      <c r="J35" s="305"/>
      <c r="L35" s="188"/>
      <c r="M35" s="188"/>
      <c r="N35" s="188"/>
      <c r="O35" s="188"/>
    </row>
    <row r="36" spans="1:15" x14ac:dyDescent="0.2">
      <c r="A36" s="303"/>
      <c r="B36" s="304" t="s">
        <v>476</v>
      </c>
      <c r="C36" s="305"/>
      <c r="D36" s="305"/>
      <c r="E36" s="305"/>
      <c r="F36" s="305"/>
      <c r="G36" s="305"/>
      <c r="H36" s="305"/>
      <c r="I36" s="305"/>
      <c r="J36" s="305"/>
    </row>
    <row r="37" spans="1:15" x14ac:dyDescent="0.2">
      <c r="A37" s="303"/>
      <c r="B37" s="304" t="s">
        <v>477</v>
      </c>
      <c r="C37" s="305"/>
      <c r="D37" s="305"/>
      <c r="E37" s="305"/>
      <c r="F37" s="305"/>
      <c r="G37" s="305"/>
      <c r="H37" s="305"/>
      <c r="I37" s="305"/>
      <c r="J37" s="305"/>
    </row>
  </sheetData>
  <mergeCells count="20">
    <mergeCell ref="N3:N5"/>
    <mergeCell ref="O3:O5"/>
    <mergeCell ref="A32:J32"/>
    <mergeCell ref="A33:J33"/>
    <mergeCell ref="L3:L5"/>
    <mergeCell ref="B34:J34"/>
    <mergeCell ref="M3:M5"/>
    <mergeCell ref="A1:K1"/>
    <mergeCell ref="A2:K2"/>
    <mergeCell ref="A3:A5"/>
    <mergeCell ref="B3:B5"/>
    <mergeCell ref="C3:F3"/>
    <mergeCell ref="G3:G5"/>
    <mergeCell ref="H3:H4"/>
    <mergeCell ref="I3:I5"/>
    <mergeCell ref="J3:J5"/>
    <mergeCell ref="K3:K5"/>
    <mergeCell ref="C4:C5"/>
    <mergeCell ref="E4:E5"/>
    <mergeCell ref="F4:F5"/>
  </mergeCells>
  <printOptions gridLines="1"/>
  <pageMargins left="0.2" right="0.19" top="0.8" bottom="0.39370078740157483" header="0.51181102362204722" footer="0.27559055118110237"/>
  <pageSetup paperSize="9" scale="5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11"/>
  <sheetViews>
    <sheetView zoomScaleNormal="100" workbookViewId="0">
      <pane xSplit="2" ySplit="4" topLeftCell="C5" activePane="bottomRight" state="frozen"/>
      <selection pane="topRight" activeCell="C1" sqref="C1"/>
      <selection pane="bottomLeft" activeCell="A7" sqref="A7"/>
      <selection pane="bottomRight" activeCell="C5" sqref="C5:E7"/>
    </sheetView>
  </sheetViews>
  <sheetFormatPr defaultColWidth="9.140625" defaultRowHeight="15.75" x14ac:dyDescent="0.25"/>
  <cols>
    <col min="1" max="1" width="9.140625" style="85"/>
    <col min="2" max="2" width="69.7109375" style="85" customWidth="1"/>
    <col min="3" max="3" width="18" style="85" bestFit="1" customWidth="1"/>
    <col min="4" max="4" width="20.28515625" style="85" bestFit="1" customWidth="1"/>
    <col min="5" max="5" width="26.42578125" style="85" customWidth="1"/>
    <col min="6" max="6" width="9.140625" style="85"/>
    <col min="7" max="7" width="16" style="85" bestFit="1" customWidth="1"/>
    <col min="8" max="16384" width="9.140625" style="85"/>
  </cols>
  <sheetData>
    <row r="1" spans="1:7" s="306" customFormat="1" ht="39.75" customHeight="1" thickBot="1" x14ac:dyDescent="0.3">
      <c r="A1" s="870" t="s">
        <v>817</v>
      </c>
      <c r="B1" s="871"/>
      <c r="C1" s="871"/>
      <c r="D1" s="871"/>
      <c r="E1" s="872"/>
    </row>
    <row r="2" spans="1:7" s="306" customFormat="1" ht="44.25" customHeight="1" thickBot="1" x14ac:dyDescent="0.3">
      <c r="A2" s="873" t="s">
        <v>1059</v>
      </c>
      <c r="B2" s="874"/>
      <c r="C2" s="874"/>
      <c r="D2" s="874"/>
      <c r="E2" s="875"/>
    </row>
    <row r="3" spans="1:7" s="306" customFormat="1" ht="65.25" customHeight="1" x14ac:dyDescent="0.25">
      <c r="A3" s="307" t="s">
        <v>80</v>
      </c>
      <c r="B3" s="308" t="s">
        <v>153</v>
      </c>
      <c r="C3" s="309" t="s">
        <v>536</v>
      </c>
      <c r="D3" s="309" t="s">
        <v>551</v>
      </c>
      <c r="E3" s="310" t="s">
        <v>497</v>
      </c>
    </row>
    <row r="4" spans="1:7" s="306" customFormat="1" ht="26.25" customHeight="1" x14ac:dyDescent="0.25">
      <c r="A4" s="311"/>
      <c r="B4" s="312"/>
      <c r="C4" s="313" t="s">
        <v>119</v>
      </c>
      <c r="D4" s="313" t="s">
        <v>120</v>
      </c>
      <c r="E4" s="314" t="s">
        <v>535</v>
      </c>
    </row>
    <row r="5" spans="1:7" ht="35.25" customHeight="1" thickBot="1" x14ac:dyDescent="0.3">
      <c r="A5" s="178">
        <v>1</v>
      </c>
      <c r="B5" s="315" t="s">
        <v>612</v>
      </c>
      <c r="C5" s="179">
        <v>3569296.56</v>
      </c>
      <c r="D5" s="179">
        <v>84666.03</v>
      </c>
      <c r="E5" s="180">
        <f>C5+D5</f>
        <v>3653962.59</v>
      </c>
      <c r="G5" s="759" t="s">
        <v>1079</v>
      </c>
    </row>
    <row r="6" spans="1:7" ht="30.75" customHeight="1" thickTop="1" x14ac:dyDescent="0.25">
      <c r="A6" s="177">
        <v>2</v>
      </c>
      <c r="B6" s="316" t="s">
        <v>818</v>
      </c>
      <c r="C6" s="182">
        <v>4010</v>
      </c>
      <c r="D6" s="182">
        <v>154</v>
      </c>
      <c r="E6" s="183">
        <f>C6+D6</f>
        <v>4164</v>
      </c>
    </row>
    <row r="7" spans="1:7" ht="31.5" customHeight="1" thickBot="1" x14ac:dyDescent="0.3">
      <c r="A7" s="143">
        <v>3</v>
      </c>
      <c r="B7" s="317" t="s">
        <v>194</v>
      </c>
      <c r="C7" s="181">
        <f>IF(C6=0,0,+C5/C6)</f>
        <v>890.09889276807985</v>
      </c>
      <c r="D7" s="181">
        <f>IF(D6=0,0,+D5/D6)</f>
        <v>549.77941558441557</v>
      </c>
      <c r="E7" s="184">
        <f>IF(E6=0,0,+E5/E6)</f>
        <v>877.51262968299704</v>
      </c>
    </row>
    <row r="9" spans="1:7" s="306" customFormat="1" ht="31.5" customHeight="1" x14ac:dyDescent="0.25">
      <c r="A9" s="876" t="s">
        <v>731</v>
      </c>
      <c r="B9" s="877"/>
      <c r="C9" s="877"/>
      <c r="D9" s="877"/>
      <c r="E9" s="878"/>
    </row>
    <row r="10" spans="1:7" s="306" customFormat="1" x14ac:dyDescent="0.25">
      <c r="A10" s="318"/>
      <c r="G10" s="306" t="s">
        <v>1080</v>
      </c>
    </row>
    <row r="11" spans="1:7" s="306" customFormat="1" x14ac:dyDescent="0.25"/>
  </sheetData>
  <mergeCells count="3">
    <mergeCell ref="A1:E1"/>
    <mergeCell ref="A2:E2"/>
    <mergeCell ref="A9:E9"/>
  </mergeCells>
  <pageMargins left="0.45" right="0.33" top="0.74803149606299213" bottom="0.74803149606299213"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tabColor indexed="42"/>
    <pageSetUpPr fitToPage="1"/>
  </sheetPr>
  <dimension ref="A1:I17"/>
  <sheetViews>
    <sheetView zoomScaleNormal="100" workbookViewId="0">
      <pane xSplit="2" ySplit="5" topLeftCell="C6" activePane="bottomRight" state="frozen"/>
      <selection pane="topRight" activeCell="C1" sqref="C1"/>
      <selection pane="bottomLeft" activeCell="A6" sqref="A6"/>
      <selection pane="bottomRight" activeCell="O11" sqref="O11"/>
    </sheetView>
  </sheetViews>
  <sheetFormatPr defaultColWidth="9.140625" defaultRowHeight="15.75" x14ac:dyDescent="0.2"/>
  <cols>
    <col min="1" max="1" width="8.140625" style="13" customWidth="1"/>
    <col min="2" max="2" width="100.85546875" style="39" customWidth="1"/>
    <col min="3" max="3" width="17.28515625" style="13" customWidth="1"/>
    <col min="4" max="4" width="17.140625" style="13" customWidth="1"/>
    <col min="5" max="5" width="15.7109375" style="13" customWidth="1"/>
    <col min="6" max="6" width="18" style="13" customWidth="1"/>
    <col min="7" max="7" width="9.140625" style="13"/>
    <col min="8" max="8" width="11.28515625" style="13" bestFit="1" customWidth="1"/>
    <col min="9" max="16384" width="9.140625" style="13"/>
  </cols>
  <sheetData>
    <row r="1" spans="1:9" s="255" customFormat="1" ht="50.1" customHeight="1" thickBot="1" x14ac:dyDescent="0.25">
      <c r="A1" s="885" t="s">
        <v>819</v>
      </c>
      <c r="B1" s="886"/>
      <c r="C1" s="886"/>
      <c r="D1" s="886"/>
      <c r="E1" s="886"/>
      <c r="F1" s="887"/>
      <c r="G1" s="303"/>
    </row>
    <row r="2" spans="1:9" s="255" customFormat="1" ht="36.75" customHeight="1" x14ac:dyDescent="0.2">
      <c r="A2" s="813" t="s">
        <v>1057</v>
      </c>
      <c r="B2" s="896"/>
      <c r="C2" s="897" t="s">
        <v>799</v>
      </c>
      <c r="D2" s="897"/>
      <c r="E2" s="897"/>
      <c r="F2" s="898"/>
    </row>
    <row r="3" spans="1:9" s="255" customFormat="1" ht="15.75" customHeight="1" x14ac:dyDescent="0.2">
      <c r="A3" s="894" t="s">
        <v>80</v>
      </c>
      <c r="B3" s="892" t="s">
        <v>153</v>
      </c>
      <c r="C3" s="888">
        <v>2022</v>
      </c>
      <c r="D3" s="889"/>
      <c r="E3" s="890">
        <v>2023</v>
      </c>
      <c r="F3" s="891"/>
    </row>
    <row r="4" spans="1:9" s="255" customFormat="1" ht="69" customHeight="1" x14ac:dyDescent="0.2">
      <c r="A4" s="895"/>
      <c r="B4" s="893"/>
      <c r="C4" s="456" t="s">
        <v>483</v>
      </c>
      <c r="D4" s="456" t="s">
        <v>71</v>
      </c>
      <c r="E4" s="456" t="s">
        <v>483</v>
      </c>
      <c r="F4" s="457" t="s">
        <v>112</v>
      </c>
    </row>
    <row r="5" spans="1:9" s="255" customFormat="1" x14ac:dyDescent="0.2">
      <c r="A5" s="319"/>
      <c r="B5" s="320"/>
      <c r="C5" s="323" t="s">
        <v>119</v>
      </c>
      <c r="D5" s="323" t="s">
        <v>120</v>
      </c>
      <c r="E5" s="323" t="s">
        <v>121</v>
      </c>
      <c r="F5" s="254" t="s">
        <v>127</v>
      </c>
    </row>
    <row r="6" spans="1:9" ht="38.25" customHeight="1" x14ac:dyDescent="0.2">
      <c r="A6" s="19">
        <v>1</v>
      </c>
      <c r="B6" s="247" t="s">
        <v>800</v>
      </c>
      <c r="C6" s="72">
        <v>378800</v>
      </c>
      <c r="D6" s="73" t="s">
        <v>140</v>
      </c>
      <c r="E6" s="72">
        <v>400955</v>
      </c>
      <c r="F6" s="74" t="s">
        <v>140</v>
      </c>
      <c r="G6" s="13" t="s">
        <v>1066</v>
      </c>
      <c r="H6" s="13">
        <f>'T13-Fondy'!G16</f>
        <v>1090062.8999999999</v>
      </c>
      <c r="I6" s="13">
        <f>'T13-Fondy'!H16</f>
        <v>1415852</v>
      </c>
    </row>
    <row r="7" spans="1:9" ht="38.25" customHeight="1" x14ac:dyDescent="0.2">
      <c r="A7" s="19">
        <f>A6+1</f>
        <v>2</v>
      </c>
      <c r="B7" s="247" t="s">
        <v>801</v>
      </c>
      <c r="C7" s="73" t="s">
        <v>140</v>
      </c>
      <c r="D7" s="462">
        <v>1861</v>
      </c>
      <c r="E7" s="73" t="s">
        <v>140</v>
      </c>
      <c r="F7" s="42">
        <v>1747</v>
      </c>
    </row>
    <row r="8" spans="1:9" ht="38.25" customHeight="1" x14ac:dyDescent="0.2">
      <c r="A8" s="19">
        <f>A7+1</f>
        <v>3</v>
      </c>
      <c r="B8" s="247" t="s">
        <v>802</v>
      </c>
      <c r="C8" s="73" t="s">
        <v>140</v>
      </c>
      <c r="D8" s="462">
        <v>271</v>
      </c>
      <c r="E8" s="73" t="s">
        <v>140</v>
      </c>
      <c r="F8" s="42">
        <v>231</v>
      </c>
    </row>
    <row r="9" spans="1:9" ht="35.25" customHeight="1" x14ac:dyDescent="0.2">
      <c r="A9" s="19">
        <f>A8+1</f>
        <v>4</v>
      </c>
      <c r="B9" s="321" t="s">
        <v>792</v>
      </c>
      <c r="C9" s="613">
        <v>201736.81</v>
      </c>
      <c r="D9" s="614" t="s">
        <v>140</v>
      </c>
      <c r="E9" s="615">
        <f>+C11</f>
        <v>355813.81000000006</v>
      </c>
      <c r="F9" s="616" t="s">
        <v>140</v>
      </c>
      <c r="G9" s="13" t="s">
        <v>1066</v>
      </c>
      <c r="H9" s="732">
        <f>C11</f>
        <v>355813.81000000006</v>
      </c>
    </row>
    <row r="10" spans="1:9" ht="36" customHeight="1" x14ac:dyDescent="0.2">
      <c r="A10" s="19">
        <f>A9+1</f>
        <v>5</v>
      </c>
      <c r="B10" s="321" t="s">
        <v>803</v>
      </c>
      <c r="C10" s="613">
        <v>532877</v>
      </c>
      <c r="D10" s="614" t="s">
        <v>140</v>
      </c>
      <c r="E10" s="617">
        <v>330365</v>
      </c>
      <c r="F10" s="616" t="s">
        <v>140</v>
      </c>
      <c r="G10" s="13" t="s">
        <v>1066</v>
      </c>
      <c r="H10" s="732">
        <f>E10+'T8a-Teh_štipendiá'!E10</f>
        <v>364565</v>
      </c>
      <c r="I10" s="733">
        <f>'T1-Dotácie podľa DZ'!C16</f>
        <v>364565</v>
      </c>
    </row>
    <row r="11" spans="1:9" ht="33" customHeight="1" x14ac:dyDescent="0.2">
      <c r="A11" s="19">
        <v>6</v>
      </c>
      <c r="B11" s="321" t="s">
        <v>100</v>
      </c>
      <c r="C11" s="587">
        <f>+C9+C10-C6</f>
        <v>355813.81000000006</v>
      </c>
      <c r="D11" s="614" t="s">
        <v>140</v>
      </c>
      <c r="E11" s="615">
        <f>+E9+E10-E6</f>
        <v>285223.81000000006</v>
      </c>
      <c r="F11" s="616" t="s">
        <v>140</v>
      </c>
      <c r="G11" s="13" t="s">
        <v>1066</v>
      </c>
      <c r="H11" s="732">
        <f>E9</f>
        <v>355813.81000000006</v>
      </c>
    </row>
    <row r="12" spans="1:9" ht="36" customHeight="1" thickBot="1" x14ac:dyDescent="0.25">
      <c r="A12" s="20">
        <v>7</v>
      </c>
      <c r="B12" s="322" t="s">
        <v>760</v>
      </c>
      <c r="C12" s="595">
        <f>IF(C6=0,0,C6/D7)</f>
        <v>203.54648038688876</v>
      </c>
      <c r="D12" s="618" t="s">
        <v>140</v>
      </c>
      <c r="E12" s="595">
        <f>IF(E6=0,0,E6/F7)</f>
        <v>229.51058958214082</v>
      </c>
      <c r="F12" s="78" t="s">
        <v>140</v>
      </c>
    </row>
    <row r="13" spans="1:9" x14ac:dyDescent="0.2">
      <c r="B13" s="15"/>
    </row>
    <row r="14" spans="1:9" s="255" customFormat="1" x14ac:dyDescent="0.2">
      <c r="A14" s="882" t="s">
        <v>804</v>
      </c>
      <c r="B14" s="883"/>
      <c r="C14" s="883"/>
      <c r="D14" s="883"/>
      <c r="E14" s="883"/>
      <c r="F14" s="884"/>
    </row>
    <row r="15" spans="1:9" s="255" customFormat="1" x14ac:dyDescent="0.2">
      <c r="A15" s="879" t="s">
        <v>805</v>
      </c>
      <c r="B15" s="880"/>
      <c r="C15" s="880"/>
      <c r="D15" s="880"/>
      <c r="E15" s="880"/>
      <c r="F15" s="881"/>
    </row>
    <row r="17" spans="2:6" x14ac:dyDescent="0.2">
      <c r="B17" s="39" t="s">
        <v>1052</v>
      </c>
      <c r="F17" s="13" t="s">
        <v>1067</v>
      </c>
    </row>
  </sheetData>
  <mergeCells count="9">
    <mergeCell ref="A15:F15"/>
    <mergeCell ref="A14:F14"/>
    <mergeCell ref="A1:F1"/>
    <mergeCell ref="C3:D3"/>
    <mergeCell ref="E3:F3"/>
    <mergeCell ref="B3:B4"/>
    <mergeCell ref="A3:A4"/>
    <mergeCell ref="A2:B2"/>
    <mergeCell ref="C2:F2"/>
  </mergeCells>
  <phoneticPr fontId="0" type="noConversion"/>
  <pageMargins left="0.5" right="0.39" top="0.98425196850393704" bottom="0.98425196850393704" header="0.51181102362204722" footer="0.51181102362204722"/>
  <pageSetup paperSize="9" scale="7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09021EF4742B343A1D85F8700228882" ma:contentTypeVersion="0" ma:contentTypeDescription="Umožňuje vytvoriť nový dokument." ma:contentTypeScope="" ma:versionID="d5ce656bb9126b90eba25d1deb3ab1ba">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8802F3-CAF1-414B-986B-3ACC0176C017}">
  <ds:schemaRef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E4C4697A-4BC5-4925-A0CC-1EECB6356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E69B052-6B58-40C2-8603-8925FD4879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29</vt:i4>
      </vt:variant>
      <vt:variant>
        <vt:lpstr>Pomenované rozsahy</vt:lpstr>
      </vt:variant>
      <vt:variant>
        <vt:i4>28</vt:i4>
      </vt:variant>
    </vt:vector>
  </HeadingPairs>
  <TitlesOfParts>
    <vt:vector size="57" baseType="lpstr">
      <vt:lpstr>T1-Dotácie podľa DZ</vt:lpstr>
      <vt:lpstr>T2-Ostatné dot mimo MŠ SR</vt:lpstr>
      <vt:lpstr>T3-Výnosy</vt:lpstr>
      <vt:lpstr>T4-Výnosy zo školného</vt:lpstr>
      <vt:lpstr>T5 - Analýza nákladov</vt:lpstr>
      <vt:lpstr>T6-Zamestnanci_a_mzdy</vt:lpstr>
      <vt:lpstr>T6a-Zamestnanci_a_mzdy (ženy)</vt:lpstr>
      <vt:lpstr>T7_Doktorandi </vt:lpstr>
      <vt:lpstr>T8-Soc_štipendiá</vt:lpstr>
      <vt:lpstr>T8a-Teh_štipendiá</vt:lpstr>
      <vt:lpstr>T9_ŠD </vt:lpstr>
      <vt:lpstr>T10-ŠJ </vt:lpstr>
      <vt:lpstr>T11-Zdroje KV</vt:lpstr>
      <vt:lpstr>T12-KV</vt:lpstr>
      <vt:lpstr>T13-Fondy</vt:lpstr>
      <vt:lpstr>T14-Príjmy VVŠ z POO</vt:lpstr>
      <vt:lpstr>T15-Príjmy VVŠ z RP_11UA</vt:lpstr>
      <vt:lpstr>T16 - Štruktúra hotovosti</vt:lpstr>
      <vt:lpstr>T17-Dotácie zo ŠF EU-nová</vt:lpstr>
      <vt:lpstr>T18-Ostatné dotácie z kap MŠ SR</vt:lpstr>
      <vt:lpstr>T19-Štip_ z vlastných </vt:lpstr>
      <vt:lpstr>T20_motivačné štipendiá</vt:lpstr>
      <vt:lpstr>T20a-štipendiá z POO</vt:lpstr>
      <vt:lpstr>T20b-štipendiá z RP_11UA</vt:lpstr>
      <vt:lpstr>T21-štruktúra_384</vt:lpstr>
      <vt:lpstr>T22_Výnosy_soc_oblasť</vt:lpstr>
      <vt:lpstr>T23_Náklady_soc_oblasť</vt:lpstr>
      <vt:lpstr>T24_čerpanie rozvoj</vt:lpstr>
      <vt:lpstr>T24__Aktíva</vt:lpstr>
      <vt:lpstr>'T10-ŠJ '!Oblasť_tlače</vt:lpstr>
      <vt:lpstr>'T11-Zdroje KV'!Oblasť_tlače</vt:lpstr>
      <vt:lpstr>'T12-KV'!Oblasť_tlače</vt:lpstr>
      <vt:lpstr>'T13-Fondy'!Oblasť_tlače</vt:lpstr>
      <vt:lpstr>'T14-Príjmy VVŠ z POO'!Oblasť_tlače</vt:lpstr>
      <vt:lpstr>'T15-Príjmy VVŠ z RP_11UA'!Oblasť_tlače</vt:lpstr>
      <vt:lpstr>'T16 - Štruktúra hotovosti'!Oblasť_tlače</vt:lpstr>
      <vt:lpstr>'T17-Dotácie zo ŠF EU-nová'!Oblasť_tlače</vt:lpstr>
      <vt:lpstr>'T18-Ostatné dotácie z kap MŠ SR'!Oblasť_tlače</vt:lpstr>
      <vt:lpstr>'T19-Štip_ z vlastných '!Oblasť_tlače</vt:lpstr>
      <vt:lpstr>'T1-Dotácie podľa DZ'!Oblasť_tlače</vt:lpstr>
      <vt:lpstr>'T20_motivačné štipendiá'!Oblasť_tlače</vt:lpstr>
      <vt:lpstr>'T20a-štipendiá z POO'!Oblasť_tlače</vt:lpstr>
      <vt:lpstr>'T20b-štipendiá z RP_11UA'!Oblasť_tlače</vt:lpstr>
      <vt:lpstr>'T21-štruktúra_384'!Oblasť_tlače</vt:lpstr>
      <vt:lpstr>T22_Výnosy_soc_oblasť!Oblasť_tlače</vt:lpstr>
      <vt:lpstr>T23_Náklady_soc_oblasť!Oblasť_tlače</vt:lpstr>
      <vt:lpstr>'T24_čerpanie rozvoj'!Oblasť_tlače</vt:lpstr>
      <vt:lpstr>'T2-Ostatné dot mimo MŠ SR'!Oblasť_tlače</vt:lpstr>
      <vt:lpstr>'T3-Výnosy'!Oblasť_tlače</vt:lpstr>
      <vt:lpstr>'T4-Výnosy zo školného'!Oblasť_tlače</vt:lpstr>
      <vt:lpstr>'T5 - Analýza nákladov'!Oblasť_tlače</vt:lpstr>
      <vt:lpstr>'T6a-Zamestnanci_a_mzdy (ženy)'!Oblasť_tlače</vt:lpstr>
      <vt:lpstr>'T6-Zamestnanci_a_mzdy'!Oblasť_tlače</vt:lpstr>
      <vt:lpstr>'T7_Doktorandi '!Oblasť_tlače</vt:lpstr>
      <vt:lpstr>'T8a-Teh_štipendiá'!Oblasť_tlače</vt:lpstr>
      <vt:lpstr>'T8-Soc_štipendiá'!Oblasť_tlače</vt:lpstr>
      <vt:lpstr>'T9_ŠD '!Oblasť_tlače</vt:lpstr>
    </vt:vector>
  </TitlesOfParts>
  <Company>MSSR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Tabuľky k výročnej správe o hospodárení VVš 2004</dc:title>
  <dc:creator>Andrej Horsky</dc:creator>
  <cp:lastModifiedBy>PC</cp:lastModifiedBy>
  <cp:lastPrinted>2024-05-21T14:10:07Z</cp:lastPrinted>
  <dcterms:created xsi:type="dcterms:W3CDTF">2002-06-05T18:53:25Z</dcterms:created>
  <dcterms:modified xsi:type="dcterms:W3CDTF">2024-06-10T14:40:45Z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0x010100909021EF4742B343A1D85F8700228882</vt:lpwstr>
  </property>
  <property fmtid="{D5CDD505-2E9C-101B-9397-08002B2CF9AE}" pid="3" name="BExAnalyzer_OldName">
    <vt:lpwstr>Upr_tab_VS_VVŠ_za 2019.xlsx</vt:lpwstr>
  </property>
</Properties>
</file>