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Zaloha Lucanska\Moje Dokumenty\Dokumenty\Správy o hosp.a cerp\2023\VSoH\"/>
    </mc:Choice>
  </mc:AlternateContent>
  <bookViews>
    <workbookView xWindow="0" yWindow="0" windowWidth="28800" windowHeight="11700" tabRatio="895" firstSheet="19" activeTab="27"/>
  </bookViews>
  <sheets>
    <sheet name="T1-Dotácie podľa DZ" sheetId="23" r:id="rId1"/>
    <sheet name="T2-Ostatné dot mimo MŠ SR" sheetId="3" r:id="rId2"/>
    <sheet name="T3-Výnosy" sheetId="161" r:id="rId3"/>
    <sheet name="T4-Výnosy zo školného" sheetId="154" r:id="rId4"/>
    <sheet name="T5 - Analýza nákladov" sheetId="162" r:id="rId5"/>
    <sheet name="T6-Zamestnanci_a_mzdy" sheetId="76" r:id="rId6"/>
    <sheet name="T6a-Zamestnanci_a_mzdy (ženy)" sheetId="155" r:id="rId7"/>
    <sheet name="T7_Doktorandi " sheetId="159" r:id="rId8"/>
    <sheet name="T8-Soc_štipendiá" sheetId="109" r:id="rId9"/>
    <sheet name="T8a-Teh_štipendiá" sheetId="164" r:id="rId10"/>
    <sheet name="T9_ŠD " sheetId="116" r:id="rId11"/>
    <sheet name="T10-ŠJ " sheetId="146" r:id="rId12"/>
    <sheet name="T11-Zdroje KV" sheetId="90" r:id="rId13"/>
    <sheet name="T12-KV" sheetId="91" r:id="rId14"/>
    <sheet name="T13-Fondy" sheetId="145" r:id="rId15"/>
    <sheet name="T14-Príjmy VVŠ z POO" sheetId="166" r:id="rId16"/>
    <sheet name="T15-Príjmy VVŠ z RP_11UA" sheetId="168" r:id="rId17"/>
    <sheet name="T16 - Štruktúra hotovosti" sheetId="173" r:id="rId18"/>
    <sheet name="T17-Dotácie zo ŠF EU-nová" sheetId="160" r:id="rId19"/>
    <sheet name="T18-Ostatné dotácie z kap MŠ SR" sheetId="61" r:id="rId20"/>
    <sheet name="T19-Štip_ z vlastných " sheetId="144" r:id="rId21"/>
    <sheet name="T20_motivačné štipendiá" sheetId="157" r:id="rId22"/>
    <sheet name="T20a-štipendiá z POO" sheetId="171" r:id="rId23"/>
    <sheet name="T20b-štipendiá z RP_11UA" sheetId="172" r:id="rId24"/>
    <sheet name="T21-štruktúra_384" sheetId="97" r:id="rId25"/>
    <sheet name="T22_Výnosy_soc_oblasť" sheetId="133" r:id="rId26"/>
    <sheet name="T23_Náklady_soc_oblasť" sheetId="134" r:id="rId27"/>
    <sheet name="T24_čerpanie rozvoj" sheetId="170" r:id="rId28"/>
    <sheet name="T24__Aktíva" sheetId="135" state="hidden" r:id="rId29"/>
  </sheets>
  <externalReferences>
    <externalReference r:id="rId30"/>
  </externalReferences>
  <definedNames>
    <definedName name="_kmp1" localSheetId="15">#REF!</definedName>
    <definedName name="_kmp1" localSheetId="17">#REF!</definedName>
    <definedName name="_kmp1" localSheetId="18">#REF!</definedName>
    <definedName name="_kmp1" localSheetId="2">#REF!</definedName>
    <definedName name="_kmp1" localSheetId="4">#REF!</definedName>
    <definedName name="_kmp1" localSheetId="7">#REF!</definedName>
    <definedName name="_kmp1" localSheetId="9">#REF!</definedName>
    <definedName name="_kmp1">#REF!</definedName>
    <definedName name="_kmp2" localSheetId="15">#REF!</definedName>
    <definedName name="_kmp2" localSheetId="17">#REF!</definedName>
    <definedName name="_kmp2" localSheetId="18">#REF!</definedName>
    <definedName name="_kmp2" localSheetId="4">#REF!</definedName>
    <definedName name="_kmp2" localSheetId="7">#REF!</definedName>
    <definedName name="_kmp2" localSheetId="9">#REF!</definedName>
    <definedName name="_kmp2">#REF!</definedName>
    <definedName name="_kmt1" localSheetId="15">#REF!</definedName>
    <definedName name="_kmt1" localSheetId="17">#REF!</definedName>
    <definedName name="_kmt1" localSheetId="18">#REF!</definedName>
    <definedName name="_kmt1" localSheetId="4">#REF!</definedName>
    <definedName name="_kmt1" localSheetId="7">#REF!</definedName>
    <definedName name="_kmt1" localSheetId="9">#REF!</definedName>
    <definedName name="_kmt1">#REF!</definedName>
    <definedName name="_T1" localSheetId="15">#REF!</definedName>
    <definedName name="_T1" localSheetId="17">#REF!</definedName>
    <definedName name="_T1" localSheetId="18">#REF!</definedName>
    <definedName name="_T1" localSheetId="4">#REF!</definedName>
    <definedName name="_T1" localSheetId="7">#REF!</definedName>
    <definedName name="_T1" localSheetId="9">#REF!</definedName>
    <definedName name="_T1">#REF!</definedName>
    <definedName name="_wd1" localSheetId="15">[1]vahy!$B$1</definedName>
    <definedName name="_wd1" localSheetId="21">[1]vahy!$B$1</definedName>
    <definedName name="_wd1">[1]vahy!$B$1</definedName>
    <definedName name="_wd3" localSheetId="15">[1]vahy!$B$3</definedName>
    <definedName name="_wd3" localSheetId="21">[1]vahy!$B$3</definedName>
    <definedName name="_wd3">[1]vahy!$B$3</definedName>
    <definedName name="_we1" localSheetId="15">[1]vahy!$B$2</definedName>
    <definedName name="_we1" localSheetId="21">[1]vahy!$B$2</definedName>
    <definedName name="_we1">[1]vahy!$B$2</definedName>
    <definedName name="_we3" localSheetId="15">[1]vahy!$B$4</definedName>
    <definedName name="_we3" localSheetId="21">[1]vahy!$B$4</definedName>
    <definedName name="_we3">[1]vahy!$B$4</definedName>
    <definedName name="aaa" hidden="1">3</definedName>
    <definedName name="denní" localSheetId="15">#REF!</definedName>
    <definedName name="denní" localSheetId="17">#REF!</definedName>
    <definedName name="denní" localSheetId="18">#REF!</definedName>
    <definedName name="denní" localSheetId="2">#REF!</definedName>
    <definedName name="denní" localSheetId="4">#REF!</definedName>
    <definedName name="denní" localSheetId="7">#REF!</definedName>
    <definedName name="denní" localSheetId="9">#REF!</definedName>
    <definedName name="denní">#REF!</definedName>
    <definedName name="dokpo" localSheetId="15">#REF!</definedName>
    <definedName name="dokpo" localSheetId="17">#REF!</definedName>
    <definedName name="dokpo" localSheetId="18">#REF!</definedName>
    <definedName name="dokpo" localSheetId="4">#REF!</definedName>
    <definedName name="dokpo" localSheetId="7">#REF!</definedName>
    <definedName name="dokpo" localSheetId="9">#REF!</definedName>
    <definedName name="dokpo">#REF!</definedName>
    <definedName name="dokpred" localSheetId="15">#REF!</definedName>
    <definedName name="dokpred" localSheetId="17">#REF!</definedName>
    <definedName name="dokpred" localSheetId="18">#REF!</definedName>
    <definedName name="dokpred" localSheetId="4">#REF!</definedName>
    <definedName name="dokpred" localSheetId="7">#REF!</definedName>
    <definedName name="dokpred" localSheetId="9">#REF!</definedName>
    <definedName name="dokpred">#REF!</definedName>
    <definedName name="druhý" localSheetId="15">#REF!</definedName>
    <definedName name="druhý" localSheetId="17">#REF!</definedName>
    <definedName name="druhý" localSheetId="18">#REF!</definedName>
    <definedName name="druhý" localSheetId="4">#REF!</definedName>
    <definedName name="druhý" localSheetId="7">#REF!</definedName>
    <definedName name="druhý" localSheetId="9">#REF!</definedName>
    <definedName name="druhý">#REF!</definedName>
    <definedName name="exterdruhý" localSheetId="15">#REF!</definedName>
    <definedName name="exterdruhý" localSheetId="17">#REF!</definedName>
    <definedName name="exterdruhý" localSheetId="18">#REF!</definedName>
    <definedName name="exterdruhý" localSheetId="4">#REF!</definedName>
    <definedName name="exterdruhý" localSheetId="7">#REF!</definedName>
    <definedName name="exterdruhý" localSheetId="9">#REF!</definedName>
    <definedName name="exterdruhý">#REF!</definedName>
    <definedName name="externeplat" localSheetId="15">#REF!</definedName>
    <definedName name="externeplat" localSheetId="17">#REF!</definedName>
    <definedName name="externeplat" localSheetId="18">#REF!</definedName>
    <definedName name="externeplat" localSheetId="4">#REF!</definedName>
    <definedName name="externeplat" localSheetId="7">#REF!</definedName>
    <definedName name="externeplat" localSheetId="9">#REF!</definedName>
    <definedName name="externeplat">#REF!</definedName>
    <definedName name="exterplat" localSheetId="15">#REF!</definedName>
    <definedName name="exterplat" localSheetId="17">#REF!</definedName>
    <definedName name="exterplat" localSheetId="18">#REF!</definedName>
    <definedName name="exterplat" localSheetId="4">#REF!</definedName>
    <definedName name="exterplat" localSheetId="7">#REF!</definedName>
    <definedName name="exterplat" localSheetId="9">#REF!</definedName>
    <definedName name="exterplat">#REF!</definedName>
    <definedName name="KKS_doc" localSheetId="15">#REF!</definedName>
    <definedName name="KKS_doc" localSheetId="17">#REF!</definedName>
    <definedName name="KKS_doc" localSheetId="18">#REF!</definedName>
    <definedName name="KKS_doc" localSheetId="4">#REF!</definedName>
    <definedName name="KKS_doc" localSheetId="7">#REF!</definedName>
    <definedName name="KKS_doc" localSheetId="9">#REF!</definedName>
    <definedName name="KKS_doc">#REF!</definedName>
    <definedName name="KKS_ost" localSheetId="15">#REF!</definedName>
    <definedName name="KKS_ost" localSheetId="17">#REF!</definedName>
    <definedName name="KKS_ost" localSheetId="18">#REF!</definedName>
    <definedName name="KKS_ost" localSheetId="4">#REF!</definedName>
    <definedName name="KKS_ost" localSheetId="7">#REF!</definedName>
    <definedName name="KKS_ost" localSheetId="9">#REF!</definedName>
    <definedName name="KKS_ost">#REF!</definedName>
    <definedName name="KKS_phd" localSheetId="15">#REF!</definedName>
    <definedName name="KKS_phd" localSheetId="17">#REF!</definedName>
    <definedName name="KKS_phd" localSheetId="18">#REF!</definedName>
    <definedName name="KKS_phd" localSheetId="4">#REF!</definedName>
    <definedName name="KKS_phd" localSheetId="7">#REF!</definedName>
    <definedName name="KKS_phd" localSheetId="9">#REF!</definedName>
    <definedName name="KKS_phd">#REF!</definedName>
    <definedName name="KKS_prof" localSheetId="15">#REF!</definedName>
    <definedName name="KKS_prof" localSheetId="17">#REF!</definedName>
    <definedName name="KKS_prof" localSheetId="18">#REF!</definedName>
    <definedName name="KKS_prof" localSheetId="4">#REF!</definedName>
    <definedName name="KKS_prof" localSheetId="7">#REF!</definedName>
    <definedName name="KKS_prof" localSheetId="9">#REF!</definedName>
    <definedName name="KKS_prof">#REF!</definedName>
    <definedName name="koef_gm_mzdy" localSheetId="15">#REF!</definedName>
    <definedName name="koef_gm_mzdy" localSheetId="17">#REF!</definedName>
    <definedName name="koef_gm_mzdy" localSheetId="18">#REF!</definedName>
    <definedName name="koef_gm_mzdy" localSheetId="4">#REF!</definedName>
    <definedName name="koef_gm_mzdy" localSheetId="7">#REF!</definedName>
    <definedName name="koef_gm_mzdy" localSheetId="9">#REF!</definedName>
    <definedName name="koef_gm_mzdy">#REF!</definedName>
    <definedName name="koef_kpn" localSheetId="15">#REF!</definedName>
    <definedName name="koef_kpn" localSheetId="17">#REF!</definedName>
    <definedName name="koef_kpn" localSheetId="18">#REF!</definedName>
    <definedName name="koef_kpn" localSheetId="4">#REF!</definedName>
    <definedName name="koef_kpn" localSheetId="7">#REF!</definedName>
    <definedName name="koef_kpn" localSheetId="9">#REF!</definedName>
    <definedName name="koef_kpn">#REF!</definedName>
    <definedName name="koef_prer_nad_gm_mzdy" localSheetId="15">#REF!</definedName>
    <definedName name="koef_prer_nad_gm_mzdy" localSheetId="17">#REF!</definedName>
    <definedName name="koef_prer_nad_gm_mzdy" localSheetId="18">#REF!</definedName>
    <definedName name="koef_prer_nad_gm_mzdy" localSheetId="4">#REF!</definedName>
    <definedName name="koef_prer_nad_gm_mzdy" localSheetId="7">#REF!</definedName>
    <definedName name="koef_prer_nad_gm_mzdy" localSheetId="9">#REF!</definedName>
    <definedName name="koef_prer_nad_gm_mzdy">#REF!</definedName>
    <definedName name="koef_PV" localSheetId="15">#REF!</definedName>
    <definedName name="koef_PV" localSheetId="17">#REF!</definedName>
    <definedName name="koef_PV" localSheetId="18">#REF!</definedName>
    <definedName name="koef_PV" localSheetId="4">#REF!</definedName>
    <definedName name="koef_PV" localSheetId="7">#REF!</definedName>
    <definedName name="koef_PV" localSheetId="9">#REF!</definedName>
    <definedName name="koef_PV">#REF!</definedName>
    <definedName name="koef_udr_kat1" localSheetId="15">#REF!</definedName>
    <definedName name="koef_udr_kat1" localSheetId="17">#REF!</definedName>
    <definedName name="koef_udr_kat1" localSheetId="18">#REF!</definedName>
    <definedName name="koef_udr_kat1" localSheetId="4">#REF!</definedName>
    <definedName name="koef_udr_kat1" localSheetId="6">#REF!</definedName>
    <definedName name="koef_udr_kat1" localSheetId="7">#REF!</definedName>
    <definedName name="koef_udr_kat1" localSheetId="9">#REF!</definedName>
    <definedName name="koef_udr_kat1">#REF!</definedName>
    <definedName name="koef_udr_kat2" localSheetId="15">#REF!</definedName>
    <definedName name="koef_udr_kat2" localSheetId="17">#REF!</definedName>
    <definedName name="koef_udr_kat2" localSheetId="18">#REF!</definedName>
    <definedName name="koef_udr_kat2" localSheetId="4">#REF!</definedName>
    <definedName name="koef_udr_kat2" localSheetId="6">#REF!</definedName>
    <definedName name="koef_udr_kat2" localSheetId="7">#REF!</definedName>
    <definedName name="koef_udr_kat2" localSheetId="9">#REF!</definedName>
    <definedName name="koef_udr_kat2">#REF!</definedName>
    <definedName name="koef_udr_kat3" localSheetId="15">#REF!</definedName>
    <definedName name="koef_udr_kat3" localSheetId="17">#REF!</definedName>
    <definedName name="koef_udr_kat3" localSheetId="18">#REF!</definedName>
    <definedName name="koef_udr_kat3" localSheetId="4">#REF!</definedName>
    <definedName name="koef_udr_kat3" localSheetId="6">#REF!</definedName>
    <definedName name="koef_udr_kat3" localSheetId="7">#REF!</definedName>
    <definedName name="koef_udr_kat3" localSheetId="9">#REF!</definedName>
    <definedName name="koef_udr_kat3">#REF!</definedName>
    <definedName name="koef_VV" localSheetId="15">#REF!</definedName>
    <definedName name="koef_VV" localSheetId="17">#REF!</definedName>
    <definedName name="koef_VV" localSheetId="18">#REF!</definedName>
    <definedName name="koef_VV" localSheetId="4">#REF!</definedName>
    <definedName name="koef_VV" localSheetId="7">#REF!</definedName>
    <definedName name="koef_VV" localSheetId="9">#REF!</definedName>
    <definedName name="koef_VV">#REF!</definedName>
    <definedName name="kpn_ca_do" localSheetId="15">#REF!</definedName>
    <definedName name="kpn_ca_do" localSheetId="17">#REF!</definedName>
    <definedName name="kpn_ca_do" localSheetId="18">#REF!</definedName>
    <definedName name="kpn_ca_do" localSheetId="4">#REF!</definedName>
    <definedName name="kpn_ca_do" localSheetId="7">#REF!</definedName>
    <definedName name="kpn_ca_do" localSheetId="9">#REF!</definedName>
    <definedName name="kpn_ca_do">#REF!</definedName>
    <definedName name="kpn_ca_nad" localSheetId="15">#REF!</definedName>
    <definedName name="kpn_ca_nad" localSheetId="17">#REF!</definedName>
    <definedName name="kpn_ca_nad" localSheetId="18">#REF!</definedName>
    <definedName name="kpn_ca_nad" localSheetId="4">#REF!</definedName>
    <definedName name="kpn_ca_nad" localSheetId="7">#REF!</definedName>
    <definedName name="kpn_ca_nad" localSheetId="9">#REF!</definedName>
    <definedName name="kpn_ca_nad">#REF!</definedName>
    <definedName name="kzk" localSheetId="15">#REF!</definedName>
    <definedName name="kzk" localSheetId="17">#REF!</definedName>
    <definedName name="kzk" localSheetId="18">#REF!</definedName>
    <definedName name="kzk" localSheetId="4">#REF!</definedName>
    <definedName name="kzk" localSheetId="7">#REF!</definedName>
    <definedName name="kzk" localSheetId="9">#REF!</definedName>
    <definedName name="kzk">#REF!</definedName>
    <definedName name="kzspp" localSheetId="15">#REF!</definedName>
    <definedName name="kzspp" localSheetId="17">#REF!</definedName>
    <definedName name="kzspp" localSheetId="18">#REF!</definedName>
    <definedName name="kzspp" localSheetId="4">#REF!</definedName>
    <definedName name="kzspp" localSheetId="7">#REF!</definedName>
    <definedName name="kzspp" localSheetId="9">#REF!</definedName>
    <definedName name="kzspp">#REF!</definedName>
    <definedName name="nefinanc">1</definedName>
    <definedName name="_xlnm.Print_Area" localSheetId="11">'T10-ŠJ '!$A$1:$D$28</definedName>
    <definedName name="_xlnm.Print_Area" localSheetId="12">'T11-Zdroje KV'!$A$1:$D$23</definedName>
    <definedName name="_xlnm.Print_Area" localSheetId="13">'T12-KV'!$A$1:$I$23</definedName>
    <definedName name="_xlnm.Print_Area" localSheetId="14">'T13-Fondy'!$A$1:$N$22</definedName>
    <definedName name="_xlnm.Print_Area" localSheetId="15">'T14-Príjmy VVŠ z POO'!$A$1:$E$24</definedName>
    <definedName name="_xlnm.Print_Area" localSheetId="16">'T15-Príjmy VVŠ z RP_11UA'!$A$1:$E$7</definedName>
    <definedName name="_xlnm.Print_Area" localSheetId="17">'T16 - Štruktúra hotovosti'!$A$1:$D$25</definedName>
    <definedName name="_xlnm.Print_Area" localSheetId="18">'T17-Dotácie zo ŠF EU-nová'!$A$1:$H$35</definedName>
    <definedName name="_xlnm.Print_Area" localSheetId="19">'T18-Ostatné dotácie z kap MŠ SR'!$A$1:$E$18</definedName>
    <definedName name="_xlnm.Print_Area" localSheetId="20">'T19-Štip_ z vlastných '!$A$1:$F$29</definedName>
    <definedName name="_xlnm.Print_Area" localSheetId="0">'T1-Dotácie podľa DZ'!$A$1:$E$20</definedName>
    <definedName name="_xlnm.Print_Area" localSheetId="21">'T20_motivačné štipendiá'!$A$1:$F$14</definedName>
    <definedName name="_xlnm.Print_Area" localSheetId="22">'T20a-štipendiá z POO'!$A$1:$J$19</definedName>
    <definedName name="_xlnm.Print_Area" localSheetId="23">'T20b-štipendiá z RP_11UA'!$A$1:$F$18</definedName>
    <definedName name="_xlnm.Print_Area" localSheetId="24">'T21-štruktúra_384'!$A$1:$M$6</definedName>
    <definedName name="_xlnm.Print_Area" localSheetId="25">T22_Výnosy_soc_oblasť!$A$1:$F$44</definedName>
    <definedName name="_xlnm.Print_Area" localSheetId="26">T23_Náklady_soc_oblasť!$A$1:$F$42</definedName>
    <definedName name="_xlnm.Print_Area" localSheetId="27">'T24_čerpanie rozvoj'!$A$1:$K$15</definedName>
    <definedName name="_xlnm.Print_Area" localSheetId="1">'T2-Ostatné dot mimo MŠ SR'!$A$1:$E$47</definedName>
    <definedName name="_xlnm.Print_Area" localSheetId="2">'T3-Výnosy'!$A$1:$H$82</definedName>
    <definedName name="_xlnm.Print_Area" localSheetId="3">'T4-Výnosy zo školného'!$A$1:$D$29</definedName>
    <definedName name="_xlnm.Print_Area" localSheetId="4">'T5 - Analýza nákladov'!$A$1:$H$107</definedName>
    <definedName name="_xlnm.Print_Area" localSheetId="6">'T6a-Zamestnanci_a_mzdy (ženy)'!$A$1:$O$37</definedName>
    <definedName name="_xlnm.Print_Area" localSheetId="5">'T6-Zamestnanci_a_mzdy'!$A$1:$N$37</definedName>
    <definedName name="_xlnm.Print_Area" localSheetId="7">'T7_Doktorandi '!$A$1:$E$9</definedName>
    <definedName name="_xlnm.Print_Area" localSheetId="9">'T8a-Teh_štipendiá'!$A$1:$F$14</definedName>
    <definedName name="_xlnm.Print_Area" localSheetId="8">'T8-Soc_štipendiá'!$A$1:$F$15</definedName>
    <definedName name="_xlnm.Print_Area" localSheetId="10">'T9_ŠD '!$A$1:$F$21</definedName>
    <definedName name="pocet_jedal" localSheetId="15">#REF!</definedName>
    <definedName name="pocet_jedal" localSheetId="17">#REF!</definedName>
    <definedName name="pocet_jedal" localSheetId="18">#REF!</definedName>
    <definedName name="pocet_jedal" localSheetId="4">#REF!</definedName>
    <definedName name="pocet_jedal" localSheetId="6">#REF!</definedName>
    <definedName name="pocet_jedal" localSheetId="7">#REF!</definedName>
    <definedName name="pocet_jedal" localSheetId="9">#REF!</definedName>
    <definedName name="pocet_jedal">#REF!</definedName>
    <definedName name="podiel" localSheetId="15">#REF!</definedName>
    <definedName name="podiel" localSheetId="17">#REF!</definedName>
    <definedName name="podiel" localSheetId="18">#REF!</definedName>
    <definedName name="podiel" localSheetId="4">#REF!</definedName>
    <definedName name="podiel" localSheetId="7">#REF!</definedName>
    <definedName name="podiel" localSheetId="9">#REF!</definedName>
    <definedName name="podiel">#REF!</definedName>
    <definedName name="poistné" localSheetId="15">#REF!</definedName>
    <definedName name="poistné" localSheetId="17">#REF!</definedName>
    <definedName name="poistné" localSheetId="18">#REF!</definedName>
    <definedName name="poistné" localSheetId="4">#REF!</definedName>
    <definedName name="poistné" localSheetId="7">#REF!</definedName>
    <definedName name="poistné" localSheetId="9">#REF!</definedName>
    <definedName name="poistné">#REF!</definedName>
    <definedName name="Pp_DrŠ_exist" localSheetId="15">#REF!</definedName>
    <definedName name="Pp_DrŠ_exist" localSheetId="17">#REF!</definedName>
    <definedName name="Pp_DrŠ_exist" localSheetId="18">#REF!</definedName>
    <definedName name="Pp_DrŠ_exist" localSheetId="4">#REF!</definedName>
    <definedName name="Pp_DrŠ_exist" localSheetId="6">#REF!</definedName>
    <definedName name="Pp_DrŠ_exist" localSheetId="7">#REF!</definedName>
    <definedName name="Pp_DrŠ_exist" localSheetId="9">#REF!</definedName>
    <definedName name="Pp_DrŠ_exist">#REF!</definedName>
    <definedName name="Pp_DrŠ_noví" localSheetId="15">#REF!</definedName>
    <definedName name="Pp_DrŠ_noví" localSheetId="17">#REF!</definedName>
    <definedName name="Pp_DrŠ_noví" localSheetId="18">#REF!</definedName>
    <definedName name="Pp_DrŠ_noví" localSheetId="4">#REF!</definedName>
    <definedName name="Pp_DrŠ_noví" localSheetId="6">#REF!</definedName>
    <definedName name="Pp_DrŠ_noví" localSheetId="7">#REF!</definedName>
    <definedName name="Pp_DrŠ_noví" localSheetId="9">#REF!</definedName>
    <definedName name="Pp_DrŠ_noví">#REF!</definedName>
    <definedName name="Pp_DrŠ_spolu" localSheetId="15">#REF!</definedName>
    <definedName name="Pp_DrŠ_spolu" localSheetId="17">#REF!</definedName>
    <definedName name="Pp_DrŠ_spolu" localSheetId="18">#REF!</definedName>
    <definedName name="Pp_DrŠ_spolu" localSheetId="4">#REF!</definedName>
    <definedName name="Pp_DrŠ_spolu" localSheetId="6">#REF!</definedName>
    <definedName name="Pp_DrŠ_spolu" localSheetId="7">#REF!</definedName>
    <definedName name="Pp_DrŠ_spolu" localSheetId="9">#REF!</definedName>
    <definedName name="Pp_DrŠ_spolu">#REF!</definedName>
    <definedName name="Pp_klinické_TaS" localSheetId="15">#REF!</definedName>
    <definedName name="Pp_klinické_TaS" localSheetId="17">#REF!</definedName>
    <definedName name="Pp_klinické_TaS" localSheetId="18">#REF!</definedName>
    <definedName name="Pp_klinické_TaS" localSheetId="4">#REF!</definedName>
    <definedName name="Pp_klinické_TaS" localSheetId="6">#REF!</definedName>
    <definedName name="Pp_klinické_TaS" localSheetId="7">#REF!</definedName>
    <definedName name="Pp_klinické_TaS" localSheetId="9">#REF!</definedName>
    <definedName name="Pp_klinické_TaS">#REF!</definedName>
    <definedName name="Pp_klinické_TaS_rozpísaný" localSheetId="15">#REF!</definedName>
    <definedName name="Pp_klinické_TaS_rozpísaný" localSheetId="17">#REF!</definedName>
    <definedName name="Pp_klinické_TaS_rozpísaný" localSheetId="18">#REF!</definedName>
    <definedName name="Pp_klinické_TaS_rozpísaný" localSheetId="4">#REF!</definedName>
    <definedName name="Pp_klinické_TaS_rozpísaný" localSheetId="6">#REF!</definedName>
    <definedName name="Pp_klinické_TaS_rozpísaný" localSheetId="7">#REF!</definedName>
    <definedName name="Pp_klinické_TaS_rozpísaný" localSheetId="9">#REF!</definedName>
    <definedName name="Pp_klinické_TaS_rozpísaný">#REF!</definedName>
    <definedName name="Pp_Rozvoj_BD" localSheetId="15">#REF!</definedName>
    <definedName name="Pp_Rozvoj_BD" localSheetId="17">#REF!</definedName>
    <definedName name="Pp_Rozvoj_BD" localSheetId="18">#REF!</definedName>
    <definedName name="Pp_Rozvoj_BD" localSheetId="4">#REF!</definedName>
    <definedName name="Pp_Rozvoj_BD" localSheetId="7">#REF!</definedName>
    <definedName name="Pp_Rozvoj_BD" localSheetId="9">#REF!</definedName>
    <definedName name="Pp_Rozvoj_BD">#REF!</definedName>
    <definedName name="Pp_Soc_BD" localSheetId="15">#REF!</definedName>
    <definedName name="Pp_Soc_BD" localSheetId="17">#REF!</definedName>
    <definedName name="Pp_Soc_BD" localSheetId="18">#REF!</definedName>
    <definedName name="Pp_Soc_BD" localSheetId="4">#REF!</definedName>
    <definedName name="Pp_Soc_BD" localSheetId="7">#REF!</definedName>
    <definedName name="Pp_Soc_BD" localSheetId="9">#REF!</definedName>
    <definedName name="Pp_Soc_BD">#REF!</definedName>
    <definedName name="Pp_VaT_BD" localSheetId="15">#REF!</definedName>
    <definedName name="Pp_VaT_BD" localSheetId="17">#REF!</definedName>
    <definedName name="Pp_VaT_BD" localSheetId="18">#REF!</definedName>
    <definedName name="Pp_VaT_BD" localSheetId="4">#REF!</definedName>
    <definedName name="Pp_VaT_BD" localSheetId="7">#REF!</definedName>
    <definedName name="Pp_VaT_BD" localSheetId="9">#REF!</definedName>
    <definedName name="Pp_VaT_BD">#REF!</definedName>
    <definedName name="Pp_VaT_mzdy" localSheetId="15">#REF!</definedName>
    <definedName name="Pp_VaT_mzdy" localSheetId="17">#REF!</definedName>
    <definedName name="Pp_VaT_mzdy" localSheetId="18">#REF!</definedName>
    <definedName name="Pp_VaT_mzdy" localSheetId="4">#REF!</definedName>
    <definedName name="Pp_VaT_mzdy" localSheetId="7">#REF!</definedName>
    <definedName name="Pp_VaT_mzdy" localSheetId="9">#REF!</definedName>
    <definedName name="Pp_VaT_mzdy">#REF!</definedName>
    <definedName name="Pp_VaT_mzdy_rezerva" localSheetId="15">#REF!</definedName>
    <definedName name="Pp_VaT_mzdy_rezerva" localSheetId="17">#REF!</definedName>
    <definedName name="Pp_VaT_mzdy_rezerva" localSheetId="18">#REF!</definedName>
    <definedName name="Pp_VaT_mzdy_rezerva" localSheetId="4">#REF!</definedName>
    <definedName name="Pp_VaT_mzdy_rezerva" localSheetId="7">#REF!</definedName>
    <definedName name="Pp_VaT_mzdy_rezerva" localSheetId="9">#REF!</definedName>
    <definedName name="Pp_VaT_mzdy_rezerva">#REF!</definedName>
    <definedName name="Pp_VaT_mzdy_zac_roka" localSheetId="15">#REF!</definedName>
    <definedName name="Pp_VaT_mzdy_zac_roka" localSheetId="17">#REF!</definedName>
    <definedName name="Pp_VaT_mzdy_zac_roka" localSheetId="18">#REF!</definedName>
    <definedName name="Pp_VaT_mzdy_zac_roka" localSheetId="4">#REF!</definedName>
    <definedName name="Pp_VaT_mzdy_zac_roka" localSheetId="7">#REF!</definedName>
    <definedName name="Pp_VaT_mzdy_zac_roka" localSheetId="9">#REF!</definedName>
    <definedName name="Pp_VaT_mzdy_zac_roka">#REF!</definedName>
    <definedName name="Pp_Vzdel_BD" localSheetId="15">#REF!</definedName>
    <definedName name="Pp_Vzdel_BD" localSheetId="17">#REF!</definedName>
    <definedName name="Pp_Vzdel_BD" localSheetId="18">#REF!</definedName>
    <definedName name="Pp_Vzdel_BD" localSheetId="4">#REF!</definedName>
    <definedName name="Pp_Vzdel_BD" localSheetId="7">#REF!</definedName>
    <definedName name="Pp_Vzdel_BD" localSheetId="9">#REF!</definedName>
    <definedName name="Pp_Vzdel_BD">#REF!</definedName>
    <definedName name="Pp_Vzdel_mzdy" localSheetId="15">#REF!</definedName>
    <definedName name="Pp_Vzdel_mzdy" localSheetId="17">#REF!</definedName>
    <definedName name="Pp_Vzdel_mzdy" localSheetId="18">#REF!</definedName>
    <definedName name="Pp_Vzdel_mzdy" localSheetId="4">#REF!</definedName>
    <definedName name="Pp_Vzdel_mzdy" localSheetId="7">#REF!</definedName>
    <definedName name="Pp_Vzdel_mzdy" localSheetId="9">#REF!</definedName>
    <definedName name="Pp_Vzdel_mzdy">#REF!</definedName>
    <definedName name="Pp_Vzdel_mzdy_kontr" localSheetId="15">#REF!</definedName>
    <definedName name="Pp_Vzdel_mzdy_kontr" localSheetId="17">#REF!</definedName>
    <definedName name="Pp_Vzdel_mzdy_kontr" localSheetId="18">#REF!</definedName>
    <definedName name="Pp_Vzdel_mzdy_kontr" localSheetId="4">#REF!</definedName>
    <definedName name="Pp_Vzdel_mzdy_kontr" localSheetId="7">#REF!</definedName>
    <definedName name="Pp_Vzdel_mzdy_kontr" localSheetId="9">#REF!</definedName>
    <definedName name="Pp_Vzdel_mzdy_kontr">#REF!</definedName>
    <definedName name="Pp_Vzdel_mzdy_na_prer_modif" localSheetId="15">#REF!</definedName>
    <definedName name="Pp_Vzdel_mzdy_na_prer_modif" localSheetId="17">#REF!</definedName>
    <definedName name="Pp_Vzdel_mzdy_na_prer_modif" localSheetId="18">#REF!</definedName>
    <definedName name="Pp_Vzdel_mzdy_na_prer_modif" localSheetId="4">#REF!</definedName>
    <definedName name="Pp_Vzdel_mzdy_na_prer_modif" localSheetId="6">#REF!</definedName>
    <definedName name="Pp_Vzdel_mzdy_na_prer_modif" localSheetId="7">#REF!</definedName>
    <definedName name="Pp_Vzdel_mzdy_na_prer_modif" localSheetId="9">#REF!</definedName>
    <definedName name="Pp_Vzdel_mzdy_na_prer_modif">#REF!</definedName>
    <definedName name="Pp_Vzdel_mzdy_na_prer_nemodif" localSheetId="15">#REF!</definedName>
    <definedName name="Pp_Vzdel_mzdy_na_prer_nemodif" localSheetId="17">#REF!</definedName>
    <definedName name="Pp_Vzdel_mzdy_na_prer_nemodif" localSheetId="18">#REF!</definedName>
    <definedName name="Pp_Vzdel_mzdy_na_prer_nemodif" localSheetId="4">#REF!</definedName>
    <definedName name="Pp_Vzdel_mzdy_na_prer_nemodif" localSheetId="6">#REF!</definedName>
    <definedName name="Pp_Vzdel_mzdy_na_prer_nemodif" localSheetId="7">#REF!</definedName>
    <definedName name="Pp_Vzdel_mzdy_na_prer_nemodif" localSheetId="9">#REF!</definedName>
    <definedName name="Pp_Vzdel_mzdy_na_prer_nemodif">#REF!</definedName>
    <definedName name="Pp_Vzdel_mzdy_prevádz" localSheetId="15">#REF!</definedName>
    <definedName name="Pp_Vzdel_mzdy_prevádz" localSheetId="17">#REF!</definedName>
    <definedName name="Pp_Vzdel_mzdy_prevádz" localSheetId="18">#REF!</definedName>
    <definedName name="Pp_Vzdel_mzdy_prevádz" localSheetId="4">#REF!</definedName>
    <definedName name="Pp_Vzdel_mzdy_prevádz" localSheetId="7">#REF!</definedName>
    <definedName name="Pp_Vzdel_mzdy_prevádz" localSheetId="9">#REF!</definedName>
    <definedName name="Pp_Vzdel_mzdy_prevádz">#REF!</definedName>
    <definedName name="Pp_Vzdel_mzdy_rezerva" localSheetId="15">#REF!</definedName>
    <definedName name="Pp_Vzdel_mzdy_rezerva" localSheetId="17">#REF!</definedName>
    <definedName name="Pp_Vzdel_mzdy_rezerva" localSheetId="18">#REF!</definedName>
    <definedName name="Pp_Vzdel_mzdy_rezerva" localSheetId="4">#REF!</definedName>
    <definedName name="Pp_Vzdel_mzdy_rezerva" localSheetId="7">#REF!</definedName>
    <definedName name="Pp_Vzdel_mzdy_rezerva" localSheetId="9">#REF!</definedName>
    <definedName name="Pp_Vzdel_mzdy_rezerva">#REF!</definedName>
    <definedName name="Pp_Vzdel_mzdy_spec" localSheetId="15">#REF!</definedName>
    <definedName name="Pp_Vzdel_mzdy_spec" localSheetId="17">#REF!</definedName>
    <definedName name="Pp_Vzdel_mzdy_spec" localSheetId="18">#REF!</definedName>
    <definedName name="Pp_Vzdel_mzdy_spec" localSheetId="4">#REF!</definedName>
    <definedName name="Pp_Vzdel_mzdy_spec" localSheetId="7">#REF!</definedName>
    <definedName name="Pp_Vzdel_mzdy_spec" localSheetId="9">#REF!</definedName>
    <definedName name="Pp_Vzdel_mzdy_spec">#REF!</definedName>
    <definedName name="Pp_Vzdel_mzdy_výkon" localSheetId="15">#REF!</definedName>
    <definedName name="Pp_Vzdel_mzdy_výkon" localSheetId="17">#REF!</definedName>
    <definedName name="Pp_Vzdel_mzdy_výkon" localSheetId="18">#REF!</definedName>
    <definedName name="Pp_Vzdel_mzdy_výkon" localSheetId="4">#REF!</definedName>
    <definedName name="Pp_Vzdel_mzdy_výkon" localSheetId="7">#REF!</definedName>
    <definedName name="Pp_Vzdel_mzdy_výkon" localSheetId="9">#REF!</definedName>
    <definedName name="Pp_Vzdel_mzdy_výkon">#REF!</definedName>
    <definedName name="Pp_Vzdel_mzdy_výkon_PV" localSheetId="15">#REF!</definedName>
    <definedName name="Pp_Vzdel_mzdy_výkon_PV" localSheetId="17">#REF!</definedName>
    <definedName name="Pp_Vzdel_mzdy_výkon_PV" localSheetId="18">#REF!</definedName>
    <definedName name="Pp_Vzdel_mzdy_výkon_PV" localSheetId="4">#REF!</definedName>
    <definedName name="Pp_Vzdel_mzdy_výkon_PV" localSheetId="7">#REF!</definedName>
    <definedName name="Pp_Vzdel_mzdy_výkon_PV" localSheetId="9">#REF!</definedName>
    <definedName name="Pp_Vzdel_mzdy_výkon_PV">#REF!</definedName>
    <definedName name="Pp_Vzdel_mzdy_výkon_PV_bez" localSheetId="15">#REF!</definedName>
    <definedName name="Pp_Vzdel_mzdy_výkon_PV_bez" localSheetId="17">#REF!</definedName>
    <definedName name="Pp_Vzdel_mzdy_výkon_PV_bez" localSheetId="18">#REF!</definedName>
    <definedName name="Pp_Vzdel_mzdy_výkon_PV_bez" localSheetId="4">#REF!</definedName>
    <definedName name="Pp_Vzdel_mzdy_výkon_PV_bez" localSheetId="7">#REF!</definedName>
    <definedName name="Pp_Vzdel_mzdy_výkon_PV_bez" localSheetId="9">#REF!</definedName>
    <definedName name="Pp_Vzdel_mzdy_výkon_PV_bez">#REF!</definedName>
    <definedName name="Pp_Vzdel_mzdy_výkon_PV_um" localSheetId="15">#REF!</definedName>
    <definedName name="Pp_Vzdel_mzdy_výkon_PV_um" localSheetId="17">#REF!</definedName>
    <definedName name="Pp_Vzdel_mzdy_výkon_PV_um" localSheetId="18">#REF!</definedName>
    <definedName name="Pp_Vzdel_mzdy_výkon_PV_um" localSheetId="4">#REF!</definedName>
    <definedName name="Pp_Vzdel_mzdy_výkon_PV_um" localSheetId="7">#REF!</definedName>
    <definedName name="Pp_Vzdel_mzdy_výkon_PV_um" localSheetId="9">#REF!</definedName>
    <definedName name="Pp_Vzdel_mzdy_výkon_PV_um">#REF!</definedName>
    <definedName name="Pp_Vzdel_mzdy_výkon_VV" localSheetId="15">#REF!</definedName>
    <definedName name="Pp_Vzdel_mzdy_výkon_VV" localSheetId="17">#REF!</definedName>
    <definedName name="Pp_Vzdel_mzdy_výkon_VV" localSheetId="18">#REF!</definedName>
    <definedName name="Pp_Vzdel_mzdy_výkon_VV" localSheetId="4">#REF!</definedName>
    <definedName name="Pp_Vzdel_mzdy_výkon_VV" localSheetId="7">#REF!</definedName>
    <definedName name="Pp_Vzdel_mzdy_výkon_VV" localSheetId="9">#REF!</definedName>
    <definedName name="Pp_Vzdel_mzdy_výkon_VV">#REF!</definedName>
    <definedName name="Pp_Vzdel_mzdy_výkon_VV_bez" localSheetId="15">#REF!</definedName>
    <definedName name="Pp_Vzdel_mzdy_výkon_VV_bez" localSheetId="17">#REF!</definedName>
    <definedName name="Pp_Vzdel_mzdy_výkon_VV_bez" localSheetId="18">#REF!</definedName>
    <definedName name="Pp_Vzdel_mzdy_výkon_VV_bez" localSheetId="4">#REF!</definedName>
    <definedName name="Pp_Vzdel_mzdy_výkon_VV_bez" localSheetId="7">#REF!</definedName>
    <definedName name="Pp_Vzdel_mzdy_výkon_VV_bez" localSheetId="9">#REF!</definedName>
    <definedName name="Pp_Vzdel_mzdy_výkon_VV_bez">#REF!</definedName>
    <definedName name="Pp_Vzdel_mzdy_výkon_VV_um" localSheetId="15">#REF!</definedName>
    <definedName name="Pp_Vzdel_mzdy_výkon_VV_um" localSheetId="17">#REF!</definedName>
    <definedName name="Pp_Vzdel_mzdy_výkon_VV_um" localSheetId="18">#REF!</definedName>
    <definedName name="Pp_Vzdel_mzdy_výkon_VV_um" localSheetId="4">#REF!</definedName>
    <definedName name="Pp_Vzdel_mzdy_výkon_VV_um" localSheetId="7">#REF!</definedName>
    <definedName name="Pp_Vzdel_mzdy_výkon_VV_um" localSheetId="9">#REF!</definedName>
    <definedName name="Pp_Vzdel_mzdy_výkon_VV_um">#REF!</definedName>
    <definedName name="Pp_Vzdel_spec_prax" localSheetId="15">#REF!</definedName>
    <definedName name="Pp_Vzdel_spec_prax" localSheetId="17">#REF!</definedName>
    <definedName name="Pp_Vzdel_spec_prax" localSheetId="18">#REF!</definedName>
    <definedName name="Pp_Vzdel_spec_prax" localSheetId="4">#REF!</definedName>
    <definedName name="Pp_Vzdel_spec_prax" localSheetId="6">#REF!</definedName>
    <definedName name="Pp_Vzdel_spec_prax" localSheetId="7">#REF!</definedName>
    <definedName name="Pp_Vzdel_spec_prax" localSheetId="9">#REF!</definedName>
    <definedName name="Pp_Vzdel_spec_prax">#REF!</definedName>
    <definedName name="Pp_Vzdel_TaS" localSheetId="15">#REF!</definedName>
    <definedName name="Pp_Vzdel_TaS" localSheetId="17">#REF!</definedName>
    <definedName name="Pp_Vzdel_TaS" localSheetId="18">#REF!</definedName>
    <definedName name="Pp_Vzdel_TaS" localSheetId="4">#REF!</definedName>
    <definedName name="Pp_Vzdel_TaS" localSheetId="7">#REF!</definedName>
    <definedName name="Pp_Vzdel_TaS" localSheetId="9">#REF!</definedName>
    <definedName name="Pp_Vzdel_TaS">#REF!</definedName>
    <definedName name="Pp_Vzdel_TaS_rezerva" localSheetId="15">#REF!</definedName>
    <definedName name="Pp_Vzdel_TaS_rezerva" localSheetId="17">#REF!</definedName>
    <definedName name="Pp_Vzdel_TaS_rezerva" localSheetId="18">#REF!</definedName>
    <definedName name="Pp_Vzdel_TaS_rezerva" localSheetId="4">#REF!</definedName>
    <definedName name="Pp_Vzdel_TaS_rezerva" localSheetId="7">#REF!</definedName>
    <definedName name="Pp_Vzdel_TaS_rezerva" localSheetId="9">#REF!</definedName>
    <definedName name="Pp_Vzdel_TaS_rezerva">#REF!</definedName>
    <definedName name="Pp_Vzdel_TaS_spec" localSheetId="15">#REF!</definedName>
    <definedName name="Pp_Vzdel_TaS_spec" localSheetId="17">#REF!</definedName>
    <definedName name="Pp_Vzdel_TaS_spec" localSheetId="18">#REF!</definedName>
    <definedName name="Pp_Vzdel_TaS_spec" localSheetId="4">#REF!</definedName>
    <definedName name="Pp_Vzdel_TaS_spec" localSheetId="6">#REF!</definedName>
    <definedName name="Pp_Vzdel_TaS_spec" localSheetId="7">#REF!</definedName>
    <definedName name="Pp_Vzdel_TaS_spec" localSheetId="9">#REF!</definedName>
    <definedName name="Pp_Vzdel_TaS_spec">#REF!</definedName>
    <definedName name="Pp_Vzdel_TaS_stav" localSheetId="15">#REF!</definedName>
    <definedName name="Pp_Vzdel_TaS_stav" localSheetId="17">#REF!</definedName>
    <definedName name="Pp_Vzdel_TaS_stav" localSheetId="18">#REF!</definedName>
    <definedName name="Pp_Vzdel_TaS_stav" localSheetId="4">#REF!</definedName>
    <definedName name="Pp_Vzdel_TaS_stav" localSheetId="7">#REF!</definedName>
    <definedName name="Pp_Vzdel_TaS_stav" localSheetId="9">#REF!</definedName>
    <definedName name="Pp_Vzdel_TaS_stav">#REF!</definedName>
    <definedName name="Pp_Vzdel_TaS_výkon" localSheetId="15">#REF!</definedName>
    <definedName name="Pp_Vzdel_TaS_výkon" localSheetId="17">#REF!</definedName>
    <definedName name="Pp_Vzdel_TaS_výkon" localSheetId="18">#REF!</definedName>
    <definedName name="Pp_Vzdel_TaS_výkon" localSheetId="4">#REF!</definedName>
    <definedName name="Pp_Vzdel_TaS_výkon" localSheetId="6">#REF!</definedName>
    <definedName name="Pp_Vzdel_TaS_výkon" localSheetId="7">#REF!</definedName>
    <definedName name="Pp_Vzdel_TaS_výkon" localSheetId="9">#REF!</definedName>
    <definedName name="Pp_Vzdel_TaS_výkon">#REF!</definedName>
    <definedName name="Pp_Vzdel_TaS_výkon_PPŠ" localSheetId="15">#REF!</definedName>
    <definedName name="Pp_Vzdel_TaS_výkon_PPŠ" localSheetId="17">#REF!</definedName>
    <definedName name="Pp_Vzdel_TaS_výkon_PPŠ" localSheetId="18">#REF!</definedName>
    <definedName name="Pp_Vzdel_TaS_výkon_PPŠ" localSheetId="4">#REF!</definedName>
    <definedName name="Pp_Vzdel_TaS_výkon_PPŠ" localSheetId="6">#REF!</definedName>
    <definedName name="Pp_Vzdel_TaS_výkon_PPŠ" localSheetId="7">#REF!</definedName>
    <definedName name="Pp_Vzdel_TaS_výkon_PPŠ" localSheetId="9">#REF!</definedName>
    <definedName name="Pp_Vzdel_TaS_výkon_PPŠ">#REF!</definedName>
    <definedName name="Pp_Vzdel_TaS_výkon_PPŠ_a_zákl" localSheetId="15">#REF!</definedName>
    <definedName name="Pp_Vzdel_TaS_výkon_PPŠ_a_zákl" localSheetId="17">#REF!</definedName>
    <definedName name="Pp_Vzdel_TaS_výkon_PPŠ_a_zákl" localSheetId="18">#REF!</definedName>
    <definedName name="Pp_Vzdel_TaS_výkon_PPŠ_a_zákl" localSheetId="4">#REF!</definedName>
    <definedName name="Pp_Vzdel_TaS_výkon_PPŠ_a_zákl" localSheetId="6">#REF!</definedName>
    <definedName name="Pp_Vzdel_TaS_výkon_PPŠ_a_zákl" localSheetId="7">#REF!</definedName>
    <definedName name="Pp_Vzdel_TaS_výkon_PPŠ_a_zákl" localSheetId="9">#REF!</definedName>
    <definedName name="Pp_Vzdel_TaS_výkon_PPŠ_a_zákl">#REF!</definedName>
    <definedName name="Pp_Vzdel_TaS_výkon_PPŠ_KEN" localSheetId="15">#REF!</definedName>
    <definedName name="Pp_Vzdel_TaS_výkon_PPŠ_KEN" localSheetId="17">#REF!</definedName>
    <definedName name="Pp_Vzdel_TaS_výkon_PPŠ_KEN" localSheetId="18">#REF!</definedName>
    <definedName name="Pp_Vzdel_TaS_výkon_PPŠ_KEN" localSheetId="4">#REF!</definedName>
    <definedName name="Pp_Vzdel_TaS_výkon_PPŠ_KEN" localSheetId="6">#REF!</definedName>
    <definedName name="Pp_Vzdel_TaS_výkon_PPŠ_KEN" localSheetId="7">#REF!</definedName>
    <definedName name="Pp_Vzdel_TaS_výkon_PPŠ_KEN" localSheetId="9">#REF!</definedName>
    <definedName name="Pp_Vzdel_TaS_výkon_PPŠ_KEN">#REF!</definedName>
    <definedName name="Pp_Vzdel_TaS_zahr_granty" localSheetId="15">#REF!</definedName>
    <definedName name="Pp_Vzdel_TaS_zahr_granty" localSheetId="17">#REF!</definedName>
    <definedName name="Pp_Vzdel_TaS_zahr_granty" localSheetId="18">#REF!</definedName>
    <definedName name="Pp_Vzdel_TaS_zahr_granty" localSheetId="4">#REF!</definedName>
    <definedName name="Pp_Vzdel_TaS_zahr_granty" localSheetId="7">#REF!</definedName>
    <definedName name="Pp_Vzdel_TaS_zahr_granty" localSheetId="9">#REF!</definedName>
    <definedName name="Pp_Vzdel_TaS_zahr_granty">#REF!</definedName>
    <definedName name="Pp_Vzdel_TaS_zákl" localSheetId="15">#REF!</definedName>
    <definedName name="Pp_Vzdel_TaS_zákl" localSheetId="17">#REF!</definedName>
    <definedName name="Pp_Vzdel_TaS_zákl" localSheetId="18">#REF!</definedName>
    <definedName name="Pp_Vzdel_TaS_zákl" localSheetId="4">#REF!</definedName>
    <definedName name="Pp_Vzdel_TaS_zákl" localSheetId="6">#REF!</definedName>
    <definedName name="Pp_Vzdel_TaS_zákl" localSheetId="7">#REF!</definedName>
    <definedName name="Pp_Vzdel_TaS_zákl" localSheetId="9">#REF!</definedName>
    <definedName name="Pp_Vzdel_TaS_zákl">#REF!</definedName>
    <definedName name="Pr_AV_BD" localSheetId="15">#REF!</definedName>
    <definedName name="Pr_AV_BD" localSheetId="17">#REF!</definedName>
    <definedName name="Pr_AV_BD" localSheetId="18">#REF!</definedName>
    <definedName name="Pr_AV_BD" localSheetId="4">#REF!</definedName>
    <definedName name="Pr_AV_BD" localSheetId="7">#REF!</definedName>
    <definedName name="Pr_AV_BD" localSheetId="9">#REF!</definedName>
    <definedName name="Pr_AV_BD">#REF!</definedName>
    <definedName name="Pr_IV_BD" localSheetId="15">#REF!</definedName>
    <definedName name="Pr_IV_BD" localSheetId="17">#REF!</definedName>
    <definedName name="Pr_IV_BD" localSheetId="18">#REF!</definedName>
    <definedName name="Pr_IV_BD" localSheetId="4">#REF!</definedName>
    <definedName name="Pr_IV_BD" localSheetId="7">#REF!</definedName>
    <definedName name="Pr_IV_BD" localSheetId="9">#REF!</definedName>
    <definedName name="Pr_IV_BD">#REF!</definedName>
    <definedName name="Pr_IV_KV" localSheetId="15">#REF!</definedName>
    <definedName name="Pr_IV_KV" localSheetId="17">#REF!</definedName>
    <definedName name="Pr_IV_KV" localSheetId="18">#REF!</definedName>
    <definedName name="Pr_IV_KV" localSheetId="4">#REF!</definedName>
    <definedName name="Pr_IV_KV" localSheetId="7">#REF!</definedName>
    <definedName name="Pr_IV_KV" localSheetId="9">#REF!</definedName>
    <definedName name="Pr_IV_KV">#REF!</definedName>
    <definedName name="Pr_IV_KV_rezerva" localSheetId="15">#REF!</definedName>
    <definedName name="Pr_IV_KV_rezerva" localSheetId="17">#REF!</definedName>
    <definedName name="Pr_IV_KV_rezerva" localSheetId="18">#REF!</definedName>
    <definedName name="Pr_IV_KV_rezerva" localSheetId="4">#REF!</definedName>
    <definedName name="Pr_IV_KV_rezerva" localSheetId="7">#REF!</definedName>
    <definedName name="Pr_IV_KV_rezerva" localSheetId="9">#REF!</definedName>
    <definedName name="Pr_IV_KV_rezerva">#REF!</definedName>
    <definedName name="Pr_KEGA_BD" localSheetId="15">#REF!</definedName>
    <definedName name="Pr_KEGA_BD" localSheetId="17">#REF!</definedName>
    <definedName name="Pr_KEGA_BD" localSheetId="18">#REF!</definedName>
    <definedName name="Pr_KEGA_BD" localSheetId="4">#REF!</definedName>
    <definedName name="Pr_KEGA_BD" localSheetId="7">#REF!</definedName>
    <definedName name="Pr_KEGA_BD" localSheetId="9">#REF!</definedName>
    <definedName name="Pr_KEGA_BD">#REF!</definedName>
    <definedName name="Pr_klinické" localSheetId="15">#REF!</definedName>
    <definedName name="Pr_klinické" localSheetId="17">#REF!</definedName>
    <definedName name="Pr_klinické" localSheetId="18">#REF!</definedName>
    <definedName name="Pr_klinické" localSheetId="4">#REF!</definedName>
    <definedName name="Pr_klinické" localSheetId="7">#REF!</definedName>
    <definedName name="Pr_klinické" localSheetId="9">#REF!</definedName>
    <definedName name="Pr_klinické">#REF!</definedName>
    <definedName name="Pr_KŠ" localSheetId="15">#REF!</definedName>
    <definedName name="Pr_KŠ" localSheetId="17">#REF!</definedName>
    <definedName name="Pr_KŠ" localSheetId="18">#REF!</definedName>
    <definedName name="Pr_KŠ" localSheetId="4">#REF!</definedName>
    <definedName name="Pr_KŠ" localSheetId="6">#REF!</definedName>
    <definedName name="Pr_KŠ" localSheetId="7">#REF!</definedName>
    <definedName name="Pr_KŠ" localSheetId="9">#REF!</definedName>
    <definedName name="Pr_KŠ">#REF!</definedName>
    <definedName name="Pr_motštip_BD" localSheetId="15">#REF!</definedName>
    <definedName name="Pr_motštip_BD" localSheetId="17">#REF!</definedName>
    <definedName name="Pr_motštip_BD" localSheetId="18">#REF!</definedName>
    <definedName name="Pr_motštip_BD" localSheetId="4">#REF!</definedName>
    <definedName name="Pr_motštip_BD" localSheetId="7">#REF!</definedName>
    <definedName name="Pr_motštip_BD" localSheetId="9">#REF!</definedName>
    <definedName name="Pr_motštip_BD">#REF!</definedName>
    <definedName name="Pr_MVTS_BD" localSheetId="15">#REF!</definedName>
    <definedName name="Pr_MVTS_BD" localSheetId="17">#REF!</definedName>
    <definedName name="Pr_MVTS_BD" localSheetId="18">#REF!</definedName>
    <definedName name="Pr_MVTS_BD" localSheetId="4">#REF!</definedName>
    <definedName name="Pr_MVTS_BD" localSheetId="7">#REF!</definedName>
    <definedName name="Pr_MVTS_BD" localSheetId="9">#REF!</definedName>
    <definedName name="Pr_MVTS_BD">#REF!</definedName>
    <definedName name="Pr_socštip_BD" localSheetId="15">#REF!</definedName>
    <definedName name="Pr_socštip_BD" localSheetId="17">#REF!</definedName>
    <definedName name="Pr_socštip_BD" localSheetId="18">#REF!</definedName>
    <definedName name="Pr_socštip_BD" localSheetId="4">#REF!</definedName>
    <definedName name="Pr_socštip_BD" localSheetId="7">#REF!</definedName>
    <definedName name="Pr_socštip_BD" localSheetId="9">#REF!</definedName>
    <definedName name="Pr_socštip_BD">#REF!</definedName>
    <definedName name="Pr_ŠD" localSheetId="15">#REF!</definedName>
    <definedName name="Pr_ŠD" localSheetId="17">#REF!</definedName>
    <definedName name="Pr_ŠD" localSheetId="18">#REF!</definedName>
    <definedName name="Pr_ŠD" localSheetId="4">#REF!</definedName>
    <definedName name="Pr_ŠD" localSheetId="6">#REF!</definedName>
    <definedName name="Pr_ŠD" localSheetId="7">#REF!</definedName>
    <definedName name="Pr_ŠD" localSheetId="9">#REF!</definedName>
    <definedName name="Pr_ŠD">#REF!</definedName>
    <definedName name="Pr_ŠDaJKŠPC_BD" localSheetId="15">#REF!</definedName>
    <definedName name="Pr_ŠDaJKŠPC_BD" localSheetId="17">#REF!</definedName>
    <definedName name="Pr_ŠDaJKŠPC_BD" localSheetId="18">#REF!</definedName>
    <definedName name="Pr_ŠDaJKŠPC_BD" localSheetId="4">#REF!</definedName>
    <definedName name="Pr_ŠDaJKŠPC_BD" localSheetId="7">#REF!</definedName>
    <definedName name="Pr_ŠDaJKŠPC_BD" localSheetId="9">#REF!</definedName>
    <definedName name="Pr_ŠDaJKŠPC_BD">#REF!</definedName>
    <definedName name="Pr_VaT_KV_zac_roka" localSheetId="15">#REF!</definedName>
    <definedName name="Pr_VaT_KV_zac_roka" localSheetId="17">#REF!</definedName>
    <definedName name="Pr_VaT_KV_zac_roka" localSheetId="18">#REF!</definedName>
    <definedName name="Pr_VaT_KV_zac_roka" localSheetId="4">#REF!</definedName>
    <definedName name="Pr_VaT_KV_zac_roka" localSheetId="7">#REF!</definedName>
    <definedName name="Pr_VaT_KV_zac_roka" localSheetId="9">#REF!</definedName>
    <definedName name="Pr_VaT_KV_zac_roka">#REF!</definedName>
    <definedName name="Pr_VaT_TaS" localSheetId="15">#REF!</definedName>
    <definedName name="Pr_VaT_TaS" localSheetId="17">#REF!</definedName>
    <definedName name="Pr_VaT_TaS" localSheetId="18">#REF!</definedName>
    <definedName name="Pr_VaT_TaS" localSheetId="4">#REF!</definedName>
    <definedName name="Pr_VaT_TaS" localSheetId="7">#REF!</definedName>
    <definedName name="Pr_VaT_TaS" localSheetId="9">#REF!</definedName>
    <definedName name="Pr_VaT_TaS">#REF!</definedName>
    <definedName name="Pr_VaT_TaS_rezerva" localSheetId="15">#REF!</definedName>
    <definedName name="Pr_VaT_TaS_rezerva" localSheetId="17">#REF!</definedName>
    <definedName name="Pr_VaT_TaS_rezerva" localSheetId="18">#REF!</definedName>
    <definedName name="Pr_VaT_TaS_rezerva" localSheetId="4">#REF!</definedName>
    <definedName name="Pr_VaT_TaS_rezerva" localSheetId="7">#REF!</definedName>
    <definedName name="Pr_VaT_TaS_rezerva" localSheetId="9">#REF!</definedName>
    <definedName name="Pr_VaT_TaS_rezerva">#REF!</definedName>
    <definedName name="Pr_VaT_TaS_zac_roka" localSheetId="15">#REF!</definedName>
    <definedName name="Pr_VaT_TaS_zac_roka" localSheetId="17">#REF!</definedName>
    <definedName name="Pr_VaT_TaS_zac_roka" localSheetId="18">#REF!</definedName>
    <definedName name="Pr_VaT_TaS_zac_roka" localSheetId="4">#REF!</definedName>
    <definedName name="Pr_VaT_TaS_zac_roka" localSheetId="7">#REF!</definedName>
    <definedName name="Pr_VaT_TaS_zac_roka" localSheetId="9">#REF!</definedName>
    <definedName name="Pr_VaT_TaS_zac_roka">#REF!</definedName>
    <definedName name="Pr_VEGA_BD" localSheetId="15">#REF!</definedName>
    <definedName name="Pr_VEGA_BD" localSheetId="17">#REF!</definedName>
    <definedName name="Pr_VEGA_BD" localSheetId="18">#REF!</definedName>
    <definedName name="Pr_VEGA_BD" localSheetId="4">#REF!</definedName>
    <definedName name="Pr_VEGA_BD" localSheetId="7">#REF!</definedName>
    <definedName name="Pr_VEGA_BD" localSheetId="9">#REF!</definedName>
    <definedName name="Pr_VEGA_BD">#REF!</definedName>
    <definedName name="predmety" localSheetId="15">#REF!</definedName>
    <definedName name="predmety" localSheetId="17">#REF!</definedName>
    <definedName name="predmety" localSheetId="18">#REF!</definedName>
    <definedName name="predmety" localSheetId="4">#REF!</definedName>
    <definedName name="predmety" localSheetId="7">#REF!</definedName>
    <definedName name="predmety" localSheetId="9">#REF!</definedName>
    <definedName name="predmety">#REF!</definedName>
    <definedName name="prisp_na_1_jedlo" localSheetId="15">#REF!</definedName>
    <definedName name="prisp_na_1_jedlo" localSheetId="17">#REF!</definedName>
    <definedName name="prisp_na_1_jedlo" localSheetId="18">#REF!</definedName>
    <definedName name="prisp_na_1_jedlo" localSheetId="4">#REF!</definedName>
    <definedName name="prisp_na_1_jedlo" localSheetId="6">#REF!</definedName>
    <definedName name="prisp_na_1_jedlo" localSheetId="7">#REF!</definedName>
    <definedName name="prisp_na_1_jedlo" localSheetId="9">#REF!</definedName>
    <definedName name="prisp_na_1_jedlo">#REF!</definedName>
    <definedName name="prisp_na_ubyt_stud_SD" localSheetId="15">#REF!</definedName>
    <definedName name="prisp_na_ubyt_stud_SD" localSheetId="17">#REF!</definedName>
    <definedName name="prisp_na_ubyt_stud_SD" localSheetId="18">#REF!</definedName>
    <definedName name="prisp_na_ubyt_stud_SD" localSheetId="4">#REF!</definedName>
    <definedName name="prisp_na_ubyt_stud_SD" localSheetId="6">#REF!</definedName>
    <definedName name="prisp_na_ubyt_stud_SD" localSheetId="7">#REF!</definedName>
    <definedName name="prisp_na_ubyt_stud_SD" localSheetId="9">#REF!</definedName>
    <definedName name="prisp_na_ubyt_stud_SD">#REF!</definedName>
    <definedName name="prisp_na_ubyt_stud_ZZ" localSheetId="15">#REF!</definedName>
    <definedName name="prisp_na_ubyt_stud_ZZ" localSheetId="17">#REF!</definedName>
    <definedName name="prisp_na_ubyt_stud_ZZ" localSheetId="18">#REF!</definedName>
    <definedName name="prisp_na_ubyt_stud_ZZ" localSheetId="4">#REF!</definedName>
    <definedName name="prisp_na_ubyt_stud_ZZ" localSheetId="6">#REF!</definedName>
    <definedName name="prisp_na_ubyt_stud_ZZ" localSheetId="7">#REF!</definedName>
    <definedName name="prisp_na_ubyt_stud_ZZ" localSheetId="9">#REF!</definedName>
    <definedName name="prisp_na_ubyt_stud_ZZ">#REF!</definedName>
    <definedName name="prísp_zákl_prev" localSheetId="15">#REF!</definedName>
    <definedName name="prísp_zákl_prev" localSheetId="17">#REF!</definedName>
    <definedName name="prísp_zákl_prev" localSheetId="18">#REF!</definedName>
    <definedName name="prísp_zákl_prev" localSheetId="4">#REF!</definedName>
    <definedName name="prísp_zákl_prev" localSheetId="7">#REF!</definedName>
    <definedName name="prísp_zákl_prev" localSheetId="9">#REF!</definedName>
    <definedName name="prísp_zákl_prev">#REF!</definedName>
    <definedName name="R_vvs" localSheetId="15">#REF!</definedName>
    <definedName name="R_vvs" localSheetId="17">#REF!</definedName>
    <definedName name="R_vvs" localSheetId="18">#REF!</definedName>
    <definedName name="R_vvs" localSheetId="4">#REF!</definedName>
    <definedName name="R_vvs" localSheetId="7">#REF!</definedName>
    <definedName name="R_vvs" localSheetId="9">#REF!</definedName>
    <definedName name="R_vvs">#REF!</definedName>
    <definedName name="R_vvs_BD" localSheetId="15">#REF!</definedName>
    <definedName name="R_vvs_BD" localSheetId="17">#REF!</definedName>
    <definedName name="R_vvs_BD" localSheetId="18">#REF!</definedName>
    <definedName name="R_vvs_BD" localSheetId="4">#REF!</definedName>
    <definedName name="R_vvs_BD" localSheetId="7">#REF!</definedName>
    <definedName name="R_vvs_BD" localSheetId="9">#REF!</definedName>
    <definedName name="R_vvs_BD">#REF!</definedName>
    <definedName name="R_vvs_VaT_BD" localSheetId="15">#REF!</definedName>
    <definedName name="R_vvs_VaT_BD" localSheetId="17">#REF!</definedName>
    <definedName name="R_vvs_VaT_BD" localSheetId="18">#REF!</definedName>
    <definedName name="R_vvs_VaT_BD" localSheetId="4">#REF!</definedName>
    <definedName name="R_vvs_VaT_BD" localSheetId="7">#REF!</definedName>
    <definedName name="R_vvs_VaT_BD" localSheetId="9">#REF!</definedName>
    <definedName name="R_vvs_VaT_BD">#REF!</definedName>
    <definedName name="Sanet" localSheetId="15">#REF!</definedName>
    <definedName name="Sanet" localSheetId="17">#REF!</definedName>
    <definedName name="Sanet" localSheetId="18">#REF!</definedName>
    <definedName name="Sanet" localSheetId="4">#REF!</definedName>
    <definedName name="Sanet" localSheetId="7">#REF!</definedName>
    <definedName name="Sanet" localSheetId="9">#REF!</definedName>
    <definedName name="Sanet">#REF!</definedName>
    <definedName name="SAPBEXrevision" hidden="1">7</definedName>
    <definedName name="SAPBEXsysID" hidden="1">"BS1"</definedName>
    <definedName name="SAPBEXwbID" hidden="1">"3TG3S316PX9BHXMQEBSXSYZZO"</definedName>
    <definedName name="stavba_ucelova" localSheetId="15">#REF!</definedName>
    <definedName name="stavba_ucelova" localSheetId="17">#REF!</definedName>
    <definedName name="stavba_ucelova" localSheetId="18">#REF!</definedName>
    <definedName name="stavba_ucelova" localSheetId="2">#REF!</definedName>
    <definedName name="stavba_ucelova" localSheetId="4">#REF!</definedName>
    <definedName name="stavba_ucelova" localSheetId="7">#REF!</definedName>
    <definedName name="stavba_ucelova" localSheetId="9">#REF!</definedName>
    <definedName name="stavba_ucelova">#REF!</definedName>
    <definedName name="studenti_vstup" localSheetId="15">#REF!</definedName>
    <definedName name="studenti_vstup" localSheetId="17">#REF!</definedName>
    <definedName name="studenti_vstup" localSheetId="18">#REF!</definedName>
    <definedName name="studenti_vstup" localSheetId="4">#REF!</definedName>
    <definedName name="studenti_vstup" localSheetId="7">#REF!</definedName>
    <definedName name="studenti_vstup" localSheetId="9">#REF!</definedName>
    <definedName name="studenti_vstup">#REF!</definedName>
    <definedName name="sustava" localSheetId="15">#REF!</definedName>
    <definedName name="sustava" localSheetId="17">#REF!</definedName>
    <definedName name="sustava" localSheetId="18">#REF!</definedName>
    <definedName name="sustava" localSheetId="4">#REF!</definedName>
    <definedName name="sustava" localSheetId="7">#REF!</definedName>
    <definedName name="sustava" localSheetId="9">#REF!</definedName>
    <definedName name="sustava">#REF!</definedName>
    <definedName name="T_1" localSheetId="15">#REF!</definedName>
    <definedName name="T_1" localSheetId="17">#REF!</definedName>
    <definedName name="T_1" localSheetId="18">#REF!</definedName>
    <definedName name="T_1" localSheetId="4">#REF!</definedName>
    <definedName name="T_1" localSheetId="7">#REF!</definedName>
    <definedName name="T_1" localSheetId="9">#REF!</definedName>
    <definedName name="T_1">#REF!</definedName>
    <definedName name="T_25_so_štip_2007" localSheetId="15">#REF!</definedName>
    <definedName name="T_25_so_štip_2007" localSheetId="17">#REF!</definedName>
    <definedName name="T_25_so_štip_2007" localSheetId="18">#REF!</definedName>
    <definedName name="T_25_so_štip_2007" localSheetId="4">#REF!</definedName>
    <definedName name="T_25_so_štip_2007" localSheetId="7">#REF!</definedName>
    <definedName name="T_25_so_štip_2007" localSheetId="9">#REF!</definedName>
    <definedName name="T_25_so_štip_2007">#REF!</definedName>
    <definedName name="T_M" localSheetId="15">#REF!</definedName>
    <definedName name="T_M" localSheetId="17">#REF!</definedName>
    <definedName name="T_M" localSheetId="18">#REF!</definedName>
    <definedName name="T_M" localSheetId="4">#REF!</definedName>
    <definedName name="T_M" localSheetId="7">#REF!</definedName>
    <definedName name="T_M" localSheetId="9">#REF!</definedName>
    <definedName name="T_M">#REF!</definedName>
    <definedName name="váha_absDrš" localSheetId="15">#REF!</definedName>
    <definedName name="váha_absDrš" localSheetId="17">#REF!</definedName>
    <definedName name="váha_absDrš" localSheetId="18">#REF!</definedName>
    <definedName name="váha_absDrš" localSheetId="4">#REF!</definedName>
    <definedName name="váha_absDrš" localSheetId="7">#REF!</definedName>
    <definedName name="váha_absDrš" localSheetId="9">#REF!</definedName>
    <definedName name="váha_absDrš">#REF!</definedName>
    <definedName name="váha_DG" localSheetId="15">#REF!</definedName>
    <definedName name="váha_DG" localSheetId="17">#REF!</definedName>
    <definedName name="váha_DG" localSheetId="18">#REF!</definedName>
    <definedName name="váha_DG" localSheetId="4">#REF!</definedName>
    <definedName name="váha_DG" localSheetId="7">#REF!</definedName>
    <definedName name="váha_DG" localSheetId="9">#REF!</definedName>
    <definedName name="váha_DG">#REF!</definedName>
    <definedName name="váha_poDs" localSheetId="15">#REF!</definedName>
    <definedName name="váha_poDs" localSheetId="17">#REF!</definedName>
    <definedName name="váha_poDs" localSheetId="18">#REF!</definedName>
    <definedName name="váha_poDs" localSheetId="4">#REF!</definedName>
    <definedName name="váha_poDs" localSheetId="7">#REF!</definedName>
    <definedName name="váha_poDs" localSheetId="9">#REF!</definedName>
    <definedName name="váha_poDs">#REF!</definedName>
    <definedName name="váha_Pub" localSheetId="15">#REF!</definedName>
    <definedName name="váha_Pub" localSheetId="17">#REF!</definedName>
    <definedName name="váha_Pub" localSheetId="18">#REF!</definedName>
    <definedName name="váha_Pub" localSheetId="4">#REF!</definedName>
    <definedName name="váha_Pub" localSheetId="7">#REF!</definedName>
    <definedName name="váha_Pub" localSheetId="9">#REF!</definedName>
    <definedName name="váha_Pub">#REF!</definedName>
    <definedName name="váha_ZG" localSheetId="15">#REF!</definedName>
    <definedName name="váha_ZG" localSheetId="17">#REF!</definedName>
    <definedName name="váha_ZG" localSheetId="18">#REF!</definedName>
    <definedName name="váha_ZG" localSheetId="4">#REF!</definedName>
    <definedName name="váha_ZG" localSheetId="7">#REF!</definedName>
    <definedName name="váha_ZG" localSheetId="9">#REF!</definedName>
    <definedName name="váha_ZG">#REF!</definedName>
    <definedName name="výkon_um" localSheetId="15">#REF!</definedName>
    <definedName name="výkon_um" localSheetId="17">#REF!</definedName>
    <definedName name="výkon_um" localSheetId="18">#REF!</definedName>
    <definedName name="výkon_um" localSheetId="4">#REF!</definedName>
    <definedName name="výkon_um" localSheetId="7">#REF!</definedName>
    <definedName name="výkon_um" localSheetId="9">#REF!</definedName>
    <definedName name="výkon_um">#REF!</definedName>
    <definedName name="x" localSheetId="15">#REF!</definedName>
    <definedName name="x" localSheetId="17">#REF!</definedName>
    <definedName name="x" localSheetId="18">#REF!</definedName>
    <definedName name="x" localSheetId="4">#REF!</definedName>
    <definedName name="x" localSheetId="7">#REF!</definedName>
    <definedName name="x" localSheetId="9">#REF!</definedName>
    <definedName name="x">#REF!</definedName>
    <definedName name="xxx" hidden="1">"3TGMUFSSIAIMK2KTNC9DELQD0"</definedName>
    <definedName name="zakl_prisp_na_prev_SD" localSheetId="15">#REF!</definedName>
    <definedName name="zakl_prisp_na_prev_SD" localSheetId="17">#REF!</definedName>
    <definedName name="zakl_prisp_na_prev_SD" localSheetId="18">#REF!</definedName>
    <definedName name="zakl_prisp_na_prev_SD" localSheetId="4">#REF!</definedName>
    <definedName name="zakl_prisp_na_prev_SD" localSheetId="6">#REF!</definedName>
    <definedName name="zakl_prisp_na_prev_SD" localSheetId="7">#REF!</definedName>
    <definedName name="zakl_prisp_na_prev_SD" localSheetId="9">#REF!</definedName>
    <definedName name="zakl_prisp_na_prev_SD">#REF!</definedName>
    <definedName name="záloha" localSheetId="15">#REF!</definedName>
    <definedName name="záloha" localSheetId="17">#REF!</definedName>
    <definedName name="záloha" localSheetId="18">#REF!</definedName>
    <definedName name="záloha" localSheetId="4">#REF!</definedName>
    <definedName name="záloha" localSheetId="6">#REF!</definedName>
    <definedName name="záloha" localSheetId="7">#REF!</definedName>
    <definedName name="záloha" localSheetId="9">#REF!</definedName>
    <definedName name="záloha">#REF!</definedName>
  </definedNames>
  <calcPr calcId="162913"/>
</workbook>
</file>

<file path=xl/calcChain.xml><?xml version="1.0" encoding="utf-8"?>
<calcChain xmlns="http://schemas.openxmlformats.org/spreadsheetml/2006/main">
  <c r="K82" i="162" l="1"/>
  <c r="J82" i="162"/>
  <c r="J46" i="161" l="1"/>
  <c r="C103" i="162" l="1"/>
  <c r="C75" i="161"/>
  <c r="I47" i="161"/>
  <c r="I52" i="161"/>
  <c r="I50" i="161"/>
  <c r="J61" i="162"/>
  <c r="D23" i="146" l="1"/>
  <c r="D17" i="146" l="1"/>
  <c r="H19" i="90" l="1"/>
  <c r="F16" i="90"/>
  <c r="F15" i="90"/>
  <c r="G7" i="90"/>
  <c r="F7" i="90"/>
  <c r="I6" i="164" l="1"/>
  <c r="H6" i="164"/>
  <c r="I10" i="164"/>
  <c r="H10" i="164"/>
  <c r="I6" i="109"/>
  <c r="H6" i="109"/>
  <c r="H11" i="109"/>
  <c r="H9" i="109"/>
  <c r="I10" i="109"/>
  <c r="H10" i="109"/>
  <c r="D16" i="90" l="1"/>
  <c r="D19" i="90"/>
  <c r="D9" i="90" l="1"/>
  <c r="D6" i="90"/>
  <c r="D12" i="116"/>
  <c r="C56" i="161" l="1"/>
  <c r="C47" i="161"/>
  <c r="D58" i="162"/>
  <c r="C81" i="162"/>
  <c r="C58" i="162"/>
  <c r="E96" i="162"/>
  <c r="E93" i="162"/>
  <c r="E95" i="162"/>
  <c r="E94" i="162"/>
  <c r="E92" i="162"/>
  <c r="E58" i="162"/>
  <c r="E81" i="162"/>
  <c r="E52" i="162"/>
  <c r="E49" i="162"/>
  <c r="F79" i="161" l="1"/>
  <c r="E47" i="161"/>
  <c r="E28" i="134"/>
  <c r="E34" i="134"/>
  <c r="D34" i="134"/>
  <c r="E39" i="133"/>
  <c r="E30" i="133"/>
  <c r="D30" i="133"/>
  <c r="D23" i="133"/>
  <c r="E23" i="133"/>
  <c r="D39" i="133"/>
  <c r="N19" i="160" l="1"/>
  <c r="M19" i="160"/>
  <c r="I7" i="97" l="1"/>
  <c r="I8" i="97" s="1"/>
  <c r="H7" i="97"/>
  <c r="H8" i="97" s="1"/>
  <c r="L6" i="97"/>
  <c r="J6" i="97"/>
  <c r="I6" i="97"/>
  <c r="H6" i="97"/>
  <c r="F6" i="97" l="1"/>
  <c r="E6" i="97"/>
  <c r="D6" i="97"/>
  <c r="C6" i="97"/>
  <c r="B6" i="97"/>
  <c r="J13" i="170" l="1"/>
  <c r="I13" i="170"/>
  <c r="K13" i="170" s="1"/>
  <c r="G13" i="170"/>
  <c r="H13" i="170"/>
  <c r="K12" i="170"/>
  <c r="K11" i="170"/>
  <c r="E10" i="170"/>
  <c r="H10" i="170" s="1"/>
  <c r="K10" i="170" s="1"/>
  <c r="E9" i="170"/>
  <c r="H9" i="170" s="1"/>
  <c r="K9" i="170" s="1"/>
  <c r="E8" i="170"/>
  <c r="H8" i="170" s="1"/>
  <c r="K8" i="170" s="1"/>
  <c r="E7" i="170"/>
  <c r="H7" i="170" s="1"/>
  <c r="K7" i="170" s="1"/>
  <c r="A7" i="170"/>
  <c r="A8" i="170" s="1"/>
  <c r="E6" i="170"/>
  <c r="H6" i="170" s="1"/>
  <c r="K6" i="170" s="1"/>
  <c r="C13" i="170"/>
  <c r="D13" i="170"/>
  <c r="F13" i="170"/>
  <c r="I13" i="171"/>
  <c r="G13" i="171"/>
  <c r="E9" i="171"/>
  <c r="E13" i="171" s="1"/>
  <c r="C9" i="171"/>
  <c r="C13" i="171" s="1"/>
  <c r="F22" i="144"/>
  <c r="E22" i="144"/>
  <c r="D22" i="144"/>
  <c r="C22" i="144"/>
  <c r="F19" i="144"/>
  <c r="E19" i="144"/>
  <c r="D19" i="144"/>
  <c r="C19" i="144"/>
  <c r="F16" i="144"/>
  <c r="E16" i="144"/>
  <c r="D16" i="144"/>
  <c r="C16" i="144"/>
  <c r="F13" i="144"/>
  <c r="E13" i="144"/>
  <c r="D13" i="144"/>
  <c r="C13" i="144"/>
  <c r="F10" i="144"/>
  <c r="E10" i="144"/>
  <c r="D10" i="144"/>
  <c r="C10" i="144"/>
  <c r="F7" i="144"/>
  <c r="E7" i="144"/>
  <c r="D7" i="144"/>
  <c r="C7" i="144"/>
  <c r="F6" i="144"/>
  <c r="E6" i="144"/>
  <c r="D6" i="144"/>
  <c r="C6" i="144"/>
  <c r="E16" i="61"/>
  <c r="D15" i="61"/>
  <c r="C15" i="61"/>
  <c r="E13" i="61"/>
  <c r="E12" i="61"/>
  <c r="E10" i="61"/>
  <c r="E8" i="61"/>
  <c r="E7" i="61"/>
  <c r="D6" i="61"/>
  <c r="D18" i="61" s="1"/>
  <c r="C6" i="61"/>
  <c r="E6" i="61" s="1"/>
  <c r="N15" i="160"/>
  <c r="M15" i="160"/>
  <c r="L15" i="160"/>
  <c r="P15" i="160" s="1"/>
  <c r="K15" i="160"/>
  <c r="O15" i="160" s="1"/>
  <c r="P14" i="160"/>
  <c r="O14" i="160"/>
  <c r="P13" i="160"/>
  <c r="O13" i="160"/>
  <c r="D26" i="160"/>
  <c r="E26" i="160"/>
  <c r="F26" i="160"/>
  <c r="G26" i="160"/>
  <c r="C26" i="160"/>
  <c r="H31" i="160"/>
  <c r="G30" i="160"/>
  <c r="G29" i="160"/>
  <c r="H28" i="160"/>
  <c r="G27" i="160"/>
  <c r="H17" i="160"/>
  <c r="G16" i="160"/>
  <c r="H15" i="160"/>
  <c r="F15" i="160"/>
  <c r="E15" i="160"/>
  <c r="D15" i="160"/>
  <c r="C15" i="160"/>
  <c r="G15" i="160" s="1"/>
  <c r="H14" i="160"/>
  <c r="G13" i="160"/>
  <c r="F12" i="160"/>
  <c r="E12" i="160"/>
  <c r="D12" i="160"/>
  <c r="H12" i="160" s="1"/>
  <c r="C12" i="160"/>
  <c r="G12" i="160" s="1"/>
  <c r="H11" i="160"/>
  <c r="G10" i="160"/>
  <c r="F9" i="160"/>
  <c r="E9" i="160"/>
  <c r="D9" i="160"/>
  <c r="H9" i="160" s="1"/>
  <c r="C9" i="160"/>
  <c r="G9" i="160" s="1"/>
  <c r="H8" i="160"/>
  <c r="G7" i="160"/>
  <c r="F6" i="160"/>
  <c r="H6" i="160" s="1"/>
  <c r="E6" i="160"/>
  <c r="D6" i="160"/>
  <c r="C6" i="160"/>
  <c r="G6" i="160" s="1"/>
  <c r="E15" i="61" l="1"/>
  <c r="C18" i="61"/>
  <c r="E13" i="170"/>
  <c r="E18" i="61"/>
  <c r="H26" i="160"/>
  <c r="C8" i="173"/>
  <c r="C5" i="173"/>
  <c r="C25" i="173" s="1"/>
  <c r="E18" i="166"/>
  <c r="E17" i="166"/>
  <c r="D16" i="166"/>
  <c r="C16" i="166"/>
  <c r="E16" i="166" s="1"/>
  <c r="E15" i="166"/>
  <c r="E14" i="166"/>
  <c r="D13" i="166"/>
  <c r="D12" i="166" s="1"/>
  <c r="C13" i="166"/>
  <c r="E13" i="166" s="1"/>
  <c r="D10" i="166"/>
  <c r="E10" i="166" s="1"/>
  <c r="C10" i="166"/>
  <c r="E9" i="166"/>
  <c r="E8" i="166"/>
  <c r="E7" i="166"/>
  <c r="D7" i="166"/>
  <c r="D11" i="166" s="1"/>
  <c r="C7" i="166"/>
  <c r="C11" i="166" s="1"/>
  <c r="E6" i="166"/>
  <c r="E5" i="166"/>
  <c r="N18" i="145"/>
  <c r="M18" i="145"/>
  <c r="I17" i="145"/>
  <c r="E17" i="145"/>
  <c r="F6" i="145" s="1"/>
  <c r="F17" i="145" s="1"/>
  <c r="N16" i="145"/>
  <c r="M16" i="145"/>
  <c r="N15" i="145"/>
  <c r="M15" i="145"/>
  <c r="N14" i="145"/>
  <c r="M14" i="145"/>
  <c r="N13" i="145"/>
  <c r="M13" i="145"/>
  <c r="N12" i="145"/>
  <c r="M12" i="145"/>
  <c r="N11" i="145"/>
  <c r="M11" i="145"/>
  <c r="N10" i="145"/>
  <c r="M10" i="145"/>
  <c r="N9" i="145"/>
  <c r="M9" i="145"/>
  <c r="N8" i="145"/>
  <c r="M8" i="145"/>
  <c r="L7" i="145"/>
  <c r="K7" i="145"/>
  <c r="K17" i="145" s="1"/>
  <c r="L6" i="145" s="1"/>
  <c r="L17" i="145" s="1"/>
  <c r="J7" i="145"/>
  <c r="I7" i="145"/>
  <c r="H7" i="145"/>
  <c r="G7" i="145"/>
  <c r="G17" i="145" s="1"/>
  <c r="H6" i="145" s="1"/>
  <c r="H17" i="145" s="1"/>
  <c r="F7" i="145"/>
  <c r="N7" i="145" s="1"/>
  <c r="E7" i="145"/>
  <c r="D7" i="145"/>
  <c r="C7" i="145"/>
  <c r="C17" i="145" s="1"/>
  <c r="M6" i="145"/>
  <c r="J6" i="145"/>
  <c r="J17" i="145" s="1"/>
  <c r="H19" i="91"/>
  <c r="H18" i="91"/>
  <c r="H14" i="91"/>
  <c r="H13" i="91"/>
  <c r="H6" i="91"/>
  <c r="E11" i="166" l="1"/>
  <c r="D22" i="166"/>
  <c r="C12" i="166"/>
  <c r="E12" i="166" s="1"/>
  <c r="D6" i="145"/>
  <c r="M17" i="145"/>
  <c r="M7" i="145"/>
  <c r="C22" i="166" l="1"/>
  <c r="E22" i="166" s="1"/>
  <c r="D17" i="145"/>
  <c r="N17" i="145" s="1"/>
  <c r="N6" i="145"/>
  <c r="D30" i="3" l="1"/>
  <c r="C30" i="3"/>
  <c r="E43" i="3"/>
  <c r="E42" i="3"/>
  <c r="E41" i="3"/>
  <c r="E40" i="3"/>
  <c r="E39" i="3"/>
  <c r="E38" i="3"/>
  <c r="E37" i="3"/>
  <c r="E36" i="3"/>
  <c r="E35" i="3"/>
  <c r="E34" i="3"/>
  <c r="E33" i="3"/>
  <c r="E32" i="3"/>
  <c r="E31" i="3"/>
  <c r="C18" i="3"/>
  <c r="C5" i="3"/>
  <c r="E27" i="3"/>
  <c r="E26" i="3"/>
  <c r="E25" i="3"/>
  <c r="E24" i="3"/>
  <c r="E23" i="3"/>
  <c r="E22" i="3"/>
  <c r="E21" i="3"/>
  <c r="E20" i="3"/>
  <c r="E19" i="3"/>
  <c r="E10" i="3"/>
  <c r="E9" i="3"/>
  <c r="E8" i="3"/>
  <c r="E7" i="3"/>
  <c r="E6" i="3"/>
  <c r="E18" i="23"/>
  <c r="E17" i="23"/>
  <c r="E16" i="23"/>
  <c r="D15" i="23"/>
  <c r="C15" i="23"/>
  <c r="E15" i="23" s="1"/>
  <c r="E14" i="23"/>
  <c r="D13" i="23"/>
  <c r="C13" i="23"/>
  <c r="E13" i="23" s="1"/>
  <c r="E12" i="23"/>
  <c r="E11" i="23"/>
  <c r="E10" i="23"/>
  <c r="E9" i="23"/>
  <c r="E8" i="23"/>
  <c r="D7" i="23"/>
  <c r="C7" i="23"/>
  <c r="E7" i="23" s="1"/>
  <c r="E6" i="23"/>
  <c r="D5" i="23"/>
  <c r="D19" i="23" s="1"/>
  <c r="C5" i="23"/>
  <c r="C19" i="23" s="1"/>
  <c r="E19" i="23" s="1"/>
  <c r="E5" i="23" l="1"/>
  <c r="C16" i="154" l="1"/>
  <c r="D16" i="154"/>
  <c r="F37" i="161"/>
  <c r="E37" i="161"/>
  <c r="E79" i="161" s="1"/>
  <c r="D37" i="161"/>
  <c r="C37" i="161"/>
  <c r="C11" i="161" l="1"/>
  <c r="D62" i="162" l="1"/>
  <c r="E62" i="162"/>
  <c r="F62" i="162"/>
  <c r="C5" i="154" l="1"/>
  <c r="G45" i="161"/>
  <c r="H45" i="161"/>
  <c r="H31" i="161"/>
  <c r="H32" i="161"/>
  <c r="H33" i="161"/>
  <c r="H34" i="161"/>
  <c r="H35" i="161"/>
  <c r="H36" i="161"/>
  <c r="G31" i="161"/>
  <c r="G32" i="161"/>
  <c r="G33" i="161"/>
  <c r="G34" i="161"/>
  <c r="G35" i="161"/>
  <c r="G36" i="161"/>
  <c r="D25" i="161"/>
  <c r="E25" i="161"/>
  <c r="F25" i="161"/>
  <c r="C25" i="161"/>
  <c r="D5" i="154" l="1"/>
  <c r="C62" i="162" l="1"/>
  <c r="H66" i="162"/>
  <c r="G66" i="162"/>
  <c r="H70" i="161" l="1"/>
  <c r="G70" i="161"/>
  <c r="E15" i="172" l="1"/>
  <c r="C15" i="172"/>
  <c r="E12" i="172"/>
  <c r="C12" i="172"/>
  <c r="C11" i="164" l="1"/>
  <c r="E9" i="164" l="1"/>
  <c r="E11" i="164" s="1"/>
  <c r="A7" i="164"/>
  <c r="A8" i="164" s="1"/>
  <c r="A9" i="164" s="1"/>
  <c r="A10" i="164" s="1"/>
  <c r="E12" i="109"/>
  <c r="C12" i="109"/>
  <c r="C11" i="109"/>
  <c r="E9" i="109" s="1"/>
  <c r="E11" i="109" s="1"/>
  <c r="A7" i="109"/>
  <c r="A8" i="109" s="1"/>
  <c r="A9" i="109" s="1"/>
  <c r="A10" i="109" s="1"/>
  <c r="C23" i="146" l="1"/>
  <c r="C22" i="146"/>
  <c r="D22" i="146"/>
  <c r="C17" i="146"/>
  <c r="C12" i="146" l="1"/>
  <c r="D10" i="146" s="1"/>
  <c r="D6" i="146"/>
  <c r="C6" i="146"/>
  <c r="A6" i="146"/>
  <c r="A7" i="146" s="1"/>
  <c r="A8" i="146" s="1"/>
  <c r="A9" i="146" s="1"/>
  <c r="A10" i="146" s="1"/>
  <c r="A11" i="146" s="1"/>
  <c r="A12" i="146" s="1"/>
  <c r="A13" i="146" s="1"/>
  <c r="A15" i="146" s="1"/>
  <c r="A16" i="146" s="1"/>
  <c r="A17" i="146" s="1"/>
  <c r="A18" i="146" s="1"/>
  <c r="A19" i="146" l="1"/>
  <c r="A20" i="146" s="1"/>
  <c r="A21" i="146" s="1"/>
  <c r="A22" i="146" s="1"/>
  <c r="A23" i="146" s="1"/>
  <c r="C9" i="146"/>
  <c r="C5" i="146" s="1"/>
  <c r="C16" i="146" s="1"/>
  <c r="D12" i="146"/>
  <c r="D9" i="146" s="1"/>
  <c r="D5" i="146" s="1"/>
  <c r="D16" i="146" s="1"/>
  <c r="H95" i="162" l="1"/>
  <c r="G95" i="162"/>
  <c r="C24" i="154" l="1"/>
  <c r="I22" i="155"/>
  <c r="F62" i="161"/>
  <c r="E62" i="161"/>
  <c r="D62" i="161"/>
  <c r="D79" i="161" s="1"/>
  <c r="C62" i="161"/>
  <c r="E5" i="168" l="1"/>
  <c r="A6" i="166" l="1"/>
  <c r="A7" i="166" s="1"/>
  <c r="A8" i="166" s="1"/>
  <c r="A9" i="166" s="1"/>
  <c r="F19" i="145" l="1"/>
  <c r="H104" i="162" l="1"/>
  <c r="G104" i="162"/>
  <c r="H103" i="162"/>
  <c r="G103" i="162"/>
  <c r="H102" i="162"/>
  <c r="G102" i="162"/>
  <c r="H101" i="162"/>
  <c r="G101" i="162"/>
  <c r="H100" i="162"/>
  <c r="G100" i="162"/>
  <c r="H99" i="162"/>
  <c r="G99" i="162"/>
  <c r="H98" i="162"/>
  <c r="G98" i="162"/>
  <c r="H97" i="162"/>
  <c r="G97" i="162"/>
  <c r="H96" i="162"/>
  <c r="G96" i="162"/>
  <c r="H94" i="162"/>
  <c r="G94" i="162"/>
  <c r="H93" i="162"/>
  <c r="G93" i="162"/>
  <c r="H92" i="162"/>
  <c r="G92" i="162"/>
  <c r="F91" i="162"/>
  <c r="E91" i="162"/>
  <c r="D91" i="162"/>
  <c r="C91" i="162"/>
  <c r="H90" i="162"/>
  <c r="G90" i="162"/>
  <c r="H89" i="162"/>
  <c r="G89" i="162"/>
  <c r="H88" i="162"/>
  <c r="G88" i="162"/>
  <c r="H87" i="162"/>
  <c r="G87" i="162"/>
  <c r="H86" i="162"/>
  <c r="G86" i="162"/>
  <c r="H85" i="162"/>
  <c r="G85" i="162"/>
  <c r="H84" i="162"/>
  <c r="G84" i="162"/>
  <c r="H83" i="162"/>
  <c r="G83" i="162"/>
  <c r="F82" i="162"/>
  <c r="E82" i="162"/>
  <c r="E80" i="162" s="1"/>
  <c r="D82" i="162"/>
  <c r="D80" i="162" s="1"/>
  <c r="C82" i="162"/>
  <c r="C80" i="162" s="1"/>
  <c r="H81" i="162"/>
  <c r="G81" i="162"/>
  <c r="H79" i="162"/>
  <c r="G79" i="162"/>
  <c r="H78" i="162"/>
  <c r="G78" i="162"/>
  <c r="H77" i="162"/>
  <c r="G77" i="162"/>
  <c r="H76" i="162"/>
  <c r="G76" i="162"/>
  <c r="H75" i="162"/>
  <c r="G75" i="162"/>
  <c r="H74" i="162"/>
  <c r="G74" i="162"/>
  <c r="H73" i="162"/>
  <c r="G73" i="162"/>
  <c r="H72" i="162"/>
  <c r="G72" i="162"/>
  <c r="H71" i="162"/>
  <c r="G71" i="162"/>
  <c r="H70" i="162"/>
  <c r="G70" i="162"/>
  <c r="F69" i="162"/>
  <c r="E69" i="162"/>
  <c r="D69" i="162"/>
  <c r="C69" i="162"/>
  <c r="H68" i="162"/>
  <c r="G68" i="162"/>
  <c r="H67" i="162"/>
  <c r="G67" i="162"/>
  <c r="H65" i="162"/>
  <c r="G65" i="162"/>
  <c r="H64" i="162"/>
  <c r="G64" i="162"/>
  <c r="H63" i="162"/>
  <c r="G63" i="162"/>
  <c r="D60" i="162"/>
  <c r="C60" i="162"/>
  <c r="H61" i="162"/>
  <c r="G61" i="162"/>
  <c r="F60" i="162"/>
  <c r="H59" i="162"/>
  <c r="G59" i="162"/>
  <c r="H58" i="162"/>
  <c r="G58" i="162"/>
  <c r="H57" i="162"/>
  <c r="G57" i="162"/>
  <c r="H56" i="162"/>
  <c r="G56" i="162"/>
  <c r="H55" i="162"/>
  <c r="G55" i="162"/>
  <c r="H54" i="162"/>
  <c r="G54" i="162"/>
  <c r="H53" i="162"/>
  <c r="G53" i="162"/>
  <c r="H52" i="162"/>
  <c r="G52" i="162"/>
  <c r="H51" i="162"/>
  <c r="G51" i="162"/>
  <c r="H50" i="162"/>
  <c r="G50" i="162"/>
  <c r="H49" i="162"/>
  <c r="G49" i="162"/>
  <c r="H48" i="162"/>
  <c r="G48" i="162"/>
  <c r="H47" i="162"/>
  <c r="G47" i="162"/>
  <c r="H46" i="162"/>
  <c r="G46" i="162"/>
  <c r="H45" i="162"/>
  <c r="G45" i="162"/>
  <c r="F44" i="162"/>
  <c r="E44" i="162"/>
  <c r="D44" i="162"/>
  <c r="C44" i="162"/>
  <c r="H43" i="162"/>
  <c r="G43" i="162"/>
  <c r="H42" i="162"/>
  <c r="G42" i="162"/>
  <c r="H41" i="162"/>
  <c r="G41" i="162"/>
  <c r="F40" i="162"/>
  <c r="E40" i="162"/>
  <c r="D40" i="162"/>
  <c r="C40" i="162"/>
  <c r="H39" i="162"/>
  <c r="G39" i="162"/>
  <c r="H38" i="162"/>
  <c r="G38" i="162"/>
  <c r="H37" i="162"/>
  <c r="G37" i="162"/>
  <c r="H36" i="162"/>
  <c r="G36" i="162"/>
  <c r="H35" i="162"/>
  <c r="G35" i="162"/>
  <c r="H34" i="162"/>
  <c r="G34" i="162"/>
  <c r="H33" i="162"/>
  <c r="G33" i="162"/>
  <c r="F32" i="162"/>
  <c r="E32" i="162"/>
  <c r="D32" i="162"/>
  <c r="C32" i="162"/>
  <c r="H31" i="162"/>
  <c r="G31" i="162"/>
  <c r="H30" i="162"/>
  <c r="G30" i="162"/>
  <c r="H29" i="162"/>
  <c r="G29" i="162"/>
  <c r="H28" i="162"/>
  <c r="G28" i="162"/>
  <c r="F27" i="162"/>
  <c r="E27" i="162"/>
  <c r="D27" i="162"/>
  <c r="C27" i="162"/>
  <c r="H25" i="162"/>
  <c r="G25" i="162"/>
  <c r="H24" i="162"/>
  <c r="G24" i="162"/>
  <c r="H23" i="162"/>
  <c r="G23" i="162"/>
  <c r="H22" i="162"/>
  <c r="G22" i="162"/>
  <c r="H21" i="162"/>
  <c r="G21" i="162"/>
  <c r="H20" i="162"/>
  <c r="G20" i="162"/>
  <c r="F19" i="162"/>
  <c r="E19" i="162"/>
  <c r="D19" i="162"/>
  <c r="C19" i="162"/>
  <c r="H18" i="162"/>
  <c r="G18" i="162"/>
  <c r="H17" i="162"/>
  <c r="G17" i="162"/>
  <c r="H16" i="162"/>
  <c r="G16" i="162"/>
  <c r="H15" i="162"/>
  <c r="G15" i="162"/>
  <c r="H14" i="162"/>
  <c r="G14" i="162"/>
  <c r="H13" i="162"/>
  <c r="G13" i="162"/>
  <c r="H12" i="162"/>
  <c r="G12" i="162"/>
  <c r="H11" i="162"/>
  <c r="G11" i="162"/>
  <c r="H10" i="162"/>
  <c r="G10" i="162"/>
  <c r="H9" i="162"/>
  <c r="G9" i="162"/>
  <c r="H8" i="162"/>
  <c r="G8" i="162"/>
  <c r="H7" i="162"/>
  <c r="G7" i="162"/>
  <c r="A7" i="162"/>
  <c r="A8" i="162" s="1"/>
  <c r="A9" i="162" s="1"/>
  <c r="A10" i="162" s="1"/>
  <c r="A11" i="162" s="1"/>
  <c r="A12" i="162" s="1"/>
  <c r="A13" i="162" s="1"/>
  <c r="A14" i="162" s="1"/>
  <c r="A15" i="162" s="1"/>
  <c r="A16" i="162" s="1"/>
  <c r="A17" i="162" s="1"/>
  <c r="A18" i="162" s="1"/>
  <c r="A19" i="162" s="1"/>
  <c r="A20" i="162" s="1"/>
  <c r="A21" i="162" s="1"/>
  <c r="A22" i="162" s="1"/>
  <c r="A23" i="162" s="1"/>
  <c r="A24" i="162" s="1"/>
  <c r="A25" i="162" s="1"/>
  <c r="A26" i="162" s="1"/>
  <c r="A27" i="162" s="1"/>
  <c r="A28" i="162" s="1"/>
  <c r="A29" i="162" s="1"/>
  <c r="A30" i="162" s="1"/>
  <c r="A31" i="162" s="1"/>
  <c r="A32" i="162" s="1"/>
  <c r="A33" i="162" s="1"/>
  <c r="A34" i="162" s="1"/>
  <c r="A35" i="162" s="1"/>
  <c r="A36" i="162" s="1"/>
  <c r="A37" i="162" s="1"/>
  <c r="A38" i="162" s="1"/>
  <c r="A39" i="162" s="1"/>
  <c r="A40" i="162" s="1"/>
  <c r="A41" i="162" s="1"/>
  <c r="A42" i="162" s="1"/>
  <c r="A43" i="162" s="1"/>
  <c r="A44" i="162" s="1"/>
  <c r="A45" i="162" s="1"/>
  <c r="A46" i="162" s="1"/>
  <c r="A47" i="162" s="1"/>
  <c r="A48" i="162" s="1"/>
  <c r="A49" i="162" s="1"/>
  <c r="A50" i="162" s="1"/>
  <c r="A51" i="162" s="1"/>
  <c r="A52" i="162" s="1"/>
  <c r="A53" i="162" s="1"/>
  <c r="A54" i="162" s="1"/>
  <c r="A55" i="162" s="1"/>
  <c r="A56" i="162" s="1"/>
  <c r="A57" i="162" s="1"/>
  <c r="A58" i="162" s="1"/>
  <c r="A59" i="162" s="1"/>
  <c r="A60" i="162" s="1"/>
  <c r="A61" i="162" s="1"/>
  <c r="A62" i="162" s="1"/>
  <c r="A63" i="162" s="1"/>
  <c r="A64" i="162" s="1"/>
  <c r="A65" i="162" s="1"/>
  <c r="A68" i="162" s="1"/>
  <c r="A69" i="162" s="1"/>
  <c r="A70" i="162" s="1"/>
  <c r="A71" i="162" s="1"/>
  <c r="A72" i="162" s="1"/>
  <c r="A73" i="162" s="1"/>
  <c r="A74" i="162" s="1"/>
  <c r="A75" i="162" s="1"/>
  <c r="A76" i="162" s="1"/>
  <c r="A77" i="162" s="1"/>
  <c r="A78" i="162" s="1"/>
  <c r="A79" i="162" s="1"/>
  <c r="A80" i="162" s="1"/>
  <c r="A81" i="162" s="1"/>
  <c r="A82" i="162" s="1"/>
  <c r="A83" i="162" s="1"/>
  <c r="A84" i="162" s="1"/>
  <c r="A85" i="162" s="1"/>
  <c r="A86" i="162" s="1"/>
  <c r="A87" i="162" s="1"/>
  <c r="A89" i="162" s="1"/>
  <c r="A90" i="162" s="1"/>
  <c r="A91" i="162" s="1"/>
  <c r="A92" i="162" s="1"/>
  <c r="A93" i="162" s="1"/>
  <c r="A96" i="162" s="1"/>
  <c r="A97" i="162" s="1"/>
  <c r="A98" i="162" s="1"/>
  <c r="A99" i="162" s="1"/>
  <c r="A100" i="162" s="1"/>
  <c r="A101" i="162" s="1"/>
  <c r="A102" i="162" s="1"/>
  <c r="A103" i="162" s="1"/>
  <c r="A104" i="162" s="1"/>
  <c r="A105" i="162" s="1"/>
  <c r="F6" i="162"/>
  <c r="E6" i="162"/>
  <c r="D6" i="162"/>
  <c r="C6" i="162"/>
  <c r="C105" i="162" l="1"/>
  <c r="D105" i="162"/>
  <c r="F105" i="162"/>
  <c r="H60" i="162"/>
  <c r="G19" i="162"/>
  <c r="H40" i="162"/>
  <c r="H62" i="162"/>
  <c r="G62" i="162"/>
  <c r="G32" i="162"/>
  <c r="H6" i="162"/>
  <c r="G6" i="162"/>
  <c r="H32" i="162"/>
  <c r="H82" i="162"/>
  <c r="G40" i="162"/>
  <c r="G69" i="162"/>
  <c r="F80" i="162"/>
  <c r="H80" i="162" s="1"/>
  <c r="G27" i="162"/>
  <c r="G44" i="162"/>
  <c r="H69" i="162"/>
  <c r="H27" i="162"/>
  <c r="H44" i="162"/>
  <c r="E60" i="162"/>
  <c r="H91" i="162"/>
  <c r="G91" i="162"/>
  <c r="G80" i="162"/>
  <c r="G82" i="162"/>
  <c r="H19" i="162"/>
  <c r="H78" i="161"/>
  <c r="G78" i="161"/>
  <c r="H77" i="161"/>
  <c r="G77" i="161"/>
  <c r="H76" i="161"/>
  <c r="G76" i="161"/>
  <c r="H75" i="161"/>
  <c r="G75" i="161"/>
  <c r="H74" i="161"/>
  <c r="G74" i="161"/>
  <c r="H73" i="161"/>
  <c r="G73" i="161"/>
  <c r="H72" i="161"/>
  <c r="G72" i="161"/>
  <c r="H71" i="161"/>
  <c r="G71" i="161"/>
  <c r="H69" i="161"/>
  <c r="G69" i="161"/>
  <c r="H68" i="161"/>
  <c r="G68" i="161"/>
  <c r="G67" i="161"/>
  <c r="G66" i="161"/>
  <c r="G65" i="161"/>
  <c r="G64" i="161"/>
  <c r="G63" i="161"/>
  <c r="G62" i="161"/>
  <c r="H61" i="161"/>
  <c r="G61" i="161"/>
  <c r="H60" i="161"/>
  <c r="G60" i="161"/>
  <c r="H59" i="161"/>
  <c r="G59" i="161"/>
  <c r="H58" i="161"/>
  <c r="G58" i="161"/>
  <c r="H57" i="161"/>
  <c r="G57" i="161"/>
  <c r="H56" i="161"/>
  <c r="G56" i="161"/>
  <c r="H55" i="161"/>
  <c r="G55" i="161"/>
  <c r="H54" i="161"/>
  <c r="G54" i="161"/>
  <c r="H53" i="161"/>
  <c r="G53" i="161"/>
  <c r="H52" i="161"/>
  <c r="G52" i="161"/>
  <c r="H51" i="161"/>
  <c r="G51" i="161"/>
  <c r="H50" i="161"/>
  <c r="G50" i="161"/>
  <c r="H49" i="161"/>
  <c r="G49" i="161"/>
  <c r="H48" i="161"/>
  <c r="G48" i="161"/>
  <c r="H47" i="161"/>
  <c r="G47" i="161"/>
  <c r="F46" i="161"/>
  <c r="E46" i="161"/>
  <c r="D46" i="161"/>
  <c r="C46" i="161"/>
  <c r="C79" i="161" s="1"/>
  <c r="H44" i="161"/>
  <c r="G44" i="161"/>
  <c r="H43" i="161"/>
  <c r="G43" i="161"/>
  <c r="H42" i="161"/>
  <c r="G42" i="161"/>
  <c r="H41" i="161"/>
  <c r="G41" i="161"/>
  <c r="H40" i="161"/>
  <c r="G40" i="161"/>
  <c r="H39" i="161"/>
  <c r="G39" i="161"/>
  <c r="H38" i="161"/>
  <c r="G38" i="161"/>
  <c r="G37" i="161"/>
  <c r="H37" i="161"/>
  <c r="H30" i="161"/>
  <c r="G30" i="161"/>
  <c r="H29" i="161"/>
  <c r="G29" i="161"/>
  <c r="H28" i="161"/>
  <c r="G28" i="161"/>
  <c r="H27" i="161"/>
  <c r="G27" i="161"/>
  <c r="H26" i="161"/>
  <c r="G26" i="161"/>
  <c r="H24" i="161"/>
  <c r="G24" i="161"/>
  <c r="H23" i="161"/>
  <c r="G23" i="161"/>
  <c r="H22" i="161"/>
  <c r="G22" i="161"/>
  <c r="F21" i="161"/>
  <c r="E21" i="161"/>
  <c r="D21" i="161"/>
  <c r="C21" i="161"/>
  <c r="H20" i="161"/>
  <c r="G20" i="161"/>
  <c r="H19" i="161"/>
  <c r="G19" i="161"/>
  <c r="H18" i="161"/>
  <c r="G18" i="161"/>
  <c r="H17" i="161"/>
  <c r="G17" i="161"/>
  <c r="H16" i="161"/>
  <c r="G16" i="161"/>
  <c r="H15" i="161"/>
  <c r="G15" i="161"/>
  <c r="H14" i="161"/>
  <c r="G14" i="161"/>
  <c r="H13" i="161"/>
  <c r="G13" i="161"/>
  <c r="H12" i="161"/>
  <c r="G12" i="161"/>
  <c r="F11" i="161"/>
  <c r="E11" i="161"/>
  <c r="D11" i="161"/>
  <c r="H10" i="161"/>
  <c r="G10" i="161"/>
  <c r="H9" i="161"/>
  <c r="G9" i="161"/>
  <c r="H8" i="161"/>
  <c r="G8" i="161"/>
  <c r="H7" i="161"/>
  <c r="G7" i="161"/>
  <c r="A7" i="161"/>
  <c r="A8" i="161" s="1"/>
  <c r="A9" i="161" s="1"/>
  <c r="A10" i="161" s="1"/>
  <c r="A11" i="161" s="1"/>
  <c r="A12" i="161" s="1"/>
  <c r="A13" i="161" s="1"/>
  <c r="A14" i="161" s="1"/>
  <c r="A15" i="161" s="1"/>
  <c r="A16" i="161" s="1"/>
  <c r="A17" i="161" s="1"/>
  <c r="A18" i="161" s="1"/>
  <c r="A19" i="161" s="1"/>
  <c r="A20" i="161" s="1"/>
  <c r="A21" i="161" s="1"/>
  <c r="A22" i="161" s="1"/>
  <c r="A23" i="161" s="1"/>
  <c r="A24" i="161" s="1"/>
  <c r="A25" i="161" s="1"/>
  <c r="A26" i="161" s="1"/>
  <c r="A27" i="161" s="1"/>
  <c r="A28" i="161" s="1"/>
  <c r="A29" i="161" s="1"/>
  <c r="A30" i="161" s="1"/>
  <c r="F6" i="161"/>
  <c r="E6" i="161"/>
  <c r="D6" i="161"/>
  <c r="C6" i="161"/>
  <c r="G60" i="162" l="1"/>
  <c r="E105" i="162"/>
  <c r="H21" i="161"/>
  <c r="H25" i="161"/>
  <c r="A38" i="161"/>
  <c r="A39" i="161" s="1"/>
  <c r="A40" i="161" s="1"/>
  <c r="A41" i="161" s="1"/>
  <c r="A42" i="161" s="1"/>
  <c r="A43" i="161" s="1"/>
  <c r="A44" i="161" s="1"/>
  <c r="A47" i="161" s="1"/>
  <c r="A48" i="161" s="1"/>
  <c r="A49" i="161" s="1"/>
  <c r="A50" i="161" s="1"/>
  <c r="A51" i="161" s="1"/>
  <c r="A52" i="161" s="1"/>
  <c r="A53" i="161" s="1"/>
  <c r="A54" i="161" s="1"/>
  <c r="A55" i="161" s="1"/>
  <c r="A56" i="161" s="1"/>
  <c r="A57" i="161" s="1"/>
  <c r="A58" i="161" s="1"/>
  <c r="A59" i="161" s="1"/>
  <c r="A60" i="161" s="1"/>
  <c r="A61" i="161" s="1"/>
  <c r="A62" i="161" s="1"/>
  <c r="A63" i="161" s="1"/>
  <c r="A64" i="161" s="1"/>
  <c r="A65" i="161" s="1"/>
  <c r="A66" i="161" s="1"/>
  <c r="A67" i="161" s="1"/>
  <c r="A68" i="161" s="1"/>
  <c r="A69" i="161" s="1"/>
  <c r="G21" i="161"/>
  <c r="G25" i="161"/>
  <c r="G11" i="161"/>
  <c r="G46" i="161"/>
  <c r="H46" i="161"/>
  <c r="H11" i="161"/>
  <c r="H62" i="161"/>
  <c r="D106" i="162"/>
  <c r="G6" i="161"/>
  <c r="H6" i="161"/>
  <c r="G105" i="162" l="1"/>
  <c r="F106" i="162"/>
  <c r="H79" i="161"/>
  <c r="G79" i="161"/>
  <c r="F80" i="161"/>
  <c r="H105" i="162"/>
  <c r="D80" i="161"/>
  <c r="H25" i="160" l="1"/>
  <c r="H23" i="160" s="1"/>
  <c r="G23" i="160"/>
  <c r="F23" i="160"/>
  <c r="F19" i="160" s="1"/>
  <c r="E23" i="160"/>
  <c r="D23" i="160"/>
  <c r="C23" i="160"/>
  <c r="H22" i="160"/>
  <c r="H20" i="160" s="1"/>
  <c r="G21" i="160"/>
  <c r="G20" i="160" s="1"/>
  <c r="F20" i="160"/>
  <c r="E20" i="160"/>
  <c r="D20" i="160"/>
  <c r="C20" i="160"/>
  <c r="A8" i="160"/>
  <c r="A9" i="160" s="1"/>
  <c r="A10" i="160" s="1"/>
  <c r="A11" i="160" s="1"/>
  <c r="D18" i="160" l="1"/>
  <c r="D19" i="160"/>
  <c r="H19" i="160" s="1"/>
  <c r="F18" i="160"/>
  <c r="F35" i="160" s="1"/>
  <c r="E19" i="160"/>
  <c r="E18" i="160"/>
  <c r="C19" i="160"/>
  <c r="C18" i="160"/>
  <c r="G18" i="160" s="1"/>
  <c r="G19" i="160" l="1"/>
  <c r="G35" i="160" s="1"/>
  <c r="E35" i="160"/>
  <c r="F36" i="160" s="1"/>
  <c r="D35" i="160"/>
  <c r="H18" i="160"/>
  <c r="H35" i="160" s="1"/>
  <c r="C35" i="160"/>
  <c r="C14" i="116" l="1"/>
  <c r="H19" i="145"/>
  <c r="I16" i="91"/>
  <c r="D10" i="91"/>
  <c r="D23" i="91" s="1"/>
  <c r="E10" i="91"/>
  <c r="E23" i="91" s="1"/>
  <c r="F10" i="91"/>
  <c r="F23" i="91"/>
  <c r="G10" i="91"/>
  <c r="G23" i="91" s="1"/>
  <c r="H10" i="91"/>
  <c r="H23" i="91" s="1"/>
  <c r="I11" i="91"/>
  <c r="I12" i="91"/>
  <c r="I13" i="91"/>
  <c r="I14" i="91"/>
  <c r="I15" i="91"/>
  <c r="C10" i="91"/>
  <c r="C23" i="91" s="1"/>
  <c r="I22" i="91"/>
  <c r="E6" i="159"/>
  <c r="D7" i="159"/>
  <c r="C7" i="159"/>
  <c r="E5" i="159"/>
  <c r="D9" i="157"/>
  <c r="F6" i="157" s="1"/>
  <c r="F9" i="157" s="1"/>
  <c r="M6" i="97"/>
  <c r="C9" i="157"/>
  <c r="E6" i="157" s="1"/>
  <c r="E9" i="157" s="1"/>
  <c r="D24" i="154"/>
  <c r="J29" i="155"/>
  <c r="F29" i="155"/>
  <c r="J28" i="155"/>
  <c r="F28" i="155"/>
  <c r="K28" i="155" s="1"/>
  <c r="F27" i="155"/>
  <c r="F22" i="155" s="1"/>
  <c r="K22" i="155" s="1"/>
  <c r="J26" i="155"/>
  <c r="F26" i="155"/>
  <c r="K26" i="155" s="1"/>
  <c r="J25" i="155"/>
  <c r="F25" i="155"/>
  <c r="K25" i="155" s="1"/>
  <c r="J24" i="155"/>
  <c r="F24" i="155"/>
  <c r="J23" i="155"/>
  <c r="F23" i="155"/>
  <c r="H22" i="155"/>
  <c r="G22" i="155"/>
  <c r="E22" i="155"/>
  <c r="D22" i="155"/>
  <c r="C22" i="155"/>
  <c r="J21" i="155"/>
  <c r="F21" i="155"/>
  <c r="K21" i="155" s="1"/>
  <c r="J20" i="155"/>
  <c r="F20" i="155"/>
  <c r="J19" i="155"/>
  <c r="F19" i="155"/>
  <c r="K19" i="155" s="1"/>
  <c r="J18" i="155"/>
  <c r="F18" i="155"/>
  <c r="K18" i="155" s="1"/>
  <c r="J17" i="155"/>
  <c r="F17" i="155"/>
  <c r="K17" i="155" s="1"/>
  <c r="I16" i="155"/>
  <c r="H16" i="155"/>
  <c r="G16" i="155"/>
  <c r="E16" i="155"/>
  <c r="D16" i="155"/>
  <c r="C16" i="155"/>
  <c r="J15" i="155"/>
  <c r="F15" i="155"/>
  <c r="K15" i="155" s="1"/>
  <c r="J13" i="155"/>
  <c r="F13" i="155"/>
  <c r="J12" i="155"/>
  <c r="F12" i="155"/>
  <c r="K12" i="155" s="1"/>
  <c r="J11" i="155"/>
  <c r="F11" i="155"/>
  <c r="K11" i="155" s="1"/>
  <c r="J10" i="155"/>
  <c r="F10" i="155"/>
  <c r="K10" i="155" s="1"/>
  <c r="J9" i="155"/>
  <c r="F9" i="155"/>
  <c r="K9" i="155" s="1"/>
  <c r="J8" i="155"/>
  <c r="F8" i="155"/>
  <c r="K8" i="155" s="1"/>
  <c r="I7" i="155"/>
  <c r="H7" i="155"/>
  <c r="G7" i="155"/>
  <c r="E7" i="155"/>
  <c r="D7" i="155"/>
  <c r="D30" i="155" s="1"/>
  <c r="C7" i="155"/>
  <c r="F23" i="76"/>
  <c r="D18" i="3"/>
  <c r="F43" i="133"/>
  <c r="F42" i="133"/>
  <c r="F40" i="134"/>
  <c r="I21" i="91"/>
  <c r="I20" i="91"/>
  <c r="I19" i="91"/>
  <c r="I18" i="91"/>
  <c r="I17" i="91"/>
  <c r="I9" i="91"/>
  <c r="I8" i="91"/>
  <c r="I6" i="91"/>
  <c r="G6" i="97"/>
  <c r="J23" i="76"/>
  <c r="J24" i="76"/>
  <c r="J25" i="76"/>
  <c r="J26" i="76"/>
  <c r="F24" i="76"/>
  <c r="F25" i="76"/>
  <c r="F26" i="76"/>
  <c r="K26" i="76" s="1"/>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39" i="134"/>
  <c r="F41" i="134"/>
  <c r="D42" i="134"/>
  <c r="E42" i="134"/>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F39" i="133"/>
  <c r="D40" i="133"/>
  <c r="E40" i="133"/>
  <c r="A7" i="61"/>
  <c r="A8" i="61" s="1"/>
  <c r="A9" i="61" s="1"/>
  <c r="A10" i="61" s="1"/>
  <c r="A7" i="90"/>
  <c r="A8" i="90" s="1"/>
  <c r="A9" i="90" s="1"/>
  <c r="A10" i="90" s="1"/>
  <c r="A11" i="90" s="1"/>
  <c r="A12" i="90" s="1"/>
  <c r="A13" i="90" s="1"/>
  <c r="A14" i="90" s="1"/>
  <c r="A15" i="90" s="1"/>
  <c r="A17" i="90" s="1"/>
  <c r="A18" i="90" s="1"/>
  <c r="A19" i="90" s="1"/>
  <c r="A20" i="90" s="1"/>
  <c r="C7" i="90"/>
  <c r="D7" i="90"/>
  <c r="D14" i="90" s="1"/>
  <c r="D20" i="90" s="1"/>
  <c r="A7" i="116"/>
  <c r="E8" i="116"/>
  <c r="C18" i="116" s="1"/>
  <c r="F8" i="116"/>
  <c r="A9" i="116"/>
  <c r="A10" i="116" s="1"/>
  <c r="A11" i="116" s="1"/>
  <c r="A12" i="116" s="1"/>
  <c r="A13" i="116" s="1"/>
  <c r="A14" i="116" s="1"/>
  <c r="A15" i="116" s="1"/>
  <c r="A16" i="116" s="1"/>
  <c r="A17" i="116" s="1"/>
  <c r="A18" i="116" s="1"/>
  <c r="C13" i="116"/>
  <c r="D13" i="116"/>
  <c r="D14" i="116"/>
  <c r="C7" i="76"/>
  <c r="D7" i="76"/>
  <c r="E7" i="76"/>
  <c r="G7" i="76"/>
  <c r="G16" i="76"/>
  <c r="H7" i="76"/>
  <c r="I7" i="76"/>
  <c r="F8" i="76"/>
  <c r="K8" i="76" s="1"/>
  <c r="J8" i="76"/>
  <c r="F9" i="76"/>
  <c r="J9" i="76"/>
  <c r="F10" i="76"/>
  <c r="K10" i="76" s="1"/>
  <c r="J10" i="76"/>
  <c r="F11" i="76"/>
  <c r="J11" i="76"/>
  <c r="F12" i="76"/>
  <c r="K12" i="76" s="1"/>
  <c r="J12" i="76"/>
  <c r="F13" i="76"/>
  <c r="J13" i="76"/>
  <c r="F15" i="76"/>
  <c r="J15" i="76"/>
  <c r="C16" i="76"/>
  <c r="E16" i="76"/>
  <c r="D16" i="76"/>
  <c r="H16" i="76"/>
  <c r="I16" i="76"/>
  <c r="F17" i="76"/>
  <c r="J17" i="76"/>
  <c r="F18" i="76"/>
  <c r="J18" i="76"/>
  <c r="F19" i="76"/>
  <c r="J19" i="76"/>
  <c r="F20" i="76"/>
  <c r="J20" i="76"/>
  <c r="F21" i="76"/>
  <c r="K21" i="76" s="1"/>
  <c r="J21" i="76"/>
  <c r="C22" i="76"/>
  <c r="D22" i="76"/>
  <c r="E22" i="76"/>
  <c r="G22" i="76"/>
  <c r="H22" i="76"/>
  <c r="I22" i="76"/>
  <c r="F27" i="76"/>
  <c r="F22" i="76" s="1"/>
  <c r="K22" i="76" s="1"/>
  <c r="F28" i="76"/>
  <c r="J28" i="76"/>
  <c r="F29" i="76"/>
  <c r="J29" i="76"/>
  <c r="D5" i="3"/>
  <c r="E13" i="3"/>
  <c r="C14" i="3"/>
  <c r="D14" i="3"/>
  <c r="E15" i="3"/>
  <c r="E16" i="3"/>
  <c r="E17" i="3"/>
  <c r="E28" i="3"/>
  <c r="E29" i="3"/>
  <c r="E44" i="3"/>
  <c r="A6" i="23"/>
  <c r="A7" i="23" s="1"/>
  <c r="A8" i="23" s="1"/>
  <c r="A9" i="23" s="1"/>
  <c r="A10" i="23" s="1"/>
  <c r="A11" i="23" s="1"/>
  <c r="A12" i="23" s="1"/>
  <c r="A13" i="23" s="1"/>
  <c r="A14" i="23" s="1"/>
  <c r="A15" i="23" s="1"/>
  <c r="A16" i="23" s="1"/>
  <c r="A17" i="23" s="1"/>
  <c r="A18" i="23" s="1"/>
  <c r="A19" i="23" s="1"/>
  <c r="I30" i="76"/>
  <c r="K28" i="76"/>
  <c r="E7" i="159" l="1"/>
  <c r="K24" i="155"/>
  <c r="K29" i="155"/>
  <c r="K23" i="155"/>
  <c r="K20" i="155"/>
  <c r="K13" i="155"/>
  <c r="L15" i="155"/>
  <c r="K29" i="76"/>
  <c r="K23" i="76"/>
  <c r="D18" i="116"/>
  <c r="C17" i="116"/>
  <c r="K20" i="76"/>
  <c r="K18" i="76"/>
  <c r="L18" i="155"/>
  <c r="K13" i="76"/>
  <c r="K9" i="76"/>
  <c r="D45" i="3"/>
  <c r="J16" i="76"/>
  <c r="J22" i="76"/>
  <c r="E14" i="3"/>
  <c r="J7" i="76"/>
  <c r="L20" i="155"/>
  <c r="L17" i="155"/>
  <c r="E30" i="76"/>
  <c r="E30" i="3"/>
  <c r="L11" i="155"/>
  <c r="G30" i="155"/>
  <c r="L25" i="155"/>
  <c r="L28" i="155"/>
  <c r="F7" i="76"/>
  <c r="E30" i="155"/>
  <c r="F16" i="76"/>
  <c r="I30" i="155"/>
  <c r="L12" i="155"/>
  <c r="C14" i="90"/>
  <c r="C20" i="90" s="1"/>
  <c r="D17" i="116"/>
  <c r="H30" i="155"/>
  <c r="D41" i="133"/>
  <c r="D44" i="133" s="1"/>
  <c r="L8" i="155"/>
  <c r="H30" i="76"/>
  <c r="I10" i="91"/>
  <c r="L13" i="155"/>
  <c r="D30" i="76"/>
  <c r="E41" i="133"/>
  <c r="E44" i="133" s="1"/>
  <c r="L21" i="155"/>
  <c r="J22" i="155"/>
  <c r="J16" i="155"/>
  <c r="L29" i="155"/>
  <c r="L19" i="155"/>
  <c r="F40" i="133"/>
  <c r="K11" i="76"/>
  <c r="F16" i="155"/>
  <c r="F42" i="134"/>
  <c r="G30" i="76"/>
  <c r="C30" i="76"/>
  <c r="L26" i="155"/>
  <c r="L24" i="155"/>
  <c r="C30" i="155"/>
  <c r="L9" i="155"/>
  <c r="I23" i="91"/>
  <c r="F7" i="155"/>
  <c r="K17" i="76"/>
  <c r="L10" i="155"/>
  <c r="K25" i="76"/>
  <c r="L23" i="155"/>
  <c r="K19" i="76"/>
  <c r="E5" i="3"/>
  <c r="K24" i="76"/>
  <c r="K15" i="76"/>
  <c r="L22" i="155"/>
  <c r="J7" i="155"/>
  <c r="K16" i="155" l="1"/>
  <c r="J30" i="76"/>
  <c r="K7" i="76"/>
  <c r="F30" i="76"/>
  <c r="K30" i="76" s="1"/>
  <c r="F44" i="133"/>
  <c r="K16" i="76"/>
  <c r="F41" i="133"/>
  <c r="J30" i="155"/>
  <c r="L16" i="155"/>
  <c r="F30" i="155"/>
  <c r="K7" i="155"/>
  <c r="L7" i="155"/>
  <c r="L30" i="155" l="1"/>
  <c r="K30" i="155"/>
  <c r="E18" i="3"/>
  <c r="C45" i="3"/>
  <c r="E45" i="3" s="1"/>
</calcChain>
</file>

<file path=xl/sharedStrings.xml><?xml version="1.0" encoding="utf-8"?>
<sst xmlns="http://schemas.openxmlformats.org/spreadsheetml/2006/main" count="1732" uniqueCount="1109">
  <si>
    <t xml:space="preserve">pozn.1): rozdiel medzi údajom, vykazovaným v stĺpci T6_R18_SH a údajom v T5_R56_(SC+SD) uviesť v komentári  </t>
  </si>
  <si>
    <t xml:space="preserve">      - dohody o vykonaní práce - externí účitelia (účet 521 009)</t>
  </si>
  <si>
    <t xml:space="preserve"> - Prvok 021 02 03  </t>
  </si>
  <si>
    <t xml:space="preserve"> - Podprogram 05T 08 </t>
  </si>
  <si>
    <t xml:space="preserve">- tvorba fondu z výnosov zo školného </t>
  </si>
  <si>
    <r>
      <t>Stav fondu k 31.12. kalendárneho roku</t>
    </r>
    <r>
      <rPr>
        <sz val="12"/>
        <rFont val="Times New Roman"/>
        <family val="1"/>
      </rPr>
      <t xml:space="preserve"> [R1+R2-R11]</t>
    </r>
  </si>
  <si>
    <t>Tržby za predaný tovar (účet 604)</t>
  </si>
  <si>
    <t xml:space="preserve">Ostatné sociálne poistenia (účet 525) </t>
  </si>
  <si>
    <t>C=A+B</t>
  </si>
  <si>
    <t>E=C-A</t>
  </si>
  <si>
    <t>F=D-B</t>
  </si>
  <si>
    <t>E=A+C</t>
  </si>
  <si>
    <t>F=B+D</t>
  </si>
  <si>
    <t>Náklady na štipendiá</t>
  </si>
  <si>
    <t xml:space="preserve">Ostatné sociálne náklady (účet 528)  </t>
  </si>
  <si>
    <t xml:space="preserve">  - poskytnuté jednorázovo</t>
  </si>
  <si>
    <r>
      <t>Zdroje na obstaranie a technické zhodnotenie majetku  z fondu reprodukcie</t>
    </r>
    <r>
      <rPr>
        <sz val="12"/>
        <rFont val="Times New Roman"/>
        <family val="1"/>
      </rPr>
      <t xml:space="preserve"> [R1+R2]</t>
    </r>
  </si>
  <si>
    <t>- nákup softvéru</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</si>
  <si>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</si>
  <si>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</si>
  <si>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</si>
  <si>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</si>
  <si>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</si>
  <si>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</si>
  <si>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</si>
  <si>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z EÚ</t>
  </si>
  <si>
    <r>
      <t>Dotácie z rozpočtov obcí a z rozpočtov vyšších územných celkov</t>
    </r>
    <r>
      <rPr>
        <sz val="12"/>
        <rFont val="Times New Roman"/>
        <family val="1"/>
      </rPr>
      <t xml:space="preserve"> [SUM(R2a:R2...)]</t>
    </r>
  </si>
  <si>
    <t>Prostriedky zo zahraničných projektov na budúce aktivity</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</si>
  <si>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</si>
  <si>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</si>
  <si>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</si>
  <si>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</si>
  <si>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 z ubytovania študentov (účet 602 001)</t>
  </si>
  <si>
    <t>- zo stravných lístkov študentov a doktorandov (účet 602 009)</t>
  </si>
  <si>
    <t>- používanie plavárne (účet 518 019)</t>
  </si>
  <si>
    <t>- výnosy z duševného vlastníctva (účet 649 011)</t>
  </si>
  <si>
    <t>- oprava výnosov minulých účtovných období (účet 649 013)</t>
  </si>
  <si>
    <t>- použitie prostriedkov fondov (účet 649 014)</t>
  </si>
  <si>
    <t>- dobropisy minulých období (účet 649 017)</t>
  </si>
  <si>
    <t>- štipendijného fondu (účet 656 200)</t>
  </si>
  <si>
    <t>- DHM - nábytok (účet 501 012)</t>
  </si>
  <si>
    <t>- ostatná údržba a opravy (účet 511 099)</t>
  </si>
  <si>
    <t>- prenájom zariadení (účet 518 002)</t>
  </si>
  <si>
    <t>- revízie zariadení (účet 518 010)</t>
  </si>
  <si>
    <t>- čistenie verejných priestranstiev (účet 518 011)</t>
  </si>
  <si>
    <t xml:space="preserve"> - bankové poplatky (účet 549 002)</t>
  </si>
  <si>
    <t xml:space="preserve"> - úhrada výnosov z úrokov na dotačnom účte (účet 549 003)</t>
  </si>
  <si>
    <t xml:space="preserve"> - Podprogram 06K 11</t>
  </si>
  <si>
    <t>Tržby z predaja cenných papierov a podielov (účet 653)</t>
  </si>
  <si>
    <t>Výnosy z dlhodobého finančného majetku (účet 652)</t>
  </si>
  <si>
    <t>Prijaté príspevky od iných organizácií (účet 662)</t>
  </si>
  <si>
    <t>Prevádzkové dotácie (účet 691)</t>
  </si>
  <si>
    <t xml:space="preserve">   - Prvok 077 12 05</t>
  </si>
  <si>
    <t>- Podprogram 077 13</t>
  </si>
  <si>
    <t xml:space="preserve">   - Prvok 077 15 02</t>
  </si>
  <si>
    <t xml:space="preserve">   - Prvok 077 15 03</t>
  </si>
  <si>
    <t xml:space="preserve"> </t>
  </si>
  <si>
    <t>- zúčtovanie dotácie zo ŠR na DN a HM vo výške odpisov</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</si>
  <si>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</si>
  <si>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</si>
  <si>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</si>
  <si>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</si>
  <si>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</si>
  <si>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</si>
  <si>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</si>
  <si>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</si>
  <si>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</si>
  <si>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</si>
  <si>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</si>
  <si>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</si>
  <si>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</si>
  <si>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Počet študentov poberajúcich sociálne štipendium</t>
  </si>
  <si>
    <t>- zostatok nevyčerpanej dotácie (+)/ nedoplatok dotácie (-) z predchádzajúcich rokov [R6_SB=R8_SA]</t>
  </si>
  <si>
    <t>spolufinanco-
vanie zo ŠR</t>
  </si>
  <si>
    <t xml:space="preserve">Počet študentov  poberajúcich štipendium </t>
  </si>
  <si>
    <t>Počet študentov  poberajúcich štipendium</t>
  </si>
  <si>
    <r>
      <t xml:space="preserve">Stav fondu k 1.1. kalendárneho roku </t>
    </r>
    <r>
      <rPr>
        <sz val="12"/>
        <rFont val="Times New Roman"/>
        <family val="1"/>
        <charset val="238"/>
      </rPr>
      <t>[R1_SB = R12_SA ...]</t>
    </r>
  </si>
  <si>
    <t>Čerpanie fondu k 31. 12. kalendárneho roku</t>
  </si>
  <si>
    <t>Spolu</t>
  </si>
  <si>
    <t>Dotácia / program</t>
  </si>
  <si>
    <t>Číslo riadku</t>
  </si>
  <si>
    <t>Dotácia spolu</t>
  </si>
  <si>
    <t>Stav fondu reprodukcie k 1.1.</t>
  </si>
  <si>
    <t xml:space="preserve">- účelová dotácia v danom kalendárnom roku </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</si>
  <si>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</si>
  <si>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</si>
  <si>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</si>
  <si>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</si>
  <si>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</si>
  <si>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</si>
  <si>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</si>
  <si>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</si>
  <si>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</si>
  <si>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</si>
  <si>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</si>
  <si>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</si>
  <si>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</si>
  <si>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    - dohody o brigádnickej práci študentov (účet 521 011)</t>
  </si>
  <si>
    <t>4a</t>
  </si>
  <si>
    <t xml:space="preserve">Základ pre prídel do štipendijného fondu </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</si>
  <si>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</si>
  <si>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Výnos z dotácie zo štátneho rozpočtu na študentské jedálne spolu </t>
    </r>
    <r>
      <rPr>
        <sz val="12"/>
        <rFont val="Times New Roman"/>
        <family val="1"/>
      </rPr>
      <t>[R6+R7-R8]</t>
    </r>
  </si>
  <si>
    <r>
      <t xml:space="preserve">Tržby za vlastné výrobky (účet 601) </t>
    </r>
    <r>
      <rPr>
        <sz val="12"/>
        <rFont val="Times New Roman"/>
        <family val="1"/>
      </rPr>
      <t>[SUM(R2:R5)]</t>
    </r>
  </si>
  <si>
    <t>Zdroje na obstaranie a technické zhodnotenie dlhodobého majetku z úverov</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</si>
  <si>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</si>
  <si>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</si>
  <si>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</si>
  <si>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</si>
  <si>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</si>
  <si>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</si>
  <si>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</si>
  <si>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</si>
  <si>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 xml:space="preserve">Počet študentov poberajúcich sociálne štipendium </t>
  </si>
  <si>
    <t>- vysokoškolské podniky</t>
  </si>
  <si>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</si>
  <si>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</si>
  <si>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</si>
  <si>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</si>
  <si>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Nákup budov a stavieb</t>
  </si>
  <si>
    <t>A</t>
  </si>
  <si>
    <t>B</t>
  </si>
  <si>
    <t>C</t>
  </si>
  <si>
    <t>E</t>
  </si>
  <si>
    <t>F</t>
  </si>
  <si>
    <t>G</t>
  </si>
  <si>
    <t>H</t>
  </si>
  <si>
    <t>I</t>
  </si>
  <si>
    <t>D</t>
  </si>
  <si>
    <t>Bankový účet</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</si>
  <si>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</si>
  <si>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</si>
  <si>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</si>
  <si>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</si>
  <si>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</si>
  <si>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</si>
  <si>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</si>
  <si>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</si>
  <si>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</si>
  <si>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</si>
  <si>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</si>
  <si>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</si>
  <si>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</si>
  <si>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</si>
  <si>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</si>
  <si>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</si>
  <si>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</si>
  <si>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</si>
  <si>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</si>
  <si>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</si>
  <si>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</si>
  <si>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</si>
  <si>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</si>
  <si>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</si>
  <si>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Položka</t>
  </si>
  <si>
    <t>Hlavná činnosť</t>
  </si>
  <si>
    <t>Podnikateľská činnosť</t>
  </si>
  <si>
    <t>Rezervný fond</t>
  </si>
  <si>
    <t>Fond reprodukcie</t>
  </si>
  <si>
    <t>Štipendijný fond</t>
  </si>
  <si>
    <t>Návrh na prídel do štipendijného fondu</t>
  </si>
  <si>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</si>
  <si>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Tržby z predaja dlhodobého NM a HM (účet 651)</t>
  </si>
  <si>
    <t>Výnosy z precenenia cenných papierov (účet 657)</t>
  </si>
  <si>
    <t>Počty ubytovaných</t>
  </si>
  <si>
    <t>Ostatné výnosy zo študentských domovov</t>
  </si>
  <si>
    <t>Výnosy z poplatkov za ubytovanie od študentov počas výučbového obdobia (10 mesiacov)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</si>
  <si>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</si>
  <si>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</si>
  <si>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</si>
  <si>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</si>
  <si>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</si>
  <si>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</si>
  <si>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</si>
  <si>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</si>
  <si>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</si>
  <si>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</si>
  <si>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</si>
  <si>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</si>
  <si>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</si>
  <si>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</si>
  <si>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</si>
  <si>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                                                                                                                                                                                                                                                                                                                                                                                                                                                                                                                                                                                                                                                                                                                                                                                                                                                                                                                                                                                                                                                                                                                                                                                                                                                                                                                                                                                                                                                                                                                                                                                                                                                                                                                                                                                                                                                                                                                                                                                                                                                                                                                                                                                                                                                                                                                                                                                                                                                                                                                                                                                                                                                                                                                                                                                                                                                                                                                                                                                                                                                                                                                                                                                                                                                                                                                                                                                                                                                                                                                                                                                                                                                                                                                                                                                                                                                                                                                                                                                                                                                                                                                                                                                                                                                                                                                                                                                                                                                                                                                                                                                          </t>
  </si>
  <si>
    <t xml:space="preserve">  </t>
  </si>
  <si>
    <t>- tvorba fondu prevodom z rezervného fondu (účet  413 114)</t>
  </si>
  <si>
    <t>- tvorba fondu z darov a z dedičstva (účet 413 112)</t>
  </si>
  <si>
    <r>
      <t xml:space="preserve">- ostatná tvorba (účet 413 113) </t>
    </r>
    <r>
      <rPr>
        <vertAlign val="superscript"/>
        <sz val="12"/>
        <rFont val="Times New Roman"/>
        <family val="1"/>
        <charset val="238"/>
      </rPr>
      <t xml:space="preserve">2) </t>
    </r>
  </si>
  <si>
    <t>1b</t>
  </si>
  <si>
    <t>2b</t>
  </si>
  <si>
    <t>3b</t>
  </si>
  <si>
    <t>4b</t>
  </si>
  <si>
    <t>15b</t>
  </si>
  <si>
    <t>15c</t>
  </si>
  <si>
    <t>15d</t>
  </si>
  <si>
    <t xml:space="preserve">Názov verejnej vysokej školy: </t>
  </si>
  <si>
    <t>Priemerný mesačný náklad na doktoranda</t>
  </si>
  <si>
    <t xml:space="preserve"> - Podprogram 06K 12            </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</si>
  <si>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</si>
  <si>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</si>
  <si>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</si>
  <si>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</si>
  <si>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</si>
  <si>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</si>
  <si>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</si>
  <si>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</si>
  <si>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</si>
  <si>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</si>
  <si>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</si>
  <si>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</si>
  <si>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</si>
  <si>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</si>
  <si>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</si>
  <si>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</si>
  <si>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</si>
  <si>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</si>
  <si>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</si>
  <si>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</si>
  <si>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</si>
  <si>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</si>
  <si>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</si>
  <si>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</si>
  <si>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</si>
  <si>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</si>
  <si>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</si>
  <si>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</si>
  <si>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</si>
  <si>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</si>
  <si>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</si>
  <si>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</si>
  <si>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</si>
  <si>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</si>
  <si>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</si>
  <si>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</si>
  <si>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</si>
  <si>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</si>
  <si>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</si>
  <si>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</si>
  <si>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</si>
  <si>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</si>
  <si>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</si>
  <si>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</si>
  <si>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</si>
  <si>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</si>
  <si>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</si>
  <si>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</si>
  <si>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</si>
  <si>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</si>
  <si>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</si>
  <si>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</si>
  <si>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</si>
  <si>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</si>
  <si>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</si>
  <si>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</si>
  <si>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</si>
  <si>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</si>
  <si>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</si>
  <si>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</si>
  <si>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</si>
  <si>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</si>
  <si>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</si>
  <si>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</si>
  <si>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</si>
  <si>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</si>
  <si>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</si>
  <si>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</si>
  <si>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</si>
  <si>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</si>
  <si>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</si>
  <si>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</si>
  <si>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</si>
  <si>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</si>
  <si>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</si>
  <si>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</si>
  <si>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</si>
  <si>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</si>
  <si>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</si>
  <si>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</si>
  <si>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</si>
  <si>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</si>
  <si>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</si>
  <si>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</si>
  <si>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</si>
  <si>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</si>
  <si>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</si>
  <si>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</si>
  <si>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</si>
  <si>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</si>
  <si>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</si>
  <si>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</si>
  <si>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</si>
  <si>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</si>
  <si>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</si>
  <si>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</si>
  <si>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</si>
  <si>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</si>
  <si>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</si>
  <si>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</si>
  <si>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</si>
  <si>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</si>
  <si>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</si>
  <si>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</si>
  <si>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</si>
  <si>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</si>
  <si>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</si>
  <si>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</si>
  <si>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</si>
  <si>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</si>
  <si>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</si>
  <si>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</si>
  <si>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</si>
  <si>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</si>
  <si>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</si>
  <si>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</si>
  <si>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</si>
  <si>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</si>
  <si>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</si>
  <si>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</si>
  <si>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</si>
  <si>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</si>
  <si>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</si>
  <si>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</si>
  <si>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</si>
  <si>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</si>
  <si>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</si>
  <si>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</si>
  <si>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</si>
  <si>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</si>
  <si>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</si>
  <si>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</si>
  <si>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</si>
  <si>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</si>
  <si>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</si>
  <si>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</si>
  <si>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</si>
  <si>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</si>
  <si>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</si>
  <si>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</si>
  <si>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</si>
  <si>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</si>
  <si>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</si>
  <si>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</si>
  <si>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</si>
  <si>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</si>
  <si>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</si>
  <si>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</si>
  <si>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</si>
  <si>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</si>
  <si>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</si>
  <si>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</si>
  <si>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</si>
  <si>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</si>
  <si>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</si>
  <si>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</si>
  <si>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</si>
  <si>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</si>
  <si>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</si>
  <si>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</si>
  <si>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</si>
  <si>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</si>
  <si>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</si>
  <si>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</si>
  <si>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</si>
  <si>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</si>
  <si>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</si>
  <si>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</si>
  <si>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</si>
  <si>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</si>
  <si>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</si>
  <si>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</si>
  <si>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</si>
  <si>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</si>
  <si>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</si>
  <si>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</si>
  <si>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</si>
  <si>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</si>
  <si>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</si>
  <si>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</si>
  <si>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</si>
  <si>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</si>
  <si>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</si>
  <si>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</si>
  <si>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29</t>
  </si>
  <si>
    <t>Tvorba fondov</t>
  </si>
  <si>
    <t>30</t>
  </si>
  <si>
    <t xml:space="preserve">Náklady na precenenie cen.pap. </t>
  </si>
  <si>
    <t>31</t>
  </si>
  <si>
    <t>32</t>
  </si>
  <si>
    <t>33</t>
  </si>
  <si>
    <t>34</t>
  </si>
  <si>
    <t>35</t>
  </si>
  <si>
    <t>36</t>
  </si>
  <si>
    <t>Poskyt. príspevky z verejnej zbierky</t>
  </si>
  <si>
    <t>37</t>
  </si>
  <si>
    <t>38</t>
  </si>
  <si>
    <t>Tržby za vlastné výrobky</t>
  </si>
  <si>
    <t>39</t>
  </si>
  <si>
    <t>Tržby z predaja služieb</t>
  </si>
  <si>
    <t>40</t>
  </si>
  <si>
    <t>Tržby za predaný tovar</t>
  </si>
  <si>
    <t>41</t>
  </si>
  <si>
    <t>42</t>
  </si>
  <si>
    <t>Zmena stavu zásob polotovarov</t>
  </si>
  <si>
    <t>43</t>
  </si>
  <si>
    <t>Zmena stavu zásob výrobkov</t>
  </si>
  <si>
    <t>44</t>
  </si>
  <si>
    <t>Zmena stavu zásob zvierat</t>
  </si>
  <si>
    <t>45</t>
  </si>
  <si>
    <t>Aktivácia materiálu a tovaru</t>
  </si>
  <si>
    <t>46</t>
  </si>
  <si>
    <t>Aktivácia vnútroorganizačných služieb</t>
  </si>
  <si>
    <t>47</t>
  </si>
  <si>
    <t>48</t>
  </si>
  <si>
    <t>49</t>
  </si>
  <si>
    <t>50</t>
  </si>
  <si>
    <t>51</t>
  </si>
  <si>
    <t>Platby za odpísané pohľadávky</t>
  </si>
  <si>
    <t>52</t>
  </si>
  <si>
    <t>53</t>
  </si>
  <si>
    <t>Kurzové zisky</t>
  </si>
  <si>
    <t>54</t>
  </si>
  <si>
    <t>Prijaté dary</t>
  </si>
  <si>
    <t>55</t>
  </si>
  <si>
    <t>Osobitné výnosy</t>
  </si>
  <si>
    <t>56</t>
  </si>
  <si>
    <t>57</t>
  </si>
  <si>
    <t>Iné ostatné výnosy</t>
  </si>
  <si>
    <t>58</t>
  </si>
  <si>
    <t>59</t>
  </si>
  <si>
    <t>60</t>
  </si>
  <si>
    <t>Tržby z predaja cenných papierov a pod.</t>
  </si>
  <si>
    <t>61</t>
  </si>
  <si>
    <t>Tržby z predaja materiálu</t>
  </si>
  <si>
    <t>62</t>
  </si>
  <si>
    <t>63</t>
  </si>
  <si>
    <t>Výnosy z použitia fondu</t>
  </si>
  <si>
    <t>64</t>
  </si>
  <si>
    <t>Výnosy z precenenia cenných papierov</t>
  </si>
  <si>
    <t>65</t>
  </si>
  <si>
    <t>Výnosy z nájmu majetku</t>
  </si>
  <si>
    <t>66</t>
  </si>
  <si>
    <t>Prijaté príspevky od organizačných zložiek</t>
  </si>
  <si>
    <t>67</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</si>
  <si>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</si>
  <si>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</si>
  <si>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</si>
  <si>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</si>
  <si>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</si>
  <si>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</si>
  <si>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</si>
  <si>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</si>
  <si>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</si>
  <si>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</si>
  <si>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</si>
  <si>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</si>
  <si>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</si>
  <si>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</si>
  <si>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</si>
  <si>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</si>
  <si>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</si>
  <si>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</si>
  <si>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</si>
  <si>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</si>
  <si>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</si>
  <si>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r>
      <t>Spolu</t>
    </r>
    <r>
      <rPr>
        <sz val="12"/>
        <rFont val="Times New Roman"/>
        <family val="1"/>
      </rPr>
      <t xml:space="preserve"> [R1+R6+R7+R8]</t>
    </r>
  </si>
  <si>
    <t>Zamestnanci platení z dotácie MŠVVaŠ SR</t>
  </si>
  <si>
    <t>86a</t>
  </si>
  <si>
    <t>Projektovaná lôžková kapacita študentského domova k 31. 12. kalendárneho roka (v počte miest)</t>
  </si>
  <si>
    <t>F = A+B+C+D+E</t>
  </si>
  <si>
    <t>J</t>
  </si>
  <si>
    <t>K</t>
  </si>
  <si>
    <t>10a</t>
  </si>
  <si>
    <t>G=A+B+C+D+E+F</t>
  </si>
  <si>
    <t>Poskytnuté príspevky z podielu zaplatenej dane</t>
  </si>
  <si>
    <t>Zost. cena predaného DNM a DHM</t>
  </si>
  <si>
    <t xml:space="preserve">zabezpečenie mobilít v súlade s medzinárodnými zmluvami </t>
  </si>
  <si>
    <t>Peniaze na ceste (účet 261)</t>
  </si>
  <si>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</si>
  <si>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</si>
  <si>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</si>
  <si>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T21_R1_SB + T11_R10a_SB - T5_R86a_SC = T21_R1_SH</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</si>
  <si>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</si>
  <si>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</si>
  <si>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</si>
  <si>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</si>
  <si>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</si>
  <si>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</si>
  <si>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</si>
  <si>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</si>
  <si>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</si>
  <si>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r>
      <t xml:space="preserve">Nárok na príspevok zo štátneho rozpočtu na jedlá podľa metodiky </t>
    </r>
    <r>
      <rPr>
        <sz val="12"/>
        <rFont val="Times New Roman"/>
        <family val="1"/>
      </rPr>
      <t xml:space="preserve">                                     </t>
    </r>
  </si>
  <si>
    <t>Fond na podporu štúdia študentov so špecifickými potrebami</t>
  </si>
  <si>
    <t>Účtová trieda 5 spolu r.01 až r.37</t>
  </si>
  <si>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</si>
  <si>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</si>
  <si>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</si>
  <si>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</si>
  <si>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</si>
  <si>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x</t>
  </si>
  <si>
    <t>Náklady spolu</t>
  </si>
  <si>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</si>
  <si>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</si>
  <si>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Pozn.</t>
  </si>
  <si>
    <r>
      <t>Tržby z predaja služieb (účet 602)</t>
    </r>
    <r>
      <rPr>
        <sz val="12"/>
        <color indexed="8"/>
        <rFont val="Times New Roman"/>
        <family val="1"/>
      </rPr>
      <t xml:space="preserve"> [SUM(R7:R10)] </t>
    </r>
  </si>
  <si>
    <r>
      <t>Úroky (účet 644)</t>
    </r>
    <r>
      <rPr>
        <sz val="12"/>
        <color indexed="8"/>
        <rFont val="Times New Roman"/>
        <family val="1"/>
      </rPr>
      <t xml:space="preserve"> [R17+R18]</t>
    </r>
  </si>
  <si>
    <t>Priemerné platy</t>
  </si>
  <si>
    <t>I=H/D/12</t>
  </si>
  <si>
    <t>*) medzi profesorov sa započítava aj funkčné zaradenie "hosťujúci profesor"</t>
  </si>
  <si>
    <t>T21_R1_SA + T11_R10_SB -T5_R85_SC = T21_R1_SG</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</si>
  <si>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</si>
  <si>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</si>
  <si>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Výpočet</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</si>
  <si>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</si>
  <si>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</si>
  <si>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</si>
  <si>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</si>
  <si>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</si>
  <si>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t>súčet HČ+PČ</t>
  </si>
  <si>
    <t>súčet HČ+PČ-daň z príjmov</t>
  </si>
  <si>
    <t>L= G+H+I+J+K</t>
  </si>
  <si>
    <t>-za dosiahnutie vynikajúceho výsledku v oblasti štúdia [R6+R7]</t>
  </si>
  <si>
    <t>-za dosiahnutie vynikajúceho výsledku vo výskume a vývoji [R9+R10]</t>
  </si>
  <si>
    <t>Zmeny stavu zásob vlastnej výroby (účtová skupina 611-614)</t>
  </si>
  <si>
    <t>Príspevky z podielu zaplatenej dane (účet 665)</t>
  </si>
  <si>
    <t>- ostatné náklady z účtovej skupiny 55 (účty 552, 553, 554, 557, 558, 559)</t>
  </si>
  <si>
    <t>81a</t>
  </si>
  <si>
    <t>- náklady na tvorbu fondu reprodukcie (účet 556 400) (z predaja a likvidácie majetku)</t>
  </si>
  <si>
    <t>- tvorba fondu z výnosov z predaja (a likvidácie) majetku (účet 413 117)</t>
  </si>
  <si>
    <r>
      <t xml:space="preserve">Príjem z dotácie na motivačné štipendiá z kapitoly MŠVVaŠ SR v kalendárnom roku </t>
    </r>
    <r>
      <rPr>
        <sz val="12"/>
        <rFont val="Times New Roman"/>
        <family val="1"/>
        <charset val="238"/>
      </rPr>
      <t xml:space="preserve"> </t>
    </r>
  </si>
  <si>
    <r>
      <t>Nevyčerpaná dotácia (+) / nedoplatok dotácie (-) k 31. 12. kalendárneho roka</t>
    </r>
    <r>
      <rPr>
        <b/>
        <vertAlign val="superscript"/>
        <sz val="12"/>
        <rFont val="Times New Roman"/>
        <family val="1"/>
        <charset val="238"/>
      </rPr>
      <t xml:space="preserve"> </t>
    </r>
    <r>
      <rPr>
        <b/>
        <sz val="12"/>
        <rFont val="Times New Roman"/>
        <family val="1"/>
        <charset val="238"/>
      </rPr>
      <t xml:space="preserve">  [R1+R2-R3]                       </t>
    </r>
  </si>
  <si>
    <r>
      <t>Počet študentov, ktorým bolo priznané motivačné štipendium</t>
    </r>
    <r>
      <rPr>
        <b/>
        <vertAlign val="superscript"/>
        <sz val="12"/>
        <rFont val="Times New Roman"/>
        <family val="1"/>
        <charset val="238"/>
      </rPr>
      <t xml:space="preserve"> 1)</t>
    </r>
  </si>
  <si>
    <r>
      <t xml:space="preserve">mot. štipendiá podľa 
§ 96a, ods.1, písm. a)
</t>
    </r>
    <r>
      <rPr>
        <b/>
        <sz val="12"/>
        <rFont val="Times New Roman"/>
        <family val="1"/>
        <charset val="238"/>
      </rPr>
      <t>(kód v CRŠ: 19)</t>
    </r>
    <r>
      <rPr>
        <vertAlign val="superscript"/>
        <sz val="12"/>
        <rFont val="Times New Roman"/>
        <family val="1"/>
        <charset val="238"/>
      </rPr>
      <t>2)</t>
    </r>
  </si>
  <si>
    <t>K=A+C+E+G+I</t>
  </si>
  <si>
    <t>L=B+D+F+H+J</t>
  </si>
  <si>
    <t>Výnos z dotácie zo štátneho rozpočtu na študentské domovy (vrátane zmluvných zariadení a valorizácie miezd ŠJ)</t>
  </si>
  <si>
    <r>
      <t>Poskytnuté príspevky</t>
    </r>
    <r>
      <rPr>
        <sz val="12"/>
        <color theme="1"/>
        <rFont val="Times New Roman"/>
        <family val="1"/>
      </rPr>
      <t xml:space="preserve"> </t>
    </r>
    <r>
      <rPr>
        <b/>
        <sz val="12"/>
        <color theme="1"/>
        <rFont val="Times New Roman"/>
        <family val="1"/>
      </rPr>
      <t>(účtová skupina 56: 562 a 563)</t>
    </r>
  </si>
  <si>
    <t>Daň z príjmov (účtová skupina 59: 591 až 595)</t>
  </si>
  <si>
    <t>C = A+B</t>
  </si>
  <si>
    <t>z  dotácií 
(ostatné kódy okrem kódu 13)</t>
  </si>
  <si>
    <t xml:space="preserve">- za prijímacie konanie (§ 92 ods. 12 zákona) (účet 648 003) </t>
  </si>
  <si>
    <t xml:space="preserve">- za rigorózne konanie (§ 92 ods. 13 zákona) (účet 648 004) </t>
  </si>
  <si>
    <t>- za vydanie dokladov o štúdiu a ich kópií (§ 92 ods. 15 zákona) (účet 648 006)</t>
  </si>
  <si>
    <t>- za vydanie dokladov o absolvovaní štúdia v štátnom jazyku a v jazyku požadovanom študentom a ich kópií  (§ 92 ods. 15 zákona) (účet 648 024)</t>
  </si>
  <si>
    <t>kvartil q1 25%</t>
  </si>
  <si>
    <t>kvartil q3 75%</t>
  </si>
  <si>
    <t>medián *) = stredná hodnota</t>
  </si>
  <si>
    <t>zdroj 1AA + 3AA spolu</t>
  </si>
  <si>
    <t>zdroj 1AC + 3AC spolu</t>
  </si>
  <si>
    <t>zdroj 1AA1; 3AA1</t>
  </si>
  <si>
    <t>zdroj 1AA2; 3AA2</t>
  </si>
  <si>
    <t>Iné nezaradené</t>
  </si>
  <si>
    <r>
      <t>- fondu reprodukcie (účet 656 400)</t>
    </r>
    <r>
      <rPr>
        <vertAlign val="superscript"/>
        <sz val="12"/>
        <rFont val="Times New Roman"/>
        <family val="1"/>
        <charset val="238"/>
      </rPr>
      <t xml:space="preserve"> 2)</t>
    </r>
  </si>
  <si>
    <t>- iné nezaradené</t>
  </si>
  <si>
    <t>z iných zdrojov
 kód 13</t>
  </si>
  <si>
    <t xml:space="preserve">Kategória zamestnancov - žien
</t>
  </si>
  <si>
    <t>kvartil q2 50%
medián *)</t>
  </si>
  <si>
    <r>
      <t>Spotreba materiálu (účet 501)</t>
    </r>
    <r>
      <rPr>
        <sz val="12"/>
        <color theme="1"/>
        <rFont val="Times New Roman"/>
        <family val="1"/>
      </rPr>
      <t xml:space="preserve"> [SUM(R2:R13)]</t>
    </r>
  </si>
  <si>
    <r>
      <t>Spotreba energie (účet 502)</t>
    </r>
    <r>
      <rPr>
        <sz val="12"/>
        <color theme="1"/>
        <rFont val="Times New Roman"/>
        <family val="1"/>
      </rPr>
      <t xml:space="preserve"> [SUM(R15:R20)]</t>
    </r>
  </si>
  <si>
    <r>
      <t>Predaný tovar (účet 504)</t>
    </r>
    <r>
      <rPr>
        <sz val="12"/>
        <color theme="1"/>
        <rFont val="Times New Roman"/>
        <family val="1"/>
      </rPr>
      <t xml:space="preserve"> [SUM(R23:R26)]</t>
    </r>
  </si>
  <si>
    <r>
      <t>Opravy a udržiavanie (účet 511)</t>
    </r>
    <r>
      <rPr>
        <sz val="12"/>
        <color theme="1"/>
        <rFont val="Times New Roman"/>
        <family val="1"/>
      </rPr>
      <t xml:space="preserve"> [SUM(R28:R34)]</t>
    </r>
  </si>
  <si>
    <r>
      <t>Cestovné (účet 512)</t>
    </r>
    <r>
      <rPr>
        <sz val="12"/>
        <color theme="1"/>
        <rFont val="Times New Roman"/>
        <family val="1"/>
      </rPr>
      <t xml:space="preserve"> [SUM(R36:R37)]</t>
    </r>
  </si>
  <si>
    <r>
      <t>Ostatné služby (účet 518)</t>
    </r>
    <r>
      <rPr>
        <sz val="12"/>
        <color theme="1"/>
        <rFont val="Times New Roman"/>
        <family val="1"/>
      </rPr>
      <t xml:space="preserve"> [SUM(R40:R54)]   </t>
    </r>
  </si>
  <si>
    <r>
      <t>Dotácia na kapitálové výdavky z prostriedkov EÚ (štrukturálnych fondov</t>
    </r>
    <r>
      <rPr>
        <b/>
        <sz val="12"/>
        <rFont val="Times New Roman"/>
        <family val="1"/>
        <charset val="238"/>
      </rPr>
      <t xml:space="preserve"> vrátane spolufinancovania)</t>
    </r>
  </si>
  <si>
    <t>*)</t>
  </si>
  <si>
    <t>Nákup strojov, prístrojov, zariadení, techniky a náradia [SUM(R5:R10)]</t>
  </si>
  <si>
    <t>Výdavky na obstaranie a technické zhodnotenie dlhobého majetku spolu [R1+SUM(R3:R4)+SUM(R11:R16)]</t>
  </si>
  <si>
    <t>Čerpanie z iných zdrojov (napr. z 131x, ...)</t>
  </si>
  <si>
    <t>zdroj 11S  + 13S spolu</t>
  </si>
  <si>
    <t>zdroj 11T  + 13T spolu</t>
  </si>
  <si>
    <r>
      <t xml:space="preserve">Štipendiá z vlastných zdrojov vysokej školy (§ 97 zákona) spolu </t>
    </r>
    <r>
      <rPr>
        <sz val="12"/>
        <color theme="1"/>
        <rFont val="Times New Roman"/>
        <family val="1"/>
        <charset val="238"/>
      </rPr>
      <t xml:space="preserve">[R2+R5+R8+R11+R14+R17] </t>
    </r>
  </si>
  <si>
    <r>
      <t xml:space="preserve">- prospechové </t>
    </r>
    <r>
      <rPr>
        <sz val="12"/>
        <color theme="1"/>
        <rFont val="Times New Roman"/>
        <family val="1"/>
        <charset val="238"/>
      </rPr>
      <t xml:space="preserve">[R3+R4] </t>
    </r>
  </si>
  <si>
    <r>
      <t xml:space="preserve">  - poskytované mesačne </t>
    </r>
    <r>
      <rPr>
        <vertAlign val="superscript"/>
        <sz val="12"/>
        <color theme="1"/>
        <rFont val="Times New Roman"/>
        <family val="1"/>
        <charset val="238"/>
      </rPr>
      <t>1)</t>
    </r>
  </si>
  <si>
    <r>
      <t xml:space="preserve">- za umeleckú alebo športovú činnosť </t>
    </r>
    <r>
      <rPr>
        <sz val="12"/>
        <color theme="1"/>
        <rFont val="Times New Roman"/>
        <family val="1"/>
        <charset val="238"/>
      </rPr>
      <t xml:space="preserve">[R11+R12]  </t>
    </r>
    <r>
      <rPr>
        <b/>
        <sz val="12"/>
        <color theme="1"/>
        <rFont val="Times New Roman"/>
        <family val="1"/>
        <charset val="238"/>
      </rPr>
      <t xml:space="preserve">                                                     </t>
    </r>
  </si>
  <si>
    <r>
      <t xml:space="preserve">- na sociálnu podporu </t>
    </r>
    <r>
      <rPr>
        <sz val="12"/>
        <color theme="1"/>
        <rFont val="Times New Roman"/>
        <family val="1"/>
        <charset val="238"/>
      </rPr>
      <t>[R15+R16]</t>
    </r>
  </si>
  <si>
    <r>
      <t xml:space="preserve">Priemerné platy </t>
    </r>
    <r>
      <rPr>
        <b/>
        <i/>
        <sz val="11"/>
        <color theme="1"/>
        <rFont val="Times New Roman"/>
        <family val="1"/>
        <charset val="238"/>
      </rPr>
      <t>mužov</t>
    </r>
  </si>
  <si>
    <r>
      <t xml:space="preserve">mot. štipendiá podľa 
§ 96a, ods.1, písm. b)
</t>
    </r>
    <r>
      <rPr>
        <b/>
        <sz val="12"/>
        <rFont val="Times New Roman"/>
        <family val="1"/>
        <charset val="238"/>
      </rPr>
      <t>(kódy v  CRŠ: 
4, 5, 6, 7, 8)</t>
    </r>
    <r>
      <rPr>
        <vertAlign val="superscript"/>
        <sz val="12"/>
        <rFont val="Times New Roman"/>
        <family val="1"/>
        <charset val="238"/>
      </rPr>
      <t>3)</t>
    </r>
  </si>
  <si>
    <t xml:space="preserve">Čerpanie 
z ostatných zdrojov prostredníctvom fondu reprodukcie </t>
  </si>
  <si>
    <t xml:space="preserve">    - bežné účty pre študentské domovy</t>
  </si>
  <si>
    <t xml:space="preserve">    - bežné účty pre študentské jedálne</t>
  </si>
  <si>
    <t xml:space="preserve">    - bežné účety na riešenie úloh vedy a
      výskumu  zo SR, resp.zahraničia </t>
  </si>
  <si>
    <t>účty rezervného fondu</t>
  </si>
  <si>
    <t>účty fondu reprodukcie</t>
  </si>
  <si>
    <t>účty štipendijného fondu</t>
  </si>
  <si>
    <t>účty fondov na podporu štúdia študentov so špecifickými potrebami</t>
  </si>
  <si>
    <t>účty ostatných fondov</t>
  </si>
  <si>
    <t>dotačný účet VVŠ</t>
  </si>
  <si>
    <t>devízové účty</t>
  </si>
  <si>
    <t>účty sociálneho fondu</t>
  </si>
  <si>
    <t>účty podnikateľskej činnosti</t>
  </si>
  <si>
    <t xml:space="preserve">   účty termínovaných vkladov</t>
  </si>
  <si>
    <t>bežné účty - zábezpeka</t>
  </si>
  <si>
    <t xml:space="preserve">   účty mimo Štátnej pokladnice spolu</t>
  </si>
  <si>
    <t>ostatné bankové účty v Štátnej pokladnici 
mimo účtov uvedených v R2:R16</t>
  </si>
  <si>
    <t>- bežné účty okrem účtov uvedených v 
  R4:R6</t>
  </si>
  <si>
    <t>Stav bankových účtov v ŠP spolu [R1+R18+R19]</t>
  </si>
  <si>
    <t>zdroj 1AB + 3AB spolu</t>
  </si>
  <si>
    <t>zdroj 11S1; 13S1</t>
  </si>
  <si>
    <t>zdroj 11S2; 13S2</t>
  </si>
  <si>
    <t>zdroj 11T1; 13T1</t>
  </si>
  <si>
    <t>zdroj 11T2; 13T2</t>
  </si>
  <si>
    <t>zdroj 1AC1; 3AC1</t>
  </si>
  <si>
    <t>zdroj 1AB1; 3AB1</t>
  </si>
  <si>
    <t>zdroj 1AB2; 3AB2</t>
  </si>
  <si>
    <t>zdroj 1AM + 3AM spolu</t>
  </si>
  <si>
    <t>zdroj 1AM1; 3AM1</t>
  </si>
  <si>
    <t>zdroj 1AM2; 3AM2</t>
  </si>
  <si>
    <t>zdroj 1AJ + 3AJ spolu</t>
  </si>
  <si>
    <t>zdroj 1AJ1; 3AJ1</t>
  </si>
  <si>
    <r>
      <t>Dotácie z iných kapitol spolu [</t>
    </r>
    <r>
      <rPr>
        <sz val="12"/>
        <color theme="1"/>
        <rFont val="Times New Roman"/>
        <family val="1"/>
        <charset val="238"/>
      </rPr>
      <t>R15+R18+R21+....] *)</t>
    </r>
  </si>
  <si>
    <r>
      <t xml:space="preserve">Dotácie z kapitoly MŠVVaŠ SR spolu </t>
    </r>
    <r>
      <rPr>
        <sz val="12"/>
        <color theme="1"/>
        <rFont val="Times New Roman"/>
        <family val="1"/>
        <charset val="238"/>
      </rPr>
      <t xml:space="preserve">[R1+R4+R7+R10] </t>
    </r>
  </si>
  <si>
    <t>za riadok 23 uveďte ďalšie zdroje, ktoré boli poskytnuté z EÚ a z iných kapitol</t>
  </si>
  <si>
    <r>
      <t>Dotácie z prostriedkov EÚ spolu</t>
    </r>
    <r>
      <rPr>
        <sz val="12"/>
        <color indexed="8"/>
        <rFont val="Times New Roman"/>
        <family val="1"/>
      </rPr>
      <t xml:space="preserve"> [R13+R14]</t>
    </r>
  </si>
  <si>
    <t>23a</t>
  </si>
  <si>
    <t>23b</t>
  </si>
  <si>
    <t>Náklady na štipendiá doktorandov v dennej forme štúdia spolu</t>
  </si>
  <si>
    <t>Prijaté príspevky z verejných zbierok (účet 667)</t>
  </si>
  <si>
    <t>Vnútroorganizačné prevody výnosov (účet 670)</t>
  </si>
  <si>
    <t xml:space="preserve"> - MZDY (účty 521 001-008, 521 012, 521 013)</t>
  </si>
  <si>
    <t xml:space="preserve">- Ostatné náklady účty 541 až 548 </t>
  </si>
  <si>
    <r>
      <t>Vnútroorganizačné prevody nákladov</t>
    </r>
    <r>
      <rPr>
        <sz val="12"/>
        <color theme="1"/>
        <rFont val="Times New Roman"/>
        <family val="1"/>
      </rPr>
      <t xml:space="preserve"> </t>
    </r>
    <r>
      <rPr>
        <b/>
        <sz val="12"/>
        <color theme="1"/>
        <rFont val="Times New Roman"/>
        <family val="1"/>
      </rPr>
      <t>(účtová skupina 57)</t>
    </r>
  </si>
  <si>
    <t>uvádzajú sa štipendiá vyplatené zo štátneho rozpočtu, kód v CRŠ: 21</t>
  </si>
  <si>
    <t>Počet študentov poberajúcich tehotenské štipendium</t>
  </si>
  <si>
    <t>)*</t>
  </si>
  <si>
    <t xml:space="preserve">   - Prvok 077 15 01)*</t>
  </si>
  <si>
    <t>Náklady
hlavnej činnosti
2022</t>
  </si>
  <si>
    <r>
      <t>Dotácie z POO spolu</t>
    </r>
    <r>
      <rPr>
        <sz val="12"/>
        <color indexed="8"/>
        <rFont val="Times New Roman"/>
        <family val="1"/>
      </rPr>
      <t xml:space="preserve"> [R13+R14]</t>
    </r>
  </si>
  <si>
    <t xml:space="preserve">Počet študentov poberajúcich štipendium z POO </t>
  </si>
  <si>
    <r>
      <t xml:space="preserve">Počet študentov poberajúcich štipendiá z POO </t>
    </r>
    <r>
      <rPr>
        <b/>
        <vertAlign val="superscript"/>
        <sz val="14"/>
        <rFont val="Times New Roman"/>
        <family val="1"/>
        <charset val="238"/>
      </rPr>
      <t>2)</t>
    </r>
  </si>
  <si>
    <t>zdroj 1P01</t>
  </si>
  <si>
    <t>zdroj 1P02</t>
  </si>
  <si>
    <t>zdroj 3P01</t>
  </si>
  <si>
    <t>zdroj 3P02</t>
  </si>
  <si>
    <t>zdroj 3P01  + 3P02 spolu</t>
  </si>
  <si>
    <t>zdroj 1P01  + 1P02 spolu</t>
  </si>
  <si>
    <r>
      <t xml:space="preserve">Dotácie z kapitoly MŠVVaŠ SR spolu </t>
    </r>
    <r>
      <rPr>
        <sz val="12"/>
        <color theme="1"/>
        <rFont val="Times New Roman"/>
        <family val="1"/>
        <charset val="238"/>
      </rPr>
      <t xml:space="preserve">[R1+R2+R4+R5] </t>
    </r>
  </si>
  <si>
    <t>zdroj 1P01 + 1P02 spolu</t>
  </si>
  <si>
    <t>zdroj 3P01 + 3P02 spolu</t>
  </si>
  <si>
    <t>Bežné dotácie z POO</t>
  </si>
  <si>
    <t>Kapitálové dotácie z POO</t>
  </si>
  <si>
    <t>za riadok 21 uveďte ďalšie zdroje, ktoré boli poskytnuté z POO a z iných kapitol</t>
  </si>
  <si>
    <t>Čísla účtov v tvare IBAN</t>
  </si>
  <si>
    <t>zdroj 11UA</t>
  </si>
  <si>
    <t xml:space="preserve">2) V stĺpcoch B sa uvádza celkový (fyzický) počet študentov, ktorým bolo v príslušnom kalendárnom roku poskytnuté štipendium z rozvojového projektu UA bez ohľadu na počet mesiacov. </t>
  </si>
  <si>
    <r>
      <t>Počet študentov poberajúcich štipendiá z RP na miernenie negatívnych dôsledkov vojny na Ukrajine za kalendárny rok v osobomesiacoch</t>
    </r>
    <r>
      <rPr>
        <b/>
        <sz val="9"/>
        <rFont val="Times New Roman"/>
        <family val="1"/>
        <charset val="238"/>
      </rPr>
      <t xml:space="preserve"> </t>
    </r>
    <r>
      <rPr>
        <b/>
        <vertAlign val="superscript"/>
        <sz val="14"/>
        <rFont val="Times New Roman"/>
        <family val="1"/>
        <charset val="238"/>
      </rPr>
      <t>1)</t>
    </r>
  </si>
  <si>
    <r>
      <t xml:space="preserve">Počet študentov poberajúcich štipendiá určených na zmiernenie negatívnych dôsledkov vojny na Ukrajine za kalendárny rok </t>
    </r>
    <r>
      <rPr>
        <b/>
        <vertAlign val="superscript"/>
        <sz val="14"/>
        <rFont val="Times New Roman"/>
        <family val="1"/>
        <charset val="238"/>
      </rPr>
      <t>2)</t>
    </r>
  </si>
  <si>
    <t>Príjem z dotácie poskytnutej na štipendiá z RP v rámci zmluvy z kapitoly MŠVVaŠ k 31.12.</t>
  </si>
  <si>
    <t>uvádza sa skutočne poskytnutá dotácia na sociálne a tehotenské štipendiá (spolu)</t>
  </si>
  <si>
    <t>- náklady študentských domovov (bez zmluvných zariadení) - mzdy a odvody</t>
  </si>
  <si>
    <t>- náklady študentských domovov (bez zmluvných zariadení) - ostatné</t>
  </si>
  <si>
    <t>- interiérové vybavenie (713 001)</t>
  </si>
  <si>
    <t>- telekomunikačná technika (713 003)</t>
  </si>
  <si>
    <t>- výpočtová technika (713 002)</t>
  </si>
  <si>
    <t>- prevádzkové stroje, prístroje, zariadenia, technika a náradie (713 004)</t>
  </si>
  <si>
    <t>- špeciálne stroje, prístroje, zariadenia, technika, náradie a materiál  (713 005)</t>
  </si>
  <si>
    <t>- komunikačná infraštruktúra (713 006)</t>
  </si>
  <si>
    <t>- tvorba fondu z predaja alebo likvidácie majetku</t>
  </si>
  <si>
    <r>
      <t>Dotácia na kapitálové výdavky zo štátneho rozpočtu (111</t>
    </r>
    <r>
      <rPr>
        <b/>
        <sz val="12"/>
        <rFont val="Times New Roman"/>
        <family val="1"/>
      </rPr>
      <t>)</t>
    </r>
  </si>
  <si>
    <t>- z ubytovania a stravovania iných fyzických osôb (účty 602 008 a 602 010)</t>
  </si>
  <si>
    <t>Pokuty a penále (účty 641+642)</t>
  </si>
  <si>
    <t>Platby za odpísané pohľadávky (účet 643)</t>
  </si>
  <si>
    <t>- z dotačného účtu (účet 644 001)</t>
  </si>
  <si>
    <t>- z ostatných účtov (účet 644 002)</t>
  </si>
  <si>
    <t>Kurzové zisky (účet 645)</t>
  </si>
  <si>
    <t>- školné za prekročenie štandardnej dĺžky štúdia (účet 648 001)</t>
  </si>
  <si>
    <t>- za cudzojazyčné štúdium dennou formou (účet 648 010)</t>
  </si>
  <si>
    <t>- školné od externých študentov (§ 92 ods. 4 zákona) (účty 648 020, 648 011)</t>
  </si>
  <si>
    <t>- poplatky za súbežné štúdium (§ 92, ods. 5) (účet 648 026)</t>
  </si>
  <si>
    <t>- školné od cudzincov (§ 92 ods. 9 zákona) (účty 648 002, 648 023)</t>
  </si>
  <si>
    <t>- poplatky za rigorózne konanie (§ 92, ods. 11) (účet 648 004)</t>
  </si>
  <si>
    <t>- poplatky za rigorózne konanie - vydanie diplomu (účet 648 005)</t>
  </si>
  <si>
    <t>- poplatky za vydanie dokladov o štúdiu (účet 648 006)</t>
  </si>
  <si>
    <t>- poplatky za vydanie dokladov o absolvovaní štúdia (§92, ods. 15) (účet 648 024)</t>
  </si>
  <si>
    <t>- poplatky za uznávanie rovnocennosti dokladov o štúdiu (§92, ods. 15) (účet 648 025)</t>
  </si>
  <si>
    <t>- poplatky za prijímacie konanie (§ 92, ods. 10) (účet 648 003)</t>
  </si>
  <si>
    <t>- dary (účty 649 009, 646 001, 646 002)</t>
  </si>
  <si>
    <t>- výnosy z dedičstva (účet 649 010)</t>
  </si>
  <si>
    <t>- použitie prostriedkov výnosov budúcich období - projekty (účet 649 015)</t>
  </si>
  <si>
    <t>- príspevok na úhradu výdavkov zahraničných študentov/lektorov (účet 649 016)</t>
  </si>
  <si>
    <t>- vložné na konferencie (účet 649 018)</t>
  </si>
  <si>
    <t>Výnosy z krátkodobého finančného majetku (účet 655)</t>
  </si>
  <si>
    <t>- fondu na podporu štúdia študentov so špecifickými potrebami (účet 656 300)</t>
  </si>
  <si>
    <t>Výnosy z nájmu majetku (účet 658)</t>
  </si>
  <si>
    <t>Prijaté príspevky od fyzických osôb (účet 663)</t>
  </si>
  <si>
    <t>- za súbežné štúdium v dennej forme (§ 92 ods. 5) (účet 648 026)</t>
  </si>
  <si>
    <t>- za prekročenie štandardnej dĺžky štúdia v dennej forme (§ 92 ods. 6) (účet 648 001)</t>
  </si>
  <si>
    <t>- za cudzojazyčné štúdium dennou formou (§ 92 ods. 8 a 9) (účty 648 002, 648 010, 648 023)</t>
  </si>
  <si>
    <t>- za externú formu štúdia (§ 92 ods. 4) (účty 648 020, 648 011)</t>
  </si>
  <si>
    <t xml:space="preserve">- za vydanie diplomu za rigorózne konanie (§ 92 ods. 14 zákona) (účet 648 005) </t>
  </si>
  <si>
    <r>
      <t xml:space="preserve">- za uznávanie rovnocennosti dokladov o štúdiu (§ 92 ods. 15 zákona) (účet 648 025) </t>
    </r>
    <r>
      <rPr>
        <vertAlign val="superscript"/>
        <sz val="12"/>
        <rFont val="Times New Roman"/>
        <family val="1"/>
        <charset val="238"/>
      </rPr>
      <t/>
    </r>
  </si>
  <si>
    <t>- knihy, časopisy a noviny (účty 501 001, 501 051)</t>
  </si>
  <si>
    <t>- chemikálie a ostatný materiál pre zabezpečenie experimentálnej výučby (účty 501 002, 501 052)</t>
  </si>
  <si>
    <t>- kancelárske potreby a materiál (účty 501 003, 501 053)</t>
  </si>
  <si>
    <t>- papier (účty 501 004, 501 054)</t>
  </si>
  <si>
    <t>- pohonné hmoty a ostatný materiál na dopravu (účty 501 007, 501 057)</t>
  </si>
  <si>
    <t>- stavebný, vodoinštalačný a elektroinštalačný materiál (účet 501 009)</t>
  </si>
  <si>
    <t>- DHM - prístroje a zariadenia laboratórií, výpočtová technika (účet 501 011)</t>
  </si>
  <si>
    <t>- iné analyticky sledované náklady (účty 501 005-006, 501 013-018, 501 019, 501 077)</t>
  </si>
  <si>
    <t>- elektrická energia (účty 502 001, 502 051)</t>
  </si>
  <si>
    <t>- tepelná energia (účty 502 002, 502 052)</t>
  </si>
  <si>
    <t>- vodné a stočné (účty 502 003, 502 053)</t>
  </si>
  <si>
    <t>- plyn (účty 502 004, 502 054)</t>
  </si>
  <si>
    <t>- palivá (účty 502 005, 502 055)</t>
  </si>
  <si>
    <t>- ostatné energie (účet 502 099)</t>
  </si>
  <si>
    <t>- opravy a udržiavanie stavieb (účet 511 001)</t>
  </si>
  <si>
    <t>- opravy a udržiavanie strojov, prístrojov, zariadení a inventára (účty 511 002, 511 052)</t>
  </si>
  <si>
    <t>- opravy a udržiavanie dopravných prostriedkov (účet 511 003)</t>
  </si>
  <si>
    <t>- opravy a udržiavanie prostriedkov IT (účet 511 004)</t>
  </si>
  <si>
    <t>- iné analyticky sledované náklady (účty 511 006-008, 511 056)</t>
  </si>
  <si>
    <t>- údržba a opravy meracej techniky, telových.zariadení ... (účet 511 005)</t>
  </si>
  <si>
    <t>- domáce cestovné (účty 512 001, 512 051)</t>
  </si>
  <si>
    <t>- zahraničné cestovné (účty 512 002, 512 003, 512 004, 512 005, 512 052)</t>
  </si>
  <si>
    <t>- prenájom priestorov (účet 518 001)</t>
  </si>
  <si>
    <t>- vložné na konferencie (účty 518 004, 518 054)</t>
  </si>
  <si>
    <t>- ďalšie vzdelávanie zamestnancov (účet 518 005)</t>
  </si>
  <si>
    <t>- telefón, fax (účty 518 006, 518 056)</t>
  </si>
  <si>
    <t>- poštovné (účty 518 008, 518 058)</t>
  </si>
  <si>
    <t>- odvoz odpadu (účty 518 009, 518 059)</t>
  </si>
  <si>
    <t>- dopravné služby (účty 518 012, 518 512)</t>
  </si>
  <si>
    <t>- drobný nehmotný majetok (účet 518 014)</t>
  </si>
  <si>
    <t>- ostatné služby (účet 518 035)</t>
  </si>
  <si>
    <r>
      <t>Mzdové náklady (účet 521)</t>
    </r>
    <r>
      <rPr>
        <sz val="12"/>
        <color theme="1"/>
        <rFont val="Times New Roman"/>
        <family val="1"/>
      </rPr>
      <t xml:space="preserve"> [SUM(R56:R57)]</t>
    </r>
  </si>
  <si>
    <t xml:space="preserve">      - dohody o vykonaní práce, dohody o pracovnej činnosti (účet 521 010)</t>
  </si>
  <si>
    <t>- tvorba sociálneho fondu (účet 527 001)</t>
  </si>
  <si>
    <t>- príspevok zamestnancom na stravovanie (účty 527 002, 527 052)</t>
  </si>
  <si>
    <t>- zákonné odstupné, odchodné (účet 527 003)</t>
  </si>
  <si>
    <t>- náhrada príjmu pri PN (účet 527 004)</t>
  </si>
  <si>
    <t xml:space="preserve">- ochranné pracovné pomôcky podľa Zákonníka práce (účet 527 005) </t>
  </si>
  <si>
    <t xml:space="preserve"> - štipendiá doktorandov (účty 549 001, 549 016, 549 017)</t>
  </si>
  <si>
    <t xml:space="preserve"> - poistné náklady (havarijné, majetok, na študentov) (účty 549 004, 549 014, 549 015, 549 054)</t>
  </si>
  <si>
    <t xml:space="preserve"> - podpora štud. so špecifickými potrebami podľa §100 (účet 549 018) </t>
  </si>
  <si>
    <t xml:space="preserve"> - iné analyticky sledované náklady (účty 549 005-006, 549 012)</t>
  </si>
  <si>
    <t>- náklady na tvorbu fondu na podporu štúdia študentov so špecifickými potrebami (účet 556 300)</t>
  </si>
  <si>
    <t>- vysokoškolskí učitelia s funkčným zaradením "profesor"   *)</t>
  </si>
  <si>
    <t>Pod pojmom "interný doktorand" sa rozumie doktorand, ktorému vysoká škola vypláca štipendium v zmysle § 54 zák. č.131/2002 Z.z. o vysokých školách a o zmene a doplnení niektorých zákonov.</t>
  </si>
  <si>
    <t>1) Výnosy a náklady z podnikateľskej činnosti sa neuvádzajú.</t>
  </si>
  <si>
    <t>2) Uvádzajte počet denných študentov I. a II. stupňa štúdia počas výučbového obdobia, najviac však 10 mesiacov a denných študentov III. stupňa štúdia (doktorandov) vrátane hlavných prázdnin maximálne 12 mesiacov.</t>
  </si>
  <si>
    <r>
      <t xml:space="preserve">Náklady študentských domovov spolu </t>
    </r>
    <r>
      <rPr>
        <sz val="12"/>
        <rFont val="Times New Roman"/>
        <family val="1"/>
      </rPr>
      <t>[R10+R11]</t>
    </r>
  </si>
  <si>
    <r>
      <t xml:space="preserve">- tvorba fondu z hospodárskeho výsledku (účet 413 111) </t>
    </r>
    <r>
      <rPr>
        <vertAlign val="superscript"/>
        <sz val="12"/>
        <rFont val="Times New Roman"/>
        <family val="1"/>
        <charset val="238"/>
      </rPr>
      <t xml:space="preserve">1) </t>
    </r>
  </si>
  <si>
    <t>1) Vrátane tvorby z nerozdeleného zisku z minulých rokov.</t>
  </si>
  <si>
    <t>2) Ostatná tvorba fondu reprodukcie v zmysle § 16a ods. 8 zákona č. 131/2002 Z. z.o vysokých školách v znení neskorších predpisov (kreditné úroky a kurzové zisky).</t>
  </si>
  <si>
    <t>2) Len ak umožňuje zákon.</t>
  </si>
  <si>
    <t>3) Uvádza sa v prípade, ak si vysoká škola vytvorila osobitný bankový účet na krytie fondu - napríklad  fondu reprodukcie.</t>
  </si>
  <si>
    <r>
      <t>1) V stĺpcoch B a D sa uvádza prepočítaný počet študentov určený ako počet osobomesiacov, počas ktorých bolo poskytované štipendium</t>
    </r>
    <r>
      <rPr>
        <b/>
        <sz val="10"/>
        <rFont val="Times New Roman"/>
        <family val="1"/>
        <charset val="238"/>
      </rPr>
      <t>.</t>
    </r>
    <r>
      <rPr>
        <sz val="10"/>
        <rFont val="Times New Roman"/>
        <family val="1"/>
        <charset val="238"/>
      </rPr>
      <t xml:space="preserve"> </t>
    </r>
  </si>
  <si>
    <r>
      <t>2) V stĺpcoch B a D sa uvádza celkový (fyzický) počet študentov, ktorým bolo v príslušnom roku poskytované štipendium</t>
    </r>
    <r>
      <rPr>
        <b/>
        <sz val="10"/>
        <rFont val="Times New Roman"/>
        <family val="1"/>
        <charset val="238"/>
      </rPr>
      <t>.</t>
    </r>
  </si>
  <si>
    <r>
      <t xml:space="preserve">Počet študentov poberajúcich  štipendiá z vlastných zdrojov </t>
    </r>
    <r>
      <rPr>
        <b/>
        <vertAlign val="superscript"/>
        <sz val="12"/>
        <color theme="1"/>
        <rFont val="Times New Roman"/>
        <family val="1"/>
        <charset val="238"/>
      </rPr>
      <t xml:space="preserve">2) </t>
    </r>
  </si>
  <si>
    <t>1) V riadku 5 sa uvedie celkový fyzický počet študentov (pričom 1 študent sa počíta za 1 fyzickú osobu), ktorým bolo vyplatené motivačné štipendium v kalendárnom roku.</t>
  </si>
  <si>
    <t>2) Uvádzajú sa len motivačné štipendiá vyplatené podľa § 96a, ods.1, písm. a) (kód CRŠ 19).</t>
  </si>
  <si>
    <t>3) Uvádzajú sa len motivačné štipendiá vyplatené podľa § 96a, ods.1, písm. b) (kódy v CRŠ: 4, 5, 6, 7, 8).</t>
  </si>
  <si>
    <t>1) V stĺpci B sa uvádza prepočítaný počet študentov určený ako počet osobomesiacov, počas ktorých bolo poskytované štipendium z rozvojového projektu UA.</t>
  </si>
  <si>
    <t>Zmena stavu zásob ned. výroby</t>
  </si>
  <si>
    <t>Zákonné soc.poistenie a zdrav.poistenie</t>
  </si>
  <si>
    <t>Aktivácia dlhodobého nehmotného majetku</t>
  </si>
  <si>
    <t>Aktivácia dlhodobého hmotného majetku</t>
  </si>
  <si>
    <t>Výnosy z dlhodobého finančného majetku</t>
  </si>
  <si>
    <t>Výnosy z krátkodobého finančného majetku</t>
  </si>
  <si>
    <t>Poskytnuté príspevky fyzickým osobám</t>
  </si>
  <si>
    <t>Poskytnuté príspevky iným účtovným jednotkám</t>
  </si>
  <si>
    <t>Poskytnuté príspevky organizačným zložkám</t>
  </si>
  <si>
    <t>Tvorba a zúčtovanie opravných položiek</t>
  </si>
  <si>
    <t>Náklady na krátkodobý finančný majetok</t>
  </si>
  <si>
    <t xml:space="preserve">2) Výnosy z Fondu reprodukcie možno účtovať len v súvislosti s krytím nákladov na vedenie príslušného bankového účtu a nákladov vyplývajúcich z kurzových strát v zmysle 16a ods. 8 zákona. </t>
  </si>
  <si>
    <r>
      <t xml:space="preserve">Pre účely výpočtu počtu zamestnancov bola použitá metóda </t>
    </r>
    <r>
      <rPr>
        <sz val="11"/>
        <color indexed="8"/>
        <rFont val="Times New Roman"/>
        <family val="1"/>
        <charset val="238"/>
      </rPr>
      <t xml:space="preserve">- </t>
    </r>
    <r>
      <rPr>
        <b/>
        <sz val="11"/>
        <color indexed="8"/>
        <rFont val="Times New Roman"/>
        <family val="1"/>
        <charset val="238"/>
      </rPr>
      <t>Priemerný evidenčný počet zamestnancov - prepočítaný počet</t>
    </r>
    <r>
      <rPr>
        <sz val="11"/>
        <color indexed="8"/>
        <rFont val="Times New Roman"/>
        <family val="1"/>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t>
    </r>
  </si>
  <si>
    <r>
      <t xml:space="preserve">Priemerné štipendium na 1 študenta na mesiac </t>
    </r>
    <r>
      <rPr>
        <sz val="12"/>
        <rFont val="Times New Roman"/>
        <family val="1"/>
        <charset val="238"/>
      </rPr>
      <t xml:space="preserve">[R1_SA/R2_SB resp. R1_SC/R2_SD] </t>
    </r>
  </si>
  <si>
    <r>
      <t xml:space="preserve">Dotácie z kapitol štátneho rozpočtu okrem kapitoly MŠVVaŠ SR </t>
    </r>
    <r>
      <rPr>
        <sz val="12"/>
        <rFont val="Times New Roman"/>
        <family val="1"/>
      </rPr>
      <t xml:space="preserve"> (na zdroji 111 a 11UA) [SUM(R1a:R1...)]</t>
    </r>
  </si>
  <si>
    <t>Finančný mechanizmus EHP a Nórsky finančný mechanizmus patria do R3 (ide o prostriedky poskytnuté Úradom vlády SR, na inom zdroji 111)</t>
  </si>
  <si>
    <t>Aktivácia (účtovná skupina 621-624)</t>
  </si>
  <si>
    <t>zdroj 1AC2; 3AC2; 1AC3; 3AC3</t>
  </si>
  <si>
    <t>uvádzajú sa len štipendiá vyplatené z vlastných zdrojov, v CRŠ kód 9 a kód 23</t>
  </si>
  <si>
    <t xml:space="preserve">Ostatné*) </t>
  </si>
  <si>
    <t>Ostatné*)</t>
  </si>
  <si>
    <t>86b</t>
  </si>
  <si>
    <t xml:space="preserve"> - štipendiá z vlastných zdrojov (účty 549 007-010, 549 019, 549 020, 549 022-023) </t>
  </si>
  <si>
    <t xml:space="preserve"> - odpisy DN a HM nadobudnutého z kapitálových dotácií zo ŠR 
(účty 551 001, 551 003, 551 100, 551 121, 551 123)</t>
  </si>
  <si>
    <t xml:space="preserve"> - odpisy DN a HM nadobudnutého z kapitálových dotácií z EÚ (zo štrukturálnych fondov) (účty 551 004, 551 300, 551 321, 551 323)</t>
  </si>
  <si>
    <t xml:space="preserve">  - odpisy ostatného DN a HM (účty 551 130, 551 131, 551 133, 551 400, 551 421, 551 423, 551 500, 551 521) </t>
  </si>
  <si>
    <r>
      <t xml:space="preserve">Do tabuľky sa uvádzajú aj </t>
    </r>
    <r>
      <rPr>
        <b/>
        <sz val="10"/>
        <rFont val="Times New Roman"/>
        <family val="1"/>
      </rPr>
      <t>motivačné štipendiá doktorandov</t>
    </r>
    <r>
      <rPr>
        <sz val="10"/>
        <rFont val="Times New Roman"/>
        <family val="1"/>
      </rPr>
      <t>, nie však "normálne" štipendiá doktorandov podľa platovej tabuľky !!!</t>
    </r>
  </si>
  <si>
    <t>*) napr. 384 vytvorená z bežnej dotácie na kapitálovú, dary, časové rozlíšenie</t>
  </si>
  <si>
    <t xml:space="preserve"> - potraviny (účty 501 010)</t>
  </si>
  <si>
    <t xml:space="preserve"> - ostatné zákonné sociálne náklady (účty 527 006, 527 099, 527 600)</t>
  </si>
  <si>
    <t>*) analytiky - odpisy, z ktorých sa tvorí fond reprodukcie</t>
  </si>
  <si>
    <r>
      <t xml:space="preserve"> - odpisy ostatného DN a HM (účty 551 002, 551 200, 551 221, 551 223, 551 900, 551 921, 551 923)</t>
    </r>
    <r>
      <rPr>
        <sz val="12"/>
        <rFont val="Calibri"/>
        <family val="2"/>
        <charset val="238"/>
      </rPr>
      <t>*)</t>
    </r>
  </si>
  <si>
    <t>Názov rozvojového projektu</t>
  </si>
  <si>
    <t>uvádzajú sa štipendiá vyplatené zo ŠR - mimo kapitolu MŠVVaŠ SR</t>
  </si>
  <si>
    <t>príjmy a výdavky (v Eur) v rokoch</t>
  </si>
  <si>
    <t>príjmy z 077 13 v roku 2022</t>
  </si>
  <si>
    <t>výdavky z 077 13 v roku 2022</t>
  </si>
  <si>
    <t>1) výnosy a náklady z podnikateľskej činnosti sa neuvádzajú, neuvádzajú sa ani výnosy a náklady súvisiace so stravovaním zamestnancov</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</si>
  <si>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</si>
  <si>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r>
      <t xml:space="preserve"> - náklady na jedlá študentov</t>
    </r>
    <r>
      <rPr>
        <vertAlign val="superscript"/>
        <sz val="12"/>
        <rFont val="Times New Roman"/>
        <family val="1"/>
        <charset val="238"/>
      </rPr>
      <t>3)</t>
    </r>
  </si>
  <si>
    <r>
      <t xml:space="preserve">2) všetky údaje o výnosoch a nákladoch  sa uvádzajú </t>
    </r>
    <r>
      <rPr>
        <sz val="11"/>
        <rFont val="Times New Roman"/>
        <family val="1"/>
        <charset val="238"/>
      </rPr>
      <t>v Eur</t>
    </r>
  </si>
  <si>
    <t xml:space="preserve">Počet vydaných jedál študentom v kalendárnom roku  </t>
  </si>
  <si>
    <r>
      <t xml:space="preserve">3) uvádzajú sa </t>
    </r>
    <r>
      <rPr>
        <b/>
        <sz val="11"/>
        <rFont val="Times New Roman"/>
        <family val="1"/>
        <charset val="238"/>
      </rPr>
      <t>jedlá vydané študentom len vo vlastnej jedálni</t>
    </r>
    <r>
      <rPr>
        <sz val="11"/>
        <rFont val="Times New Roman"/>
        <family val="1"/>
        <charset val="238"/>
      </rPr>
      <t>, na ktoré sa poskytuje dotácia
na príspevok na jedlo do 30.6.2022 vo výške 1,40 eur a od 1.7.2022 vo výške 1,50 eur</t>
    </r>
  </si>
  <si>
    <r>
      <t xml:space="preserve">4) uvádzajú sa </t>
    </r>
    <r>
      <rPr>
        <b/>
        <sz val="11"/>
        <rFont val="Times New Roman"/>
        <family val="1"/>
        <charset val="238"/>
      </rPr>
      <t>jedlá vydané študentom v zmluvných zariadeniach</t>
    </r>
    <r>
      <rPr>
        <sz val="11"/>
        <rFont val="Times New Roman"/>
        <family val="1"/>
        <charset val="238"/>
      </rPr>
      <t>, na ktoré sa poskytuje dotácia
na príspevok na jedlo do 30.6.2022 vo výške 1,40 eur a od 1.7.2022 vo výške 1,50 eur</t>
    </r>
  </si>
  <si>
    <r>
      <t>Priemerné náklady  na jedlo študenta v Eur [</t>
    </r>
    <r>
      <rPr>
        <sz val="12"/>
        <rFont val="Times New Roman"/>
        <family val="1"/>
        <charset val="238"/>
      </rPr>
      <t>R10</t>
    </r>
    <r>
      <rPr>
        <sz val="12"/>
        <rFont val="Times New Roman"/>
        <family val="1"/>
      </rPr>
      <t>/(R13+R14)]</t>
    </r>
  </si>
  <si>
    <t xml:space="preserve">Nevyčerpaná dotácia (+) / nedoplatok dotácie (-) k 31. 12. predchádzajúceho roka  
[R4_SC = R6_SA]                         </t>
  </si>
  <si>
    <t xml:space="preserve">Výdavky na tehotenské štipendiá (§ 96 zákona) za kalendárny rok </t>
  </si>
  <si>
    <r>
      <t>Počet študentov poberajúcich tehotenské štipendiá v osobomesiacoch</t>
    </r>
    <r>
      <rPr>
        <b/>
        <sz val="9"/>
        <rFont val="Times New Roman"/>
        <family val="1"/>
        <charset val="238"/>
      </rPr>
      <t xml:space="preserve"> </t>
    </r>
    <r>
      <rPr>
        <b/>
        <vertAlign val="superscript"/>
        <sz val="14"/>
        <rFont val="Times New Roman"/>
        <family val="1"/>
        <charset val="238"/>
      </rPr>
      <t>1)</t>
    </r>
  </si>
  <si>
    <r>
      <t xml:space="preserve">Počet študentov poberajúcich tehotenské štipendiá </t>
    </r>
    <r>
      <rPr>
        <b/>
        <vertAlign val="superscript"/>
        <sz val="14"/>
        <rFont val="Times New Roman"/>
        <family val="1"/>
        <charset val="238"/>
      </rPr>
      <t>2)</t>
    </r>
  </si>
  <si>
    <t>Príjem z dotácie poskytnutej na tehotenské štipendiá v rámci dotačnej zmluvy z kapitoly     MŠVVaŠ k 31.12.</t>
  </si>
  <si>
    <r>
      <t>1) V stĺpcoch B a D sa uvádza prepočítaný počet študentiek určený ako počet osobomesiacov, počas ktorých bolo poskytované tehotenské štipendium</t>
    </r>
    <r>
      <rPr>
        <b/>
        <sz val="11"/>
        <rFont val="Times New Roman"/>
        <family val="1"/>
        <charset val="238"/>
      </rPr>
      <t>.</t>
    </r>
    <r>
      <rPr>
        <sz val="11"/>
        <rFont val="Times New Roman"/>
        <family val="1"/>
        <charset val="238"/>
      </rPr>
      <t xml:space="preserve"> </t>
    </r>
  </si>
  <si>
    <t xml:space="preserve">2) V stĺpcoch B a D sa uvádza celkový (fyzický) počet študentiek, ktorým bolo v príslušnom kalendárnom roku poskytnuté motivačné štipendium bez ohľadu na počet mesiacov. </t>
  </si>
  <si>
    <t>uvádzajú sa štipendiá vyplatené zo štátneho rozpočtu, kód v CRŠ: 1</t>
  </si>
  <si>
    <t xml:space="preserve">Výdavky na sociálne štipendiá (§ 96 zákona) za kalendárny rok </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</si>
  <si>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</si>
  <si>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 xml:space="preserve">Počet študentov poberajúcich sociálne štipendiá </t>
    </r>
    <r>
      <rPr>
        <b/>
        <vertAlign val="superscript"/>
        <sz val="14"/>
        <rFont val="Times New Roman"/>
        <family val="1"/>
        <charset val="238"/>
      </rPr>
      <t>2)</t>
    </r>
  </si>
  <si>
    <t>Príjem z dotácie poskytnutej na sociálne štipendiá v rámci dotačnej zmluvy z kapitoly MŠVVaŠ k 31.12.</t>
  </si>
  <si>
    <r>
      <t>1) V stĺpcoch B a D sa uvádza prepočítaný počet študentov určený ako počet osobomesiacov, počas ktorých bolo poskytované sociálne štipendium</t>
    </r>
    <r>
      <rPr>
        <b/>
        <sz val="11"/>
        <rFont val="Times New Roman"/>
        <family val="1"/>
        <charset val="238"/>
      </rPr>
      <t>.</t>
    </r>
  </si>
  <si>
    <t xml:space="preserve">2) V stĺpcoch B a D sa uvádza celkový (fyzický) počet študentov, ktorým bolo v príslušnom kalendárnom roku poskytnuté sociálne štipendium bez ohľadu na počet mesiacov. </t>
  </si>
  <si>
    <t xml:space="preserve">Počet študentov poberajúcich tehotenské štipendium </t>
  </si>
  <si>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2023</t>
    </r>
    <r>
      <rPr>
        <b/>
        <sz val="14"/>
        <color rgb="FFFF0000"/>
        <rFont val="Times New Roman"/>
        <family val="1"/>
        <charset val="238"/>
      </rPr>
      <t xml:space="preserve"> </t>
    </r>
    <r>
      <rPr>
        <b/>
        <sz val="14"/>
        <rFont val="Times New Roman"/>
        <family val="1"/>
      </rPr>
      <t xml:space="preserve">na programe 077 </t>
    </r>
  </si>
  <si>
    <r>
      <t>Tabuľka č. 2: Príjmy verejnej vysokej školy v roku 2023</t>
    </r>
    <r>
      <rPr>
        <b/>
        <sz val="14"/>
        <color rgb="FFFF0000"/>
        <rFont val="Times New Roman"/>
        <family val="1"/>
        <charset val="238"/>
      </rPr>
      <t xml:space="preserve"> </t>
    </r>
    <r>
      <rPr>
        <b/>
        <sz val="14"/>
        <rFont val="Times New Roman"/>
        <family val="1"/>
        <charset val="238"/>
      </rPr>
      <t>majúce charakter dotácie okrem príjmov z dotácií 
 z  kapitoly MŠVVaŠ SR a okrem prostriedkov EÚ (štrukturálnych  fondov)</t>
    </r>
  </si>
  <si>
    <t>Tabuľka č. 3: Výnosy verejnej vysokej školy v rokoch 2022 a 2023</t>
  </si>
  <si>
    <t>Rozdiel 2023-2022</t>
  </si>
  <si>
    <r>
      <t>Tabuľka č. 4: Výnosy verejnej vysokej školy zo školného a z poplatkov spojených so štúdiom  
v rokoch 2022</t>
    </r>
    <r>
      <rPr>
        <b/>
        <sz val="14"/>
        <color rgb="FFFF0000"/>
        <rFont val="Times New Roman"/>
        <family val="1"/>
        <charset val="238"/>
      </rPr>
      <t xml:space="preserve"> </t>
    </r>
    <r>
      <rPr>
        <b/>
        <sz val="14"/>
        <rFont val="Times New Roman"/>
        <family val="1"/>
        <charset val="238"/>
      </rPr>
      <t>a 2023</t>
    </r>
    <r>
      <rPr>
        <b/>
        <sz val="14"/>
        <color rgb="FFFF0000"/>
        <rFont val="Times New Roman"/>
        <family val="1"/>
        <charset val="238"/>
      </rPr>
      <t xml:space="preserve"> </t>
    </r>
  </si>
  <si>
    <t>Tabuľka č. 5: Náklady verejnej vysokej školy v rokoch 2022 a 2023</t>
  </si>
  <si>
    <t>Tabuľka č. 6: Zamestnanci a náklady na mzdy verejnej vysokej školy v roku 2023</t>
  </si>
  <si>
    <t>Priemerný evidenčný prepočítaný počet zamestnancov za rok 2023</t>
  </si>
  <si>
    <t>Tabuľka č. 6a: Zamestnanci a náklady na mzdy verejnej vysokej školy v roku 2023 - len ženy a výpočet priemerného platu mužov</t>
  </si>
  <si>
    <r>
      <t xml:space="preserve">Priemerný evidenčný prepočítaný počet </t>
    </r>
    <r>
      <rPr>
        <b/>
        <sz val="12"/>
        <rFont val="Times New Roman"/>
        <family val="1"/>
        <charset val="238"/>
      </rPr>
      <t>žien</t>
    </r>
    <r>
      <rPr>
        <b/>
        <sz val="12"/>
        <rFont val="Times New Roman"/>
        <family val="1"/>
      </rPr>
      <t xml:space="preserve"> za rok 2023</t>
    </r>
  </si>
  <si>
    <t>Tabuľka č. 7: Náklady verejnej vysokej školy na štipendiá doktorandov v dennej forme štúdia v roku 2023</t>
  </si>
  <si>
    <t>Počet osobomesiacov interných doktorandov spolu za 2023</t>
  </si>
  <si>
    <t>Tabuľka č. 8: Údaje o systéme sociálnej podpory - časť sociálne štipendiá (§ 96 zákona) 
za roky 2022 a 2023</t>
  </si>
  <si>
    <t>Tabuľka č. 8a: Údaje o systéme sociálnej podpory - časť tehotenské štipendiá (§ 96b zákona) 
za roky 2022 a 2023</t>
  </si>
  <si>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2022 a 2023</t>
    </r>
  </si>
  <si>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2022 a 2023</t>
    </r>
  </si>
  <si>
    <t>Tabuľka č. 11: Zdroje verejnej vysokej školy na obstaranie a technické zhodnotenie dlhodobého majetku v rokoch 2022 a 2023</t>
  </si>
  <si>
    <t>Tabuľka č. 12: Výdavky verejnej vysokej školy na obstaranie a technické zhodnotenie dlhodobého majetku v roku 2023</t>
  </si>
  <si>
    <r>
      <t>Čerpanie kapitálovej dotácie v roku 2023</t>
    </r>
    <r>
      <rPr>
        <b/>
        <sz val="11"/>
        <color theme="1"/>
        <rFont val="Times New Roman"/>
        <family val="1"/>
      </rPr>
      <t xml:space="preserve">
zo štátneho rozpočtu (111)</t>
    </r>
  </si>
  <si>
    <r>
      <t xml:space="preserve">Čerpanie kapitálovej dotácie v roku 2023
</t>
    </r>
    <r>
      <rPr>
        <b/>
        <sz val="11"/>
        <color theme="1"/>
        <rFont val="Times New Roman"/>
        <family val="1"/>
      </rPr>
      <t>z prostriedkov EÚ (štrukturálnych fondov)</t>
    </r>
  </si>
  <si>
    <t xml:space="preserve">Čerpanie bežnej dotácie v roku 2023 prostredníctvom fondu reprodukcie </t>
  </si>
  <si>
    <t>Tabuľka č. 13: Stav a vývoj finančných fondov verejnej vysokej školy v rokoch 2022 a 2023</t>
  </si>
  <si>
    <t>Tabuľka č. 14: Príjmy verejnej vysokej školy z prostriedkov Plánu obnovy a odolnosti z kapitoly MŠVVaŠ SR a z iných kapitol v roku 2023</t>
  </si>
  <si>
    <t>Dotácie spolu bežné a kapitálové v roku 2023</t>
  </si>
  <si>
    <t>Tabuľka č. 15: Príjmy verejnej vysokej školy v roku 2023 z rozvojových projektov na zmiernenie negatívnych dôsledkov vojny na Ukrajine</t>
  </si>
  <si>
    <t>Dotácie spolu v roku 2023</t>
  </si>
  <si>
    <t>Tabuľka č. 16: Štruktúra a stav finančných prostriedkov na bankových účtoch verejnej vysokej školy
   k 31. decembru 2023</t>
  </si>
  <si>
    <t>Stav účtu k 31.12.2023</t>
  </si>
  <si>
    <r>
      <t>Tabuľka č. 18: Príjmy z dotácií verejnej vysokej škole zo štátneho rozpočtu z kapitoly MŠVVaŠ SR 
poskytnuté mimo programu 077 a mimo príjmov z prostriedkov EÚ (zo štrukturálnych fondov) v roku 2023</t>
    </r>
    <r>
      <rPr>
        <sz val="14"/>
        <rFont val="Times New Roman"/>
        <family val="1"/>
      </rPr>
      <t xml:space="preserve">
</t>
    </r>
  </si>
  <si>
    <t xml:space="preserve">Tabuľka č. 19: Štipendiá z vlastných zdrojov podľa § 97 zákona v rokoch 2022 a 2023 </t>
  </si>
  <si>
    <t xml:space="preserve">Tabuľka č. 20: Motivačné štipendiá  v rokoch 2022 a 2023 (v zmysle § 96a zákona )  </t>
  </si>
  <si>
    <t>Tabuľka č. 20b: Štipendiá z rozvojových projektov (RP) a iných zdrojov určené na zmiernenie negatívnych dôsledkov vojny na Ukrajine za rok 2023</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</si>
  <si>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v rokoch 2022 a 2023</t>
    </r>
  </si>
  <si>
    <t>Stav k 31.12.2022</t>
  </si>
  <si>
    <t>Stav k 31.12.2023</t>
  </si>
  <si>
    <t xml:space="preserve">Tabuľka č. 22: Výnosy verejnej vysokej školy v roku 2023 v oblasti sociálnej podpory študentov </t>
  </si>
  <si>
    <t>Výnosy
v hlavnej činnosti
2022</t>
  </si>
  <si>
    <t>Výnosy
hlavnej činnosti
2023</t>
  </si>
  <si>
    <t xml:space="preserve">Tabuľka č .23:  Náklady verejnej vysokej školy v roku 2023 v oblasti sociálnej podpory študentov </t>
  </si>
  <si>
    <t>Náklady
hlavnej činnosti
2023</t>
  </si>
  <si>
    <t>Tabuľka č. 24: Príjmy a výdavky VVŠ určené na rozvojové projekty na podprograme 077 13 - Rozvoj vysokého školstva do roku 2022 a za roky 2022 a 2023</t>
  </si>
  <si>
    <t>príjmy z 077 13 do roku 2022 spolu</t>
  </si>
  <si>
    <t>výdavky z 077 13 do roku 2022 spolu</t>
  </si>
  <si>
    <t>zostatok nevyčerpanej dotácie z 077 13 do roku 2022 spolu</t>
  </si>
  <si>
    <t>zostatok nevyčerpanej dotácie z 077 13 v roku 2022</t>
  </si>
  <si>
    <t>príjmy z 077 13 v roku 2023</t>
  </si>
  <si>
    <t>výdavky z 077 13 v roku 2023</t>
  </si>
  <si>
    <t>zostatok nevyčerpanej dotácie z predchádzajúceho roka, t. j. k 31.12.2023.</t>
  </si>
  <si>
    <t xml:space="preserve">pozn.: aktívne projekty, ktoré boli aktívne v roku 2023, príp. sa čerpali finačné zdroje v roku 2023 </t>
  </si>
  <si>
    <t>uvádzajú sa iné štipendiá vyplatené z POO</t>
  </si>
  <si>
    <t>Príjem z dotácie poskytnutej na štipendiá z POO v rámci zmluvy k 31.12. - mimo komponent 10</t>
  </si>
  <si>
    <r>
      <t>Počet študentov poberajúcich štipendiá z POO v osobomesiacoch</t>
    </r>
    <r>
      <rPr>
        <b/>
        <sz val="9"/>
        <rFont val="Times New Roman"/>
        <family val="1"/>
        <charset val="238"/>
      </rPr>
      <t xml:space="preserve"> </t>
    </r>
    <r>
      <rPr>
        <b/>
        <vertAlign val="superscript"/>
        <sz val="14"/>
        <rFont val="Times New Roman"/>
        <family val="1"/>
        <charset val="238"/>
      </rPr>
      <t>1)</t>
    </r>
  </si>
  <si>
    <t xml:space="preserve">Výdavky na štipendiá z POO za kalendárny rok </t>
  </si>
  <si>
    <t>Tabuľka č. 20a: Štipendiá z Plánu obnovy a odolnosti - POO 
za rok 2023</t>
  </si>
  <si>
    <t>uvádzajú sa štipendiá vyplatené z POO, kód v CRŠ: 27 - zahraniční študenti</t>
  </si>
  <si>
    <r>
      <t>- počet vydaných jedál študentom vo vlastných zariadeniach do 30.6.2022</t>
    </r>
    <r>
      <rPr>
        <vertAlign val="superscript"/>
        <sz val="12"/>
        <color rgb="FFFF0000"/>
        <rFont val="Times New Roman"/>
        <family val="1"/>
      </rPr>
      <t xml:space="preserve"> 3)</t>
    </r>
  </si>
  <si>
    <r>
      <t>- počet vydaných jedál študentom vo vlastných zariadeniach od 1.7.2022</t>
    </r>
    <r>
      <rPr>
        <vertAlign val="superscript"/>
        <sz val="12"/>
        <color rgb="FFFF0000"/>
        <rFont val="Times New Roman"/>
        <family val="1"/>
      </rPr>
      <t xml:space="preserve"> 3)</t>
    </r>
  </si>
  <si>
    <r>
      <t>- počet vydaných jedál študentom v zmluvných zariadeniach do 30.6.2022</t>
    </r>
    <r>
      <rPr>
        <vertAlign val="superscript"/>
        <sz val="12"/>
        <color rgb="FFFF0000"/>
        <rFont val="Times New Roman"/>
        <family val="1"/>
      </rPr>
      <t xml:space="preserve"> 4)</t>
    </r>
  </si>
  <si>
    <r>
      <t>- počet vydaných jedál študentom v zmluvných zariadeniach od 1.7.2022</t>
    </r>
    <r>
      <rPr>
        <vertAlign val="superscript"/>
        <sz val="12"/>
        <color rgb="FFFF0000"/>
        <rFont val="Times New Roman"/>
        <family val="1"/>
      </rPr>
      <t xml:space="preserve"> 4)</t>
    </r>
  </si>
  <si>
    <t xml:space="preserve">1) V stĺpcoch B, D, F a H sa uvádza prepočítaný počet študentov určený ako počet osobomesiacov, počas ktorých bolo poskytované štipendium z POO. </t>
  </si>
  <si>
    <t xml:space="preserve">2) V stĺpcoch B, D, F a H sa uvádza celkový (fyzický) počet študentov, ktorým bolo v príslušnom kalendárnom roku poskytnuté štipendium z POO bez ohľadu na počet mesiacov. </t>
  </si>
  <si>
    <t>uvádzajú sa štipendiá vyplatené z POO, kód v CRŠ: 24 - talentovaní študenti</t>
  </si>
  <si>
    <t>uvádzajú sa štipendiá vyplatené z POO, kód v CRŠ: 25 - znevýhodnení študenti</t>
  </si>
  <si>
    <t>uvádzajú sa štipendiá vyplatené zo ŠR - rozvojové projekty, kód v CRŠ: 26</t>
  </si>
  <si>
    <t>Príjmy VVŠ z kapitoly MŠVVaŠ SR</t>
  </si>
  <si>
    <t>Príjmy VVŠ z iných kapitol ako MŠVVaŠ SR</t>
  </si>
  <si>
    <t>časové rozlíšenie</t>
  </si>
  <si>
    <t xml:space="preserve">Nevyčerpaná dotácia (+) / nedoplatok dotácie (-) k 31. 12. predchádzajúceho roka      </t>
  </si>
  <si>
    <t xml:space="preserve">Nevyčerpaná dotácia na štipendiá z RP (+) / nedoplatok dotácie (-) k 31. 12. predchádzajúceho roka      </t>
  </si>
  <si>
    <r>
      <t xml:space="preserve">Príjem z dotácie poskytnutej na štipendiá z POO v rámci zmluvy z kapitoly MŠVVaŠ k 31.12. - </t>
    </r>
    <r>
      <rPr>
        <b/>
        <sz val="12"/>
        <color rgb="FFFF0000"/>
        <rFont val="Times New Roman"/>
        <family val="1"/>
        <charset val="238"/>
      </rPr>
      <t>komponent 10</t>
    </r>
  </si>
  <si>
    <t>- tvorba fondu z odpisov (účet 413 116 , účet 413 916)</t>
  </si>
  <si>
    <t>zostatkový účet VVŠ</t>
  </si>
  <si>
    <t>Tabuľka č. 17: Príjmy verejnej vysokej školy z prostriedkov EÚ a z prostriedkov na ich spolufinancovanie 
zo štátneho rozpočtu v roku 2023</t>
  </si>
  <si>
    <t>Výdavky - vrátenie príjmov zo zostatku dotácie min. rokov</t>
  </si>
  <si>
    <r>
      <t>Nevyčerpaná dotácia (+) / nedoplatok dotácie (-) k 31. 12. bežného roka</t>
    </r>
    <r>
      <rPr>
        <sz val="12"/>
        <rFont val="Times New Roman"/>
        <family val="1"/>
        <charset val="238"/>
      </rPr>
      <t xml:space="preserve"> [R3+R4-R6-R7]; [R3+R5-R6-R7]  pre SG a SH        </t>
    </r>
    <r>
      <rPr>
        <b/>
        <sz val="12"/>
        <rFont val="Times New Roman"/>
        <family val="1"/>
        <charset val="238"/>
      </rPr>
      <t xml:space="preserve">               </t>
    </r>
  </si>
  <si>
    <t>Časové rozlíšenie -  štipendiá za rok 2023, vyplatené VVŠ v roku 2024</t>
  </si>
  <si>
    <t>Časové rozlíšenie - štipendiá za rok 2022,  vyplatené VVŠ v roku 2023</t>
  </si>
  <si>
    <t xml:space="preserve">Výdavky na štipendiá z RP určené na zmiernenie negatívnych dôsledkov vojny na Ukrajine za kalendárny rok </t>
  </si>
  <si>
    <r>
      <t>Preplatok dotácie (+) / nedoplatok dotácie (-) k 31. 12. bežného roka</t>
    </r>
    <r>
      <rPr>
        <sz val="12"/>
        <rFont val="Times New Roman"/>
        <family val="1"/>
        <charset val="238"/>
      </rPr>
      <t xml:space="preserve"> [R3+R4-R5-R6]          </t>
    </r>
    <r>
      <rPr>
        <b/>
        <sz val="12"/>
        <rFont val="Times New Roman"/>
        <family val="1"/>
        <charset val="238"/>
      </rPr>
      <t xml:space="preserve">               </t>
    </r>
  </si>
  <si>
    <r>
      <t xml:space="preserve">Priemerné štipendium na 1 študenta na mesiac </t>
    </r>
    <r>
      <rPr>
        <sz val="12"/>
        <rFont val="Times New Roman"/>
        <family val="1"/>
        <charset val="238"/>
      </rPr>
      <t xml:space="preserve"> [R5_SA/R1_SB resp. R5_SC/R1_SD] </t>
    </r>
  </si>
  <si>
    <t>Zúčtovanie zákonných opravných položiek (659)</t>
  </si>
  <si>
    <t>Zákonné poplatky</t>
  </si>
  <si>
    <t>Tržby z predaja DNM a DHM</t>
  </si>
  <si>
    <t>Prijaté príspevky od právnických osôb</t>
  </si>
  <si>
    <r>
      <t xml:space="preserve">- príspevok na úhradu výdavkov zahraničných študentov DZS (účet 648 016) </t>
    </r>
    <r>
      <rPr>
        <vertAlign val="superscript"/>
        <sz val="12"/>
        <rFont val="Times New Roman"/>
        <family val="1"/>
        <charset val="238"/>
      </rPr>
      <t/>
    </r>
  </si>
  <si>
    <t>- poplatky za ďalšie vzdelávanie (účet 648 007)</t>
  </si>
  <si>
    <t>- poplatky za kvalifikačné skúšky (účet 648 008)</t>
  </si>
  <si>
    <t>- poplatky za doplňujúce skúšky (účet 648 009)</t>
  </si>
  <si>
    <t>- vložné na konferencie, semináre organizované fakultou (účet 648 018)</t>
  </si>
  <si>
    <t>- samoplatci - doplnkové pedagogické štúdium pre absolventov (účet 648 019)</t>
  </si>
  <si>
    <t>- poplatky za habilitačné konanie (§76 ods. 9) (účet 648 022)</t>
  </si>
  <si>
    <r>
      <t>Výnosy zo školného</t>
    </r>
    <r>
      <rPr>
        <sz val="12"/>
        <color indexed="8"/>
        <rFont val="Times New Roman"/>
        <family val="1"/>
      </rPr>
      <t xml:space="preserve"> [SUM (R2:R11)]</t>
    </r>
  </si>
  <si>
    <t>Výnosy zo školného (účet 648) [SUM(R21:R31)]</t>
  </si>
  <si>
    <r>
      <t>Iné ostatné výnosy (účet 646, 649)</t>
    </r>
    <r>
      <rPr>
        <b/>
        <sz val="14"/>
        <rFont val="Times New Roman"/>
        <family val="1"/>
        <charset val="238"/>
      </rPr>
      <t xml:space="preserve"> </t>
    </r>
    <r>
      <rPr>
        <b/>
        <sz val="12"/>
        <rFont val="Times New Roman"/>
        <family val="1"/>
        <charset val="238"/>
      </rPr>
      <t>[SUM(</t>
    </r>
    <r>
      <rPr>
        <b/>
        <sz val="12"/>
        <color rgb="FFFF0000"/>
        <rFont val="Times New Roman"/>
        <family val="1"/>
        <charset val="238"/>
      </rPr>
      <t>R42:R51</t>
    </r>
    <r>
      <rPr>
        <b/>
        <sz val="12"/>
        <rFont val="Times New Roman"/>
        <family val="1"/>
        <charset val="238"/>
      </rPr>
      <t>)]</t>
    </r>
  </si>
  <si>
    <r>
      <t>Výnosy z použitia fondov (účet 656) [SUM(</t>
    </r>
    <r>
      <rPr>
        <b/>
        <sz val="12"/>
        <color rgb="FFFF0000"/>
        <rFont val="Times New Roman"/>
        <family val="1"/>
        <charset val="238"/>
      </rPr>
      <t>R58:R62</t>
    </r>
    <r>
      <rPr>
        <b/>
        <sz val="12"/>
        <color theme="1"/>
        <rFont val="Times New Roman"/>
        <family val="1"/>
        <charset val="238"/>
      </rPr>
      <t xml:space="preserve">)]  </t>
    </r>
    <r>
      <rPr>
        <b/>
        <vertAlign val="superscript"/>
        <sz val="12"/>
        <color theme="1"/>
        <rFont val="Times New Roman"/>
        <family val="1"/>
        <charset val="238"/>
      </rPr>
      <t xml:space="preserve"> 1)</t>
    </r>
  </si>
  <si>
    <r>
      <t xml:space="preserve">- čistiace, hygienické a dezinfekčné potreby (účty 501 008, 501 020, </t>
    </r>
    <r>
      <rPr>
        <sz val="12"/>
        <color rgb="FFFF0000"/>
        <rFont val="Times New Roman"/>
        <family val="1"/>
        <charset val="238"/>
      </rPr>
      <t>501 058</t>
    </r>
    <r>
      <rPr>
        <sz val="12"/>
        <color theme="1"/>
        <rFont val="Times New Roman"/>
        <family val="1"/>
      </rPr>
      <t>)</t>
    </r>
  </si>
  <si>
    <r>
      <t xml:space="preserve">- ostatný materiál (účty 501 099, 501 030, </t>
    </r>
    <r>
      <rPr>
        <sz val="12"/>
        <color rgb="FFFF0000"/>
        <rFont val="Times New Roman"/>
        <family val="1"/>
        <charset val="238"/>
      </rPr>
      <t>501 515</t>
    </r>
    <r>
      <rPr>
        <sz val="12"/>
        <color theme="1"/>
        <rFont val="Times New Roman"/>
        <family val="1"/>
      </rPr>
      <t>, 501 516, 501 519, 501 599)</t>
    </r>
  </si>
  <si>
    <r>
      <t xml:space="preserve">    - </t>
    </r>
    <r>
      <rPr>
        <sz val="12"/>
        <color rgb="FFFF0000"/>
        <rFont val="Times New Roman"/>
        <family val="1"/>
        <charset val="238"/>
      </rPr>
      <t>zamestnanci mimo pracovný pomer (účet 521 014)</t>
    </r>
  </si>
  <si>
    <r>
      <t xml:space="preserve"> - OON </t>
    </r>
    <r>
      <rPr>
        <sz val="12"/>
        <color theme="1"/>
        <rFont val="Times New Roman"/>
        <family val="1"/>
      </rPr>
      <t>[SUM(</t>
    </r>
    <r>
      <rPr>
        <sz val="12"/>
        <color rgb="FFFF0000"/>
        <rFont val="Times New Roman"/>
        <family val="1"/>
        <charset val="238"/>
      </rPr>
      <t>R58:R61</t>
    </r>
    <r>
      <rPr>
        <sz val="12"/>
        <color theme="1"/>
        <rFont val="Times New Roman"/>
        <family val="1"/>
      </rPr>
      <t>)]</t>
    </r>
  </si>
  <si>
    <r>
      <t xml:space="preserve">- ostatné iné náklady (účty 549 011, 549 013, 549 021, 549 098-099, </t>
    </r>
    <r>
      <rPr>
        <sz val="12"/>
        <color rgb="FFFF0000"/>
        <rFont val="Times New Roman"/>
        <family val="1"/>
        <charset val="238"/>
      </rPr>
      <t>549 512</t>
    </r>
    <r>
      <rPr>
        <sz val="12"/>
        <color theme="1"/>
        <rFont val="Times New Roman"/>
        <family val="1"/>
      </rPr>
      <t>)</t>
    </r>
  </si>
  <si>
    <r>
      <t xml:space="preserve">- náklady na tvorbu ostatných fondov (účty 556 510, 556 520, </t>
    </r>
    <r>
      <rPr>
        <sz val="12"/>
        <color rgb="FFFF0000"/>
        <rFont val="Times New Roman"/>
        <family val="1"/>
        <charset val="238"/>
      </rPr>
      <t>556 600</t>
    </r>
    <r>
      <rPr>
        <sz val="12"/>
        <color theme="1"/>
        <rFont val="Times New Roman"/>
        <family val="1"/>
      </rPr>
      <t xml:space="preserve">) </t>
    </r>
  </si>
  <si>
    <r>
      <t xml:space="preserve">- iné analyticky sledované výnosy (účty 602 002-007, </t>
    </r>
    <r>
      <rPr>
        <sz val="12"/>
        <color rgb="FFFF0000"/>
        <rFont val="Times New Roman"/>
        <family val="1"/>
        <charset val="238"/>
      </rPr>
      <t>602</t>
    </r>
    <r>
      <rPr>
        <sz val="12"/>
        <color theme="1"/>
        <rFont val="Times New Roman"/>
        <family val="1"/>
      </rPr>
      <t xml:space="preserve"> 011-</t>
    </r>
    <r>
      <rPr>
        <sz val="12"/>
        <color rgb="FFFF0000"/>
        <rFont val="Times New Roman"/>
        <family val="1"/>
        <charset val="238"/>
      </rPr>
      <t>021</t>
    </r>
    <r>
      <rPr>
        <sz val="12"/>
        <color theme="1"/>
        <rFont val="Times New Roman"/>
        <family val="1"/>
      </rPr>
      <t xml:space="preserve">, 602 099, 602 199, </t>
    </r>
    <r>
      <rPr>
        <sz val="12"/>
        <color rgb="FFFF0000"/>
        <rFont val="Times New Roman"/>
        <family val="1"/>
        <charset val="238"/>
      </rPr>
      <t>602 801-602 806</t>
    </r>
    <r>
      <rPr>
        <sz val="12"/>
        <color theme="1"/>
        <rFont val="Times New Roman"/>
        <family val="1"/>
      </rPr>
      <t>)</t>
    </r>
  </si>
  <si>
    <r>
      <t xml:space="preserve"> '- ostatné výnosy (účty 649 001-8, 649 012, </t>
    </r>
    <r>
      <rPr>
        <sz val="12"/>
        <color rgb="FFFF0000"/>
        <rFont val="Times New Roman"/>
        <family val="1"/>
        <charset val="238"/>
      </rPr>
      <t>649</t>
    </r>
    <r>
      <rPr>
        <sz val="12"/>
        <rFont val="Times New Roman"/>
        <family val="1"/>
        <charset val="238"/>
      </rPr>
      <t xml:space="preserve"> 019-</t>
    </r>
    <r>
      <rPr>
        <sz val="12"/>
        <color rgb="FFFF0000"/>
        <rFont val="Times New Roman"/>
        <family val="1"/>
        <charset val="238"/>
      </rPr>
      <t>027</t>
    </r>
    <r>
      <rPr>
        <sz val="12"/>
        <rFont val="Times New Roman"/>
        <family val="1"/>
        <charset val="238"/>
      </rPr>
      <t>, 649 098, 649 099, 649 113)</t>
    </r>
  </si>
  <si>
    <r>
      <t xml:space="preserve">- ostatných fondov (účty 656 510, 656 520, </t>
    </r>
    <r>
      <rPr>
        <sz val="12"/>
        <color rgb="FFFF0000"/>
        <rFont val="Times New Roman"/>
        <family val="1"/>
        <charset val="238"/>
      </rPr>
      <t>656 600</t>
    </r>
    <r>
      <rPr>
        <sz val="12"/>
        <rFont val="Times New Roman"/>
        <family val="1"/>
        <charset val="238"/>
      </rPr>
      <t>)</t>
    </r>
  </si>
  <si>
    <r>
      <t xml:space="preserve">Zákonné sociálne náklady (účet 527) </t>
    </r>
    <r>
      <rPr>
        <sz val="12"/>
        <color theme="1"/>
        <rFont val="Times New Roman"/>
        <family val="1"/>
      </rPr>
      <t>[SUM(</t>
    </r>
    <r>
      <rPr>
        <sz val="12"/>
        <color rgb="FFFF0000"/>
        <rFont val="Times New Roman"/>
        <family val="1"/>
        <charset val="238"/>
      </rPr>
      <t>R65:R70</t>
    </r>
    <r>
      <rPr>
        <sz val="12"/>
        <color theme="1"/>
        <rFont val="Times New Roman"/>
        <family val="1"/>
      </rPr>
      <t>)]</t>
    </r>
  </si>
  <si>
    <r>
      <t>Ostatné náklady (účtová skupina 54)</t>
    </r>
    <r>
      <rPr>
        <sz val="12"/>
        <color theme="1"/>
        <rFont val="Times New Roman"/>
        <family val="1"/>
      </rPr>
      <t xml:space="preserve"> [</t>
    </r>
    <r>
      <rPr>
        <sz val="12"/>
        <color rgb="FFFF0000"/>
        <rFont val="Times New Roman"/>
        <family val="1"/>
        <charset val="238"/>
      </rPr>
      <t>R76+ R77</t>
    </r>
    <r>
      <rPr>
        <sz val="12"/>
        <color theme="1"/>
        <rFont val="Times New Roman"/>
        <family val="1"/>
      </rPr>
      <t>]</t>
    </r>
  </si>
  <si>
    <r>
      <t>- Iné ostatné  náklady (účet 549) [SUM(</t>
    </r>
    <r>
      <rPr>
        <b/>
        <sz val="12"/>
        <color rgb="FFFF0000"/>
        <rFont val="Times New Roman"/>
        <family val="1"/>
        <charset val="238"/>
      </rPr>
      <t>R78:R84</t>
    </r>
    <r>
      <rPr>
        <b/>
        <sz val="12"/>
        <color theme="1"/>
        <rFont val="Times New Roman"/>
        <family val="1"/>
      </rPr>
      <t>)]</t>
    </r>
  </si>
  <si>
    <r>
      <t xml:space="preserve">Odpisy, predaný majetok a opravné položky (účtová skupina 55: 551 až 558) </t>
    </r>
    <r>
      <rPr>
        <sz val="12"/>
        <color theme="1"/>
        <rFont val="Times New Roman"/>
        <family val="1"/>
      </rPr>
      <t>[SUM(</t>
    </r>
    <r>
      <rPr>
        <sz val="12"/>
        <color rgb="FFFF0000"/>
        <rFont val="Times New Roman"/>
        <family val="1"/>
        <charset val="238"/>
      </rPr>
      <t>R86:R93</t>
    </r>
    <r>
      <rPr>
        <sz val="12"/>
        <color theme="1"/>
        <rFont val="Times New Roman"/>
        <family val="1"/>
      </rPr>
      <t>)]</t>
    </r>
  </si>
  <si>
    <r>
      <t xml:space="preserve">v </t>
    </r>
    <r>
      <rPr>
        <i/>
        <sz val="12"/>
        <color rgb="FFFF0000"/>
        <rFont val="Times New Roman"/>
        <family val="1"/>
        <charset val="238"/>
      </rPr>
      <t>R91</t>
    </r>
    <r>
      <rPr>
        <i/>
        <sz val="12"/>
        <color theme="1"/>
        <rFont val="Times New Roman"/>
        <family val="1"/>
      </rPr>
      <t xml:space="preserve"> ide o náklady na tvorbu FR z predaja a likvidácie majetku = T11R5=T13R5</t>
    </r>
  </si>
  <si>
    <r>
      <t xml:space="preserve">1) V </t>
    </r>
    <r>
      <rPr>
        <sz val="12"/>
        <color rgb="FFFF0000"/>
        <rFont val="Times New Roman"/>
        <family val="1"/>
        <charset val="238"/>
      </rPr>
      <t>R58-62</t>
    </r>
    <r>
      <rPr>
        <sz val="12"/>
        <rFont val="Times New Roman"/>
        <family val="1"/>
      </rPr>
      <t xml:space="preserve"> sa uvedú výnosy účtované v súvislosti s použitím  príslušného fondu.  </t>
    </r>
  </si>
  <si>
    <r>
      <t xml:space="preserve">Spolu </t>
    </r>
    <r>
      <rPr>
        <sz val="12"/>
        <color theme="1"/>
        <rFont val="Times New Roman"/>
        <family val="1"/>
      </rPr>
      <t>[R1+R14+R21+R22+R27+R35+R38+R39+R55+SUM (</t>
    </r>
    <r>
      <rPr>
        <sz val="12"/>
        <color rgb="FFFF0000"/>
        <rFont val="Times New Roman"/>
        <family val="1"/>
        <charset val="238"/>
      </rPr>
      <t>R62:R63</t>
    </r>
    <r>
      <rPr>
        <sz val="12"/>
        <color theme="1"/>
        <rFont val="Times New Roman"/>
        <family val="1"/>
      </rPr>
      <t>)</t>
    </r>
    <r>
      <rPr>
        <sz val="12"/>
        <color rgb="FFFF0000"/>
        <rFont val="Times New Roman"/>
        <family val="1"/>
        <charset val="238"/>
      </rPr>
      <t>+R64</t>
    </r>
    <r>
      <rPr>
        <sz val="12"/>
        <color theme="1"/>
        <rFont val="Times New Roman"/>
        <family val="1"/>
      </rPr>
      <t>+SUM (</t>
    </r>
    <r>
      <rPr>
        <sz val="12"/>
        <color rgb="FFFF0000"/>
        <rFont val="Times New Roman"/>
        <family val="1"/>
        <charset val="238"/>
      </rPr>
      <t>R71:R74</t>
    </r>
    <r>
      <rPr>
        <sz val="12"/>
        <color theme="1"/>
        <rFont val="Times New Roman"/>
        <family val="1"/>
      </rPr>
      <t>)</t>
    </r>
    <r>
      <rPr>
        <sz val="12"/>
        <color rgb="FFFF0000"/>
        <rFont val="Times New Roman"/>
        <family val="1"/>
        <charset val="238"/>
      </rPr>
      <t>+R75+R77+R85+R94+R95+R96</t>
    </r>
    <r>
      <rPr>
        <sz val="12"/>
        <color theme="1"/>
        <rFont val="Times New Roman"/>
        <family val="1"/>
      </rPr>
      <t>]</t>
    </r>
  </si>
  <si>
    <r>
      <t xml:space="preserve">- počítačové siete a prenosy údajov (účet 518 007, </t>
    </r>
    <r>
      <rPr>
        <sz val="12"/>
        <color rgb="FFFF0000"/>
        <rFont val="Times New Roman"/>
        <family val="1"/>
        <charset val="238"/>
      </rPr>
      <t>518 057</t>
    </r>
    <r>
      <rPr>
        <sz val="12"/>
        <color theme="1"/>
        <rFont val="Times New Roman"/>
        <family val="1"/>
      </rPr>
      <t>)</t>
    </r>
  </si>
  <si>
    <r>
      <t xml:space="preserve"> '- iné analyticky sledované náklady (účty 518 003, 518 013, 518 015-018, 518 020-030, 518 031-034, 518 036-038, </t>
    </r>
    <r>
      <rPr>
        <sz val="12"/>
        <color rgb="FFFF0000"/>
        <rFont val="Times New Roman"/>
        <family val="1"/>
        <charset val="238"/>
      </rPr>
      <t>518</t>
    </r>
    <r>
      <rPr>
        <sz val="12"/>
        <color theme="1"/>
        <rFont val="Times New Roman"/>
        <family val="1"/>
      </rPr>
      <t xml:space="preserve"> 040-</t>
    </r>
    <r>
      <rPr>
        <sz val="12"/>
        <color rgb="FFFF0000"/>
        <rFont val="Times New Roman"/>
        <family val="1"/>
        <charset val="238"/>
      </rPr>
      <t>042</t>
    </r>
    <r>
      <rPr>
        <sz val="12"/>
        <color theme="1"/>
        <rFont val="Times New Roman"/>
        <family val="1"/>
      </rPr>
      <t xml:space="preserve">, 518 052, 518 007, 518 057, 518 089, 518 099, 518 529-530, 518-599) </t>
    </r>
  </si>
  <si>
    <r>
      <t>Výnosy z poplatkov spojených so štúdiom</t>
    </r>
    <r>
      <rPr>
        <sz val="12"/>
        <rFont val="Times New Roman"/>
        <family val="1"/>
      </rPr>
      <t xml:space="preserve"> [SUM (</t>
    </r>
    <r>
      <rPr>
        <sz val="12"/>
        <color rgb="FFFF0000"/>
        <rFont val="Times New Roman"/>
        <family val="1"/>
        <charset val="238"/>
      </rPr>
      <t>R13:R18</t>
    </r>
    <r>
      <rPr>
        <sz val="12"/>
        <rFont val="Times New Roman"/>
        <family val="1"/>
      </rPr>
      <t>)]</t>
    </r>
  </si>
  <si>
    <r>
      <t>Výnosy z poplatkov spojených so štúdiom (účet 648) [SUM(</t>
    </r>
    <r>
      <rPr>
        <b/>
        <sz val="12"/>
        <color rgb="FFFF0000"/>
        <rFont val="Times New Roman"/>
        <family val="1"/>
        <charset val="238"/>
      </rPr>
      <t>R33:R38</t>
    </r>
    <r>
      <rPr>
        <b/>
        <sz val="12"/>
        <rFont val="Times New Roman"/>
        <family val="1"/>
      </rPr>
      <t xml:space="preserve">)] </t>
    </r>
  </si>
  <si>
    <t>- výnosy účtu 648 (účet 648 099)</t>
  </si>
  <si>
    <r>
      <t xml:space="preserve">Spolu </t>
    </r>
    <r>
      <rPr>
        <sz val="11"/>
        <color rgb="FFFF0000"/>
        <rFont val="Times New Roman"/>
        <family val="1"/>
        <charset val="238"/>
      </rPr>
      <t>[R1+R6+SUM(R17:R18)+R19+R20+R32+R39+R40 +R41+SUM(R52:R56)+R57+SUM(R63:R71)]</t>
    </r>
  </si>
  <si>
    <t>MZ SR projekt 07B0104 Rezident</t>
  </si>
  <si>
    <t>Min. zahraničných vecí SR FF,G-22-105/0001-00</t>
  </si>
  <si>
    <t>1c</t>
  </si>
  <si>
    <t>Sanet,G-19-190/0001-00</t>
  </si>
  <si>
    <t>1d</t>
  </si>
  <si>
    <t>Strakova SKEBA,G-23-190/0001-00</t>
  </si>
  <si>
    <t>1e</t>
  </si>
  <si>
    <t>APVV v spolupráci</t>
  </si>
  <si>
    <t xml:space="preserve"> Vyšehradský fond</t>
  </si>
  <si>
    <t>SK NIC Sokol</t>
  </si>
  <si>
    <t>3c</t>
  </si>
  <si>
    <t>BZ,UK,Rektorát, Prír.f. príspevky</t>
  </si>
  <si>
    <t>3d</t>
  </si>
  <si>
    <t>Príspevky pre TIP</t>
  </si>
  <si>
    <t>3e</t>
  </si>
  <si>
    <t>FoPa, Fin.mechanizmus.06P0B0601</t>
  </si>
  <si>
    <t>3f</t>
  </si>
  <si>
    <t>InStyle Vozáriková</t>
  </si>
  <si>
    <t>3g</t>
  </si>
  <si>
    <t>JUHAPHARM Martinková</t>
  </si>
  <si>
    <t>3h</t>
  </si>
  <si>
    <t>Summer school</t>
  </si>
  <si>
    <t>EFFUSe,  Spol.sekret.Budapešť,0DV060201,1AJ1</t>
  </si>
  <si>
    <t>H2020 River</t>
  </si>
  <si>
    <t>4c</t>
  </si>
  <si>
    <t>Projekt IMMERSE, Z-21-101/0002-08</t>
  </si>
  <si>
    <t>4d</t>
  </si>
  <si>
    <t>Response, Z-20-101/0001-08</t>
  </si>
  <si>
    <t>4e</t>
  </si>
  <si>
    <t>Konferencia XFEL,Z-22-190/0004-10</t>
  </si>
  <si>
    <t>4f</t>
  </si>
  <si>
    <t>Erasmus, Sokrates, SAAIC</t>
  </si>
  <si>
    <t>4g</t>
  </si>
  <si>
    <t>IMPRESA,Z-20-105/0001-10</t>
  </si>
  <si>
    <t>4h</t>
  </si>
  <si>
    <t>InnoChange, Z-21-190/0002-08</t>
  </si>
  <si>
    <t>4ch</t>
  </si>
  <si>
    <t>RARE, Spol.sekret.Budapešť, 0DV080901</t>
  </si>
  <si>
    <t>4i</t>
  </si>
  <si>
    <t>SCIROCCO Exchange, Z-23-101/0003-00</t>
  </si>
  <si>
    <t>4j</t>
  </si>
  <si>
    <t>ESA Contract, Z-23-102/0001-08</t>
  </si>
  <si>
    <t>4k</t>
  </si>
  <si>
    <t>HEU MSCA SAV PF,z-23-102/0002-08</t>
  </si>
  <si>
    <t>4l</t>
  </si>
  <si>
    <t>Digital Soccer, Z-23-190/0001-08</t>
  </si>
  <si>
    <t>Rare má BD 893,59 vtab 17, zdroj 1AJ2poskytnutú z MIRRI SR</t>
  </si>
  <si>
    <t>Botanická záhrada</t>
  </si>
  <si>
    <t>Zahraniční lektori</t>
  </si>
  <si>
    <t>077150303</t>
  </si>
  <si>
    <t>1AA1,1AA2,1AJ1,1AJ2,1AZ1,3AA1,3AA2</t>
  </si>
  <si>
    <t>42,43,46</t>
  </si>
  <si>
    <t>131K,131L,131M,11GR,13GR,71</t>
  </si>
  <si>
    <t>1P01</t>
  </si>
  <si>
    <t>3P01</t>
  </si>
  <si>
    <t>Nedostali sme fin. prostriedky v roku 2023</t>
  </si>
  <si>
    <t xml:space="preserve">Názov verejnej vysokej školy: UPJŠ v Košiciach
Názov fakulty: </t>
  </si>
  <si>
    <r>
      <t xml:space="preserve">Účty v Štátnej pokladnici spolu [SUM(R2:R16)] </t>
    </r>
    <r>
      <rPr>
        <b/>
        <sz val="12"/>
        <color rgb="FFFF0000"/>
        <rFont val="Times New Roman"/>
        <family val="1"/>
        <charset val="238"/>
      </rPr>
      <t>tu by mal byť text R2:R17</t>
    </r>
  </si>
  <si>
    <t>do vzorca som doplnila C7 a C22, oproti pôvodnému vzorcu, ktorý ste tam mali.+text v stlpci Ar1</t>
  </si>
  <si>
    <t xml:space="preserve">SK1681800000007000633256
SK4881800000007000241770
SK6581800000007000241949
SK6881800000007000152655
SK7081800000007000241762
SK7481800000007000241690
SK9581800000007000241797
</t>
  </si>
  <si>
    <t xml:space="preserve">SK1081800000007000137500
SK1381800000007000137543
SK3581800000007000137535
SK3881800000007000633248
SK5781800000007000137527
SK7981800000007000137519
</t>
  </si>
  <si>
    <t>SK3681800000007000436471</t>
  </si>
  <si>
    <t xml:space="preserve">SK0581800000007000643833
SK0681800000007000679705
SK0781800000007000682015
SK1481800000007000535904
SK1581800000007000677021
SK1781800000007000634208
SK1881800000007000653978
SK2181800000007000691560
SK2481800000007000686171
SK2481800000007000689372
SK2881800000007000652828
SK3081800000007000373335
SK3181800000007000678964
SK3381800000007000658170
SK3881800000007000440315
SK4381800000007000559535
SK4481800000007000429052
SK4481800000007000540893
SK4781800000007000689831
SK5581800000007000687262
SK5981800000007000656538
SK5981800000007000682146
SK6081800000007000656423
SK6881800000007000547833
SK7681800000007000684459
SK7781800000007000634195
SK7881800000007000661337
SK8881800000007000636422
SK9281800000007000634216
SK9481800000007000657266
SK9781800000007000660801
</t>
  </si>
  <si>
    <t>SK9181800000007000078424</t>
  </si>
  <si>
    <t>Rozdiel 0,01€ oproti ŠP z dôvodu rozdielnach kurzov USD/EUR Sap a ŠP</t>
  </si>
  <si>
    <t xml:space="preserve">SK4581800000007000078379
SK4781800000007000078440
SK6581800000007000078504
SK8081800000007000252349
SK8381800000007000086037
</t>
  </si>
  <si>
    <t>SK0881800000007000086029
SK2181800000007000078520
SK8681800000007000074343
SK9181800000007000633264
SK9481800000007000078467
SK9881800000007000078395</t>
  </si>
  <si>
    <t xml:space="preserve">SK1181800000007000074335
SK1681800000007000078416
SK3981800000007000086053
SK5081800000007000078483
SK6281800000007000633301
SK6881800000007000078547
</t>
  </si>
  <si>
    <t>SK1581800000007000467307</t>
  </si>
  <si>
    <t xml:space="preserve">SK0281800000007000633993
SK0281800000007000666197
SK0581800000007000497848
SK0781800000007000368026
SK0781800000007000528755
SK0781800000007000659608
SK1081800000007000300363
SK1181800000007000572430
SK1281800000007000664562
SK1981800000007000078459
SK1981800000007000633299
SK2381800000007000078387
SK2881800000007000078491
SK3381800000007000658752
SK3681800000007000086010
SK4181800000007000565003
SK4181800000007000570435
SK4381800000007000078512
SK4381800000007000593776
SK4381800000007000689321
SK4481800000007000354847
SK4481800000007000645265
SK4781800000007000429677
SK4781800000007000633280
SK5481800000007000099751
SK5881800000007000086002
SK5881800000007000252357
SK5981800000007000620551
SK6081800000007000558938
SK6381800000007000682074
SK6481800000007000074351
SK6481800000007000677400
SK6981800000007000078432
SK7181800000007000677080
SK7381800000007000078360
SK7481800000007000664028
SK7481800000007000671594
SK7781800000007000470362
SK7881800000007000373829
SK7981800000007000358776
SK8081800000007000572449
SK8381800000007000647279
SK8681800000007000677101
SK8981800000007000074386
SK8981800000007000333667
SK9581800000007000467710
SK9881800000007000464261
</t>
  </si>
  <si>
    <t>sumu z tohto riadku som doplnila do vzorca riadku 1</t>
  </si>
  <si>
    <t>čiastka  je hotovosť v pokladni na podnikateľskej činnosti v Danišovciach</t>
  </si>
  <si>
    <t>zdroj 1AJ2; 3AJ2 MH SR</t>
  </si>
  <si>
    <t>zdroj 1AZ1-MŽP SR/SIEA</t>
  </si>
  <si>
    <t>zdroj 1AA1- MH SR</t>
  </si>
  <si>
    <t>23c</t>
  </si>
  <si>
    <t>zdroj 1AA2- MH SR</t>
  </si>
  <si>
    <t>BD</t>
  </si>
  <si>
    <t>KD</t>
  </si>
  <si>
    <t xml:space="preserve">Dotácia spolu </t>
  </si>
  <si>
    <t>EU</t>
  </si>
  <si>
    <t>spolufin</t>
  </si>
  <si>
    <t>spolufKD</t>
  </si>
  <si>
    <t>spoluf.</t>
  </si>
  <si>
    <t>1AA1,3AA1</t>
  </si>
  <si>
    <t>1AA2,3AA2</t>
  </si>
  <si>
    <t>MŠVVaŠ</t>
  </si>
  <si>
    <t>iné kapitoly</t>
  </si>
  <si>
    <t>spolu zdroje</t>
  </si>
  <si>
    <t>komentárk riadku 4</t>
  </si>
  <si>
    <t>č.zmluvy741/2022: 276 000,- eur +č.zmluvy0122/2023: 249 000,- eur</t>
  </si>
  <si>
    <t>č.zmluvy741/2022:33 000,- eur +č.zmluvy0122/2023:114 000,- eur</t>
  </si>
  <si>
    <t>č.zmluvy679/2023:4 000,- eur</t>
  </si>
  <si>
    <r>
      <t>445800-12000=</t>
    </r>
    <r>
      <rPr>
        <b/>
        <sz val="12"/>
        <rFont val="Times New Roman"/>
        <family val="1"/>
        <charset val="238"/>
      </rPr>
      <t>433 800,- eur/Nedočer.dot. SAP</t>
    </r>
  </si>
  <si>
    <r>
      <t>138000-3000=</t>
    </r>
    <r>
      <rPr>
        <b/>
        <sz val="12"/>
        <rFont val="Times New Roman"/>
        <family val="1"/>
        <charset val="238"/>
      </rPr>
      <t>135 000,- eur/Nedočer.dot.SAP</t>
    </r>
  </si>
  <si>
    <t>077150206 = CRŠ 24</t>
  </si>
  <si>
    <t>077150207 = CRŠ 25</t>
  </si>
  <si>
    <t>Neobdržali sme fin. prostriedky v roku 2023</t>
  </si>
  <si>
    <t>stratégia ľudsakých zdrojov vo výskume na UPJŠ /0771351 Ručinská/</t>
  </si>
  <si>
    <t>Integrácia košických univerzít v oblasti transferu technológií /CassTech 0771353/</t>
  </si>
  <si>
    <t>Materská škola pri UPJS /0771354/</t>
  </si>
  <si>
    <t>One. Point / 0771355/</t>
  </si>
  <si>
    <t>Zmiernenei negatívnych dôsledkov vojnového konfliktu na Ukrajine zdorj 11UA/0771356/</t>
  </si>
  <si>
    <t>I-I Projekt: Integrácia a interkulturalita na UPJŠ/0771357/</t>
  </si>
  <si>
    <t>HRS4R na UPJS 2023-2026 /Strat.LZ 0771358/</t>
  </si>
  <si>
    <t>7500,- eru vrátené MŠVVaŠ SR 28.03.2023zahrnuté do ročného zuč. so ŠR za 2022</t>
  </si>
  <si>
    <r>
      <rPr>
        <b/>
        <sz val="12"/>
        <rFont val="Times New Roman"/>
        <family val="1"/>
        <charset val="238"/>
      </rPr>
      <t>riadok 8 nesedí na Sap</t>
    </r>
    <r>
      <rPr>
        <sz val="12"/>
        <rFont val="Times New Roman"/>
        <family val="1"/>
      </rPr>
      <t xml:space="preserve">:  </t>
    </r>
    <r>
      <rPr>
        <b/>
        <sz val="12"/>
        <rFont val="Times New Roman"/>
        <family val="1"/>
        <charset val="238"/>
      </rPr>
      <t>Nevyčerpaná dotácia</t>
    </r>
    <r>
      <rPr>
        <sz val="12"/>
        <rFont val="Times New Roman"/>
        <family val="1"/>
      </rPr>
      <t>, lebo v skutočnosti k zmluve č.741/2022 v roku 2023 neprišli finanačné prostriedky v zazmluvnenenj výške, ale pre talentovaných</t>
    </r>
    <r>
      <rPr>
        <b/>
        <sz val="12"/>
        <rFont val="Times New Roman"/>
        <family val="1"/>
        <charset val="238"/>
      </rPr>
      <t>: 264 000,- eur</t>
    </r>
    <r>
      <rPr>
        <sz val="12"/>
        <rFont val="Times New Roman"/>
        <family val="1"/>
      </rPr>
      <t xml:space="preserve"> oproti 276000,- eur a pre znevýhodnených</t>
    </r>
    <r>
      <rPr>
        <b/>
        <sz val="12"/>
        <rFont val="Times New Roman"/>
        <family val="1"/>
        <charset val="238"/>
      </rPr>
      <t xml:space="preserve"> :30 000,- eur</t>
    </r>
    <r>
      <rPr>
        <sz val="12"/>
        <rFont val="Times New Roman"/>
        <family val="1"/>
      </rPr>
      <t xml:space="preserve"> oproti 33000,- eur</t>
    </r>
  </si>
  <si>
    <t>zdroj 3P01, MIRRI SR, ÚV SA</t>
  </si>
  <si>
    <t>077150301</t>
  </si>
  <si>
    <t>tento riadok sa zmenil zR13:R19</t>
  </si>
  <si>
    <t>tento riadok sa zmenil z R33:R40</t>
  </si>
  <si>
    <t>vrátky 131K</t>
  </si>
  <si>
    <t>Rozdiel T23_R24_SA a T5_R82_SA je aj suma 3337,90 € kde sú zaúčtované štipendiá doktorandov z vlastných zdrojov na účtoch 549016 a 549017, ktoré tvorili aj čerpali Štipendijný fond cez účty 556 a 656</t>
  </si>
  <si>
    <t xml:space="preserve"> Rozdiel medzi údajom v T6_R18_SH a údajmi v T5_R56_(SC+SD)tvorí rozdiel výšky tvorby krátkodobej rezervy na mzdy na nevyčerpanú dovolenku za rok 2023 a čerpanou rezervou z roku 2022 v celkovej čiastke 270 448,58 €</t>
  </si>
  <si>
    <t>aj z T2_R4a,R4e_SB</t>
  </si>
  <si>
    <t>EAIE Rotterdam 2023z MŠVVaŠ G-23-190/0001-00,111,312001 ako nealok z MŠVVaŠ SR</t>
  </si>
  <si>
    <t>3ch</t>
  </si>
  <si>
    <t>R4 SA+SCzazmluvnené fin prostriedky, nie skutočný príjem dotácie, ktorý bol 513000,- eur CRŠ24 a 144 000,- eur CRŠ25</t>
  </si>
  <si>
    <t>zo sumy 16150,- nebol tvorený štipendijný fond, nakoľko je to program 06P0L0101</t>
  </si>
  <si>
    <t>T21_R1_SG=v tom vratka KD - 8146,03€</t>
  </si>
  <si>
    <t>štipendijný fond je tvorený z dotácie na účte HK 413 iba z ŠPP: 077150101-077150299,</t>
  </si>
  <si>
    <r>
      <t>ŠF je nižší o</t>
    </r>
    <r>
      <rPr>
        <b/>
        <sz val="12"/>
        <color rgb="FF0000FF"/>
        <rFont val="Times New Roman"/>
        <family val="1"/>
      </rPr>
      <t xml:space="preserve"> 31150,-</t>
    </r>
    <r>
      <rPr>
        <sz val="12"/>
        <color rgb="FF0000FF"/>
        <rFont val="Times New Roman"/>
        <family val="1"/>
      </rPr>
      <t xml:space="preserve"> : </t>
    </r>
    <r>
      <rPr>
        <b/>
        <sz val="12"/>
        <color rgb="FF0000FF"/>
        <rFont val="Times New Roman"/>
        <family val="1"/>
      </rPr>
      <t>15000,- eur,</t>
    </r>
    <r>
      <rPr>
        <sz val="12"/>
        <color rgb="FF0000FF"/>
        <rFont val="Times New Roman"/>
        <family val="1"/>
      </rPr>
      <t xml:space="preserve"> súvzťažnosť je na zazmluvnené dotácie zPOO, nie na skutočne prijaté.Suma </t>
    </r>
    <r>
      <rPr>
        <b/>
        <sz val="12"/>
        <color rgb="FF0000FF"/>
        <rFont val="Times New Roman"/>
        <family val="1"/>
      </rPr>
      <t xml:space="preserve">16150,- eur </t>
    </r>
    <r>
      <rPr>
        <sz val="12"/>
        <color rgb="FF0000FF"/>
        <rFont val="Times New Roman"/>
        <family val="1"/>
      </rPr>
      <t>by nemala byť zahrnutá do súvzťažnosti, nakoľko sa z nej netvorí štip.fond./vysvetlené v Tab.20a/</t>
    </r>
  </si>
  <si>
    <t>Rozdiel T13_R4_SD a T5_R87_SCD je v sume 7884,24 € nakoľko ide o zostatkovú cenu predaného majetku  vedenom na účte HK 552</t>
  </si>
  <si>
    <r>
      <t>0781301-02 učitelia,</t>
    </r>
    <r>
      <rPr>
        <b/>
        <sz val="12"/>
        <rFont val="Times New Roman"/>
        <family val="1"/>
        <charset val="238"/>
      </rPr>
      <t xml:space="preserve"> MŠVVaŠ SR</t>
    </r>
  </si>
  <si>
    <r>
      <t xml:space="preserve">077150206-08, </t>
    </r>
    <r>
      <rPr>
        <b/>
        <sz val="12"/>
        <rFont val="Times New Roman"/>
        <family val="1"/>
        <charset val="238"/>
      </rPr>
      <t>MŠVVaŠ SR</t>
    </r>
  </si>
  <si>
    <r>
      <t xml:space="preserve">0ET0B0301 EDCASS Digit., </t>
    </r>
    <r>
      <rPr>
        <b/>
        <sz val="12"/>
        <rFont val="Times New Roman"/>
        <family val="1"/>
        <charset val="238"/>
      </rPr>
      <t>MIRRI SR</t>
    </r>
  </si>
  <si>
    <r>
      <t xml:space="preserve">06P0L0101-08, </t>
    </r>
    <r>
      <rPr>
        <b/>
        <sz val="12"/>
        <rFont val="Times New Roman"/>
        <family val="1"/>
        <charset val="238"/>
      </rPr>
      <t>ÚV SR/VAIA</t>
    </r>
  </si>
  <si>
    <t>údaje výkaz zo Sapu</t>
  </si>
  <si>
    <t>výkaz zo Sapu</t>
  </si>
  <si>
    <t xml:space="preserve">Názov verejnej vysokej školy: UPJŠ v Košiciach   
Názov fakulty:  </t>
  </si>
  <si>
    <t xml:space="preserve">Názov verejnej vysokej školy:  UPJŠ v Košiciach  
Názov fakulty: </t>
  </si>
  <si>
    <t xml:space="preserve">Názov verejnej vysokej školy:  UPJŠ v Košiciach  
Názov fakulty:   </t>
  </si>
  <si>
    <t xml:space="preserve">Názov verejnej vysokej školy: UPJŠ v Košiciach 
Názov fakulty:  </t>
  </si>
  <si>
    <t xml:space="preserve">Názov verejnej vysokej školy:  UPJŠ v Košiciach 
Názov fakulty:  </t>
  </si>
  <si>
    <t xml:space="preserve">Názov verejnej vysokej školy:UPJŠ v Košiciach   
Názov fakulty:  </t>
  </si>
  <si>
    <t>Názov verejnej vysokej školy: UPJŠ v Košiciach 
Názov fakulty:</t>
  </si>
  <si>
    <t xml:space="preserve">Názov verejnej vysokej školy: UPJŠ v Košiciach </t>
  </si>
  <si>
    <t xml:space="preserve">Názov verejnej vysokej školy:  UPJŠ v Košiciach </t>
  </si>
  <si>
    <t xml:space="preserve">Názov verejnej vysokej školy: UPJŠ v Košiciach  
Názov fakulty:  </t>
  </si>
  <si>
    <t xml:space="preserve">Názov verejnej vysokej školy: UPJŠ v Košiciach    
Názov fakulty:  </t>
  </si>
  <si>
    <t xml:space="preserve">Názov verejnej vysokej školy:UPJŠ v Košiciach    
Názov fakulty:  </t>
  </si>
  <si>
    <t xml:space="preserve">OK, Šim. </t>
  </si>
  <si>
    <t>OK</t>
  </si>
  <si>
    <t>OK, Osifová</t>
  </si>
  <si>
    <t>CVTI</t>
  </si>
  <si>
    <t>prosím zdôvodniť</t>
  </si>
  <si>
    <t>rozdiel 50 ks</t>
  </si>
  <si>
    <t>CVTI uvádza údaj 309 272</t>
  </si>
  <si>
    <t>nevieme odkontrolovať</t>
  </si>
  <si>
    <t>OK-vie</t>
  </si>
  <si>
    <t>Ok - LucSti</t>
  </si>
  <si>
    <t>čiast. NOK - LucSti</t>
  </si>
  <si>
    <t>Nesedí posledná súvsťažnosť</t>
  </si>
  <si>
    <t>Ok, Osifová</t>
  </si>
  <si>
    <t>rozdiel v počte vydaných jedál o 50 ks zdôvodnený emailom zo dňa 19.04.2024</t>
  </si>
  <si>
    <t>Ok</t>
  </si>
  <si>
    <t>Hor, ok</t>
  </si>
  <si>
    <t>ok</t>
  </si>
  <si>
    <t>ok, Hor</t>
  </si>
  <si>
    <t>N ok</t>
  </si>
  <si>
    <t>čiast. Pob.</t>
  </si>
  <si>
    <t xml:space="preserve">nesedí na účtovnú závierku </t>
  </si>
  <si>
    <t>chýba komentár k súvzťažnosti medzi T5 a T6</t>
  </si>
  <si>
    <t>ok Pob.</t>
  </si>
  <si>
    <t>chybná Pob.</t>
  </si>
  <si>
    <t>nesedí suvzťažnosť</t>
  </si>
  <si>
    <r>
      <t>čerpanie fondu R11SF je nižší o 9690,- eur.Tvoria ho sumy z tab. 20a stlpec G</t>
    </r>
    <r>
      <rPr>
        <b/>
        <sz val="12"/>
        <color rgb="FF0000FF"/>
        <rFont val="Times New Roman"/>
        <family val="1"/>
        <charset val="238"/>
      </rPr>
      <t xml:space="preserve"> +12112,50+807,50-3230=9 690 eur</t>
    </r>
    <r>
      <rPr>
        <sz val="12"/>
        <color rgb="FF0000FF"/>
        <rFont val="Times New Roman"/>
        <family val="1"/>
      </rPr>
      <t xml:space="preserve">, je to program 06P0L0101, na ktorý sme netvorili štipen. </t>
    </r>
  </si>
  <si>
    <t xml:space="preserve">čerpanie fondu R11SF je nižší o 9690,- eur.Tvoria ho sumy z tab. 20a stlpec G +12112,50+807,50-3230=9 690 eur, je to program 06P0L0101, na ktorý sme netvorili štipen. </t>
  </si>
  <si>
    <r>
      <t>400955+63827+34200+143370+328200+349200+41100+0+12112,5+126000+48600+1600+807,5-108000-13200-0-3230=</t>
    </r>
    <r>
      <rPr>
        <b/>
        <sz val="12"/>
        <rFont val="Times New Roman"/>
        <family val="1"/>
        <charset val="238"/>
      </rPr>
      <t>1 425 542</t>
    </r>
  </si>
  <si>
    <t>T13_R11SF=1415852</t>
  </si>
  <si>
    <r>
      <t>čerpanie fondu R11SF je nižší o 9690,- eur.Tvoria ho sumy z tab. 20a stlpec G +12112,50+807,50-3230=</t>
    </r>
    <r>
      <rPr>
        <b/>
        <sz val="12"/>
        <rFont val="Times New Roman"/>
        <family val="1"/>
        <charset val="238"/>
      </rPr>
      <t>9 690 eur</t>
    </r>
    <r>
      <rPr>
        <sz val="12"/>
        <rFont val="Times New Roman"/>
        <family val="1"/>
      </rPr>
      <t xml:space="preserve">, je to program 06P0L0101, na ktorý sme netvorili štipen. </t>
    </r>
  </si>
  <si>
    <r>
      <t>T13_R11_SF = T8_R1_SC+T19_R1_SC+T8a_R1_SC+T20_R3_SC+SD+T20a_R6 SA+SC+SE+</t>
    </r>
    <r>
      <rPr>
        <b/>
        <sz val="12"/>
        <rFont val="Times New Roman"/>
        <family val="1"/>
        <charset val="238"/>
      </rPr>
      <t>SG</t>
    </r>
    <r>
      <rPr>
        <sz val="12"/>
        <rFont val="Times New Roman"/>
        <family val="1"/>
      </rPr>
      <t>+T20a_R9_SA+SC+SE</t>
    </r>
    <r>
      <rPr>
        <b/>
        <sz val="12"/>
        <rFont val="Times New Roman"/>
        <family val="1"/>
        <charset val="238"/>
      </rPr>
      <t>+SG</t>
    </r>
    <r>
      <rPr>
        <sz val="12"/>
        <rFont val="Times New Roman"/>
        <family val="1"/>
      </rPr>
      <t>-T20a_R10_SA+SC+SE+</t>
    </r>
    <r>
      <rPr>
        <b/>
        <sz val="12"/>
        <rFont val="Times New Roman"/>
        <family val="1"/>
        <charset val="238"/>
      </rPr>
      <t>SG</t>
    </r>
    <r>
      <rPr>
        <sz val="12"/>
        <rFont val="Times New Roman"/>
        <family val="1"/>
      </rPr>
      <t>+T20b_R5_SA+SC+T20b_R8_SA+SC-T20b_R9_SA+SC</t>
    </r>
  </si>
  <si>
    <r>
      <t xml:space="preserve">Rozdiel= </t>
    </r>
    <r>
      <rPr>
        <b/>
        <sz val="12"/>
        <rFont val="Times New Roman"/>
        <family val="1"/>
        <charset val="238"/>
      </rPr>
      <t>9 690</t>
    </r>
    <r>
      <rPr>
        <sz val="12"/>
        <rFont val="Times New Roman"/>
        <family val="1"/>
      </rPr>
      <t>,- eur sa týka T20a SG +R6+R9-R10</t>
    </r>
  </si>
  <si>
    <r>
      <t xml:space="preserve">Rozdiel= </t>
    </r>
    <r>
      <rPr>
        <b/>
        <sz val="12"/>
        <rFont val="Times New Roman"/>
        <family val="1"/>
        <charset val="238"/>
      </rPr>
      <t>9 690,-</t>
    </r>
    <r>
      <rPr>
        <sz val="12"/>
        <rFont val="Times New Roman"/>
        <family val="1"/>
      </rPr>
      <t xml:space="preserve"> eur sa týka T20a SG +R6+R9-R10</t>
    </r>
  </si>
  <si>
    <r>
      <t>T13_R11SF=</t>
    </r>
    <r>
      <rPr>
        <b/>
        <sz val="12"/>
        <rFont val="Times New Roman"/>
        <family val="1"/>
        <charset val="238"/>
      </rPr>
      <t>1415852</t>
    </r>
  </si>
  <si>
    <t>komentár I.Raková</t>
  </si>
  <si>
    <t>suma 12 112,50 eur sa nezapočítava do čerpania štip. fondu, lebo je to program 06P0L0101, pričom v suvzťažnostiach r.85 a r. 93 vo vzoci je táto suma prirátaná.</t>
  </si>
  <si>
    <t>suma 807,50 eur sa nezapočítava do čerpania štip. fondu, lebo je to program 06P0L0101, pričom v suvzťažnostiach r.85 a r. 93 vo vzoci je táto suma prirátaná.</t>
  </si>
  <si>
    <t>suma 3 230 eur sa neodpočítava do čerpania štip. fondu, lebo je to program 06P0L0101, pričom v suvzťažnostiach r.85 a r. 93 vo vzoci je táto suma odrátaná.</t>
  </si>
  <si>
    <t>komentár  k súvzťažnosti doplnila I. Raková</t>
  </si>
  <si>
    <t>opravené</t>
  </si>
  <si>
    <t>štatistický údaj bol chybne zadaný z úrovne ŠJ o 50 ks.</t>
  </si>
  <si>
    <t>ŠJ potvrdzuje správnosť 309 322 ks.</t>
  </si>
  <si>
    <t>Vo výkaze ziskov a strát sú v riadku č.058 účtu HK 649 zahrnuté aj Vnútroorganizačné prevody výnosov vykazované samostatne v T3_R70</t>
  </si>
  <si>
    <t>Vo výkaze ziskov a strát sú v riadku č.024 účtu HK 549 zahrnuté aj Vnútroorganizačné prevody nákladov vykazované samostatne v T5_R95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</si>
</sst>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S_k_-;\-* #,##0.00\ _S_k_-;_-* &quot;-&quot;??\ _S_k_-;_-@_-"/>
    <numFmt numFmtId="165" formatCode="#,##0_ ;[Red]\-#,##0\ "/>
    <numFmt numFmtId="166" formatCode="#,##0.00_ ;[Red]\-#,##0.00\ "/>
  </numFmts>
  <fonts count="110" x14ac:knownFonts="1">
    <font>
      <sz val="10"/>
      <name val="Arial"/>
      <charset val="238"/>
    </font>
    <font>
      <sz val="10"/>
      <name val="Arial"/>
      <family val="2"/>
      <charset val="238"/>
    </font>
    <font>
      <b/>
      <sz val="12"/>
      <name val="Times New Roman"/>
      <family val="1"/>
    </font>
    <font>
      <sz val="12"/>
      <name val="Times New Roman"/>
      <family val="1"/>
    </font>
    <font>
      <b/>
      <sz val="14"/>
      <name val="Times New Roman"/>
      <family val="1"/>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sz val="14"/>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sz val="10"/>
      <name val="Times New Roman"/>
      <family val="1"/>
    </font>
    <font>
      <sz val="10"/>
      <color indexed="10"/>
      <name val="Arial"/>
      <family val="2"/>
      <charset val="238"/>
    </font>
    <font>
      <b/>
      <vertAlign val="superscript"/>
      <sz val="14"/>
      <name val="Times New Roman"/>
      <family val="1"/>
    </font>
    <font>
      <vertAlign val="superscript"/>
      <sz val="12"/>
      <name val="Times New Roman"/>
      <family val="1"/>
    </font>
    <font>
      <b/>
      <sz val="9"/>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b/>
      <sz val="10"/>
      <name val="Times New Roman"/>
      <family val="1"/>
      <charset val="238"/>
    </font>
    <font>
      <strike/>
      <sz val="12"/>
      <name val="Times New Roman"/>
      <family val="1"/>
      <charset val="238"/>
    </font>
    <font>
      <strike/>
      <sz val="12"/>
      <name val="Times New Roman"/>
      <family val="1"/>
    </font>
    <font>
      <sz val="11"/>
      <name val="Times New Roman"/>
      <family val="1"/>
    </font>
    <font>
      <b/>
      <sz val="10"/>
      <name val="Arial"/>
      <family val="2"/>
      <charset val="238"/>
    </font>
    <font>
      <sz val="14"/>
      <name val="Times New Roman"/>
      <family val="1"/>
    </font>
    <font>
      <sz val="12"/>
      <color indexed="8"/>
      <name val="Times New Roman"/>
      <family val="1"/>
    </font>
    <font>
      <b/>
      <sz val="11"/>
      <name val="Times New Roman"/>
      <family val="1"/>
    </font>
    <font>
      <b/>
      <sz val="10"/>
      <color indexed="8"/>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2"/>
      <color rgb="FFFF0000"/>
      <name val="Times New Roman"/>
      <family val="1"/>
      <charset val="238"/>
    </font>
    <font>
      <b/>
      <sz val="14"/>
      <color rgb="FFFF0000"/>
      <name val="Times New Roman"/>
      <family val="1"/>
      <charset val="238"/>
    </font>
    <font>
      <vertAlign val="superscript"/>
      <sz val="11"/>
      <name val="Times New Roman"/>
      <family val="1"/>
      <charset val="238"/>
    </font>
    <font>
      <sz val="12"/>
      <color rgb="FF0000FF"/>
      <name val="Times New Roman"/>
      <family val="1"/>
    </font>
    <font>
      <sz val="12"/>
      <color rgb="FF0000FF"/>
      <name val="Times New Roman"/>
      <family val="1"/>
      <charset val="238"/>
    </font>
    <font>
      <b/>
      <sz val="14"/>
      <color theme="1"/>
      <name val="Times New Roman"/>
      <family val="1"/>
      <charset val="238"/>
    </font>
    <font>
      <i/>
      <sz val="12"/>
      <color theme="1"/>
      <name val="Times New Roman"/>
      <family val="1"/>
      <charset val="238"/>
    </font>
    <font>
      <sz val="11"/>
      <color theme="1"/>
      <name val="Times New Roman"/>
      <family val="1"/>
      <charset val="238"/>
    </font>
    <font>
      <b/>
      <sz val="12"/>
      <color rgb="FF0000FF"/>
      <name val="Times New Roman"/>
      <family val="1"/>
      <charset val="238"/>
    </font>
    <font>
      <i/>
      <sz val="12"/>
      <color theme="1"/>
      <name val="Times New Roman"/>
      <family val="1"/>
    </font>
    <font>
      <sz val="11"/>
      <color rgb="FFFF0000"/>
      <name val="Times New Roman"/>
      <family val="1"/>
    </font>
    <font>
      <sz val="11"/>
      <color rgb="FF0000FF"/>
      <name val="Times New Roman"/>
      <family val="1"/>
    </font>
    <font>
      <vertAlign val="superscript"/>
      <sz val="12"/>
      <color theme="1"/>
      <name val="Times New Roman"/>
      <family val="1"/>
      <charset val="238"/>
    </font>
    <font>
      <b/>
      <vertAlign val="superscript"/>
      <sz val="12"/>
      <color theme="1"/>
      <name val="Times New Roman"/>
      <family val="1"/>
      <charset val="238"/>
    </font>
    <font>
      <i/>
      <sz val="11"/>
      <color theme="1"/>
      <name val="Times New Roman"/>
      <family val="1"/>
      <charset val="238"/>
    </font>
    <font>
      <b/>
      <i/>
      <sz val="11"/>
      <color theme="1"/>
      <name val="Times New Roman"/>
      <family val="1"/>
      <charset val="238"/>
    </font>
    <font>
      <b/>
      <sz val="11"/>
      <color theme="1"/>
      <name val="Times New Roman"/>
      <family val="1"/>
      <charset val="238"/>
    </font>
    <font>
      <sz val="11"/>
      <color rgb="FF000000"/>
      <name val="Times New Roman"/>
      <family val="1"/>
      <charset val="238"/>
    </font>
    <font>
      <sz val="11"/>
      <color indexed="8"/>
      <name val="Times New Roman"/>
      <family val="1"/>
      <charset val="238"/>
    </font>
    <font>
      <b/>
      <sz val="11"/>
      <color indexed="8"/>
      <name val="Times New Roman"/>
      <family val="1"/>
      <charset val="238"/>
    </font>
    <font>
      <sz val="11"/>
      <color rgb="FFFF0000"/>
      <name val="Times New Roman"/>
      <family val="1"/>
      <charset val="238"/>
    </font>
    <font>
      <b/>
      <sz val="11"/>
      <color rgb="FFFF0000"/>
      <name val="Times New Roman"/>
      <family val="1"/>
      <charset val="238"/>
    </font>
    <font>
      <b/>
      <sz val="11"/>
      <color rgb="FF0000FF"/>
      <name val="Times New Roman"/>
      <family val="1"/>
      <charset val="238"/>
    </font>
    <font>
      <sz val="12"/>
      <color rgb="FFFF0000"/>
      <name val="Calibri"/>
      <family val="2"/>
      <charset val="238"/>
    </font>
    <font>
      <b/>
      <sz val="12"/>
      <color rgb="FF00B050"/>
      <name val="Times New Roman"/>
      <family val="1"/>
      <charset val="238"/>
    </font>
    <font>
      <b/>
      <sz val="12"/>
      <color rgb="FFFF0000"/>
      <name val="Times New Roman"/>
      <family val="1"/>
    </font>
    <font>
      <b/>
      <sz val="12"/>
      <color rgb="FFFF0000"/>
      <name val="Calibri"/>
      <family val="2"/>
      <charset val="238"/>
    </font>
    <font>
      <b/>
      <sz val="10"/>
      <name val="Times New Roman"/>
      <family val="1"/>
    </font>
    <font>
      <sz val="12"/>
      <name val="Calibri"/>
      <family val="2"/>
      <charset val="238"/>
    </font>
    <font>
      <vertAlign val="superscript"/>
      <sz val="12"/>
      <color rgb="FFFF0000"/>
      <name val="Times New Roman"/>
      <family val="1"/>
    </font>
    <font>
      <i/>
      <sz val="12"/>
      <color rgb="FFFF0000"/>
      <name val="Times New Roman"/>
      <family val="1"/>
      <charset val="238"/>
    </font>
    <font>
      <sz val="12"/>
      <color theme="1"/>
      <name val="Calibri"/>
      <family val="2"/>
      <charset val="238"/>
    </font>
    <font>
      <sz val="11"/>
      <color rgb="FF006100"/>
      <name val="Calibri"/>
      <family val="2"/>
      <charset val="238"/>
      <scheme val="minor"/>
    </font>
    <font>
      <b/>
      <sz val="12"/>
      <color rgb="FF0000FF"/>
      <name val="Times New Roman"/>
      <family val="1"/>
    </font>
    <font>
      <sz val="10"/>
      <color theme="1"/>
      <name val="Times New Roman"/>
      <family val="1"/>
      <charset val="238"/>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rgb="FF000000"/>
      </patternFill>
    </fill>
    <fill>
      <patternFill patternType="solid">
        <fgColor rgb="FFFFFF99"/>
        <bgColor rgb="FF000000"/>
      </patternFill>
    </fill>
    <fill>
      <patternFill patternType="solid">
        <fgColor rgb="FFFFFFFF"/>
        <bgColor rgb="FF000000"/>
      </patternFill>
    </fill>
    <fill>
      <patternFill patternType="solid">
        <fgColor rgb="FFFFFF0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8" tint="0.79998168889431442"/>
        <bgColor indexed="64"/>
      </patternFill>
    </fill>
    <fill>
      <patternFill patternType="solid">
        <fgColor rgb="FF66FF9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C6EFCE"/>
      </patternFill>
    </fill>
  </fills>
  <borders count="87">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diagonal/>
    </border>
  </borders>
  <cellStyleXfs count="93">
    <xf numFmtId="0" fontId="0"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164" fontId="1" fillId="0" borderId="0" applyFont="0" applyFill="0" applyBorder="0" applyAlignment="0" applyProtection="0"/>
    <xf numFmtId="164" fontId="16" fillId="0" borderId="0" applyFont="0" applyFill="0" applyBorder="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0" borderId="2" applyNumberFormat="0" applyFill="0" applyAlignment="0" applyProtection="0"/>
    <xf numFmtId="0" fontId="41" fillId="0" borderId="3" applyNumberFormat="0" applyFill="0" applyAlignment="0" applyProtection="0"/>
    <xf numFmtId="0" fontId="42" fillId="0" borderId="4" applyNumberFormat="0" applyFill="0" applyAlignment="0" applyProtection="0"/>
    <xf numFmtId="0" fontId="42" fillId="0" borderId="0" applyNumberFormat="0" applyFill="0" applyBorder="0" applyAlignment="0" applyProtection="0"/>
    <xf numFmtId="0" fontId="43" fillId="21" borderId="5" applyNumberFormat="0" applyAlignment="0" applyProtection="0"/>
    <xf numFmtId="0" fontId="44" fillId="7" borderId="1" applyNumberFormat="0" applyAlignment="0" applyProtection="0"/>
    <xf numFmtId="0" fontId="45" fillId="0" borderId="6" applyNumberFormat="0" applyFill="0" applyAlignment="0" applyProtection="0"/>
    <xf numFmtId="0" fontId="46" fillId="22" borderId="0" applyNumberFormat="0" applyBorder="0" applyAlignment="0" applyProtection="0"/>
    <xf numFmtId="0" fontId="16" fillId="0" borderId="0"/>
    <xf numFmtId="0" fontId="65" fillId="0" borderId="0"/>
    <xf numFmtId="0" fontId="16" fillId="0" borderId="0"/>
    <xf numFmtId="0" fontId="16" fillId="0" borderId="0"/>
    <xf numFmtId="0" fontId="55" fillId="0" borderId="0"/>
    <xf numFmtId="0" fontId="20" fillId="0" borderId="0"/>
    <xf numFmtId="0" fontId="47" fillId="0" borderId="0"/>
    <xf numFmtId="0" fontId="37" fillId="23" borderId="7" applyNumberFormat="0" applyFont="0" applyAlignment="0" applyProtection="0"/>
    <xf numFmtId="0" fontId="48" fillId="20" borderId="8" applyNumberFormat="0" applyAlignment="0" applyProtection="0"/>
    <xf numFmtId="4" fontId="11" fillId="22" borderId="9" applyNumberFormat="0" applyProtection="0">
      <alignment vertical="center"/>
    </xf>
    <xf numFmtId="4" fontId="12" fillId="24" borderId="9" applyNumberFormat="0" applyProtection="0">
      <alignment vertical="center"/>
    </xf>
    <xf numFmtId="4" fontId="11" fillId="24" borderId="9" applyNumberFormat="0" applyProtection="0">
      <alignment horizontal="left" vertical="center" indent="1"/>
    </xf>
    <xf numFmtId="0" fontId="11" fillId="24" borderId="9" applyNumberFormat="0" applyProtection="0">
      <alignment horizontal="left" vertical="top" indent="1"/>
    </xf>
    <xf numFmtId="4" fontId="13" fillId="3" borderId="9" applyNumberFormat="0" applyProtection="0">
      <alignment horizontal="right" vertical="center"/>
    </xf>
    <xf numFmtId="4" fontId="13" fillId="9" borderId="9" applyNumberFormat="0" applyProtection="0">
      <alignment horizontal="right" vertical="center"/>
    </xf>
    <xf numFmtId="4" fontId="13" fillId="17" borderId="9" applyNumberFormat="0" applyProtection="0">
      <alignment horizontal="right" vertical="center"/>
    </xf>
    <xf numFmtId="4" fontId="13" fillId="11" borderId="9" applyNumberFormat="0" applyProtection="0">
      <alignment horizontal="right" vertical="center"/>
    </xf>
    <xf numFmtId="4" fontId="13" fillId="15" borderId="9" applyNumberFormat="0" applyProtection="0">
      <alignment horizontal="right" vertical="center"/>
    </xf>
    <xf numFmtId="4" fontId="13" fillId="19" borderId="9" applyNumberFormat="0" applyProtection="0">
      <alignment horizontal="right" vertical="center"/>
    </xf>
    <xf numFmtId="4" fontId="13" fillId="18" borderId="9" applyNumberFormat="0" applyProtection="0">
      <alignment horizontal="right" vertical="center"/>
    </xf>
    <xf numFmtId="4" fontId="13" fillId="25" borderId="9" applyNumberFormat="0" applyProtection="0">
      <alignment horizontal="right" vertical="center"/>
    </xf>
    <xf numFmtId="4" fontId="13" fillId="10" borderId="9" applyNumberFormat="0" applyProtection="0">
      <alignment horizontal="right" vertical="center"/>
    </xf>
    <xf numFmtId="4" fontId="11" fillId="26" borderId="10" applyNumberFormat="0" applyProtection="0">
      <alignment horizontal="left" vertical="center" indent="1"/>
    </xf>
    <xf numFmtId="4" fontId="13" fillId="27" borderId="0" applyNumberFormat="0" applyProtection="0">
      <alignment horizontal="left" vertical="center" indent="1"/>
    </xf>
    <xf numFmtId="4" fontId="14" fillId="28" borderId="0" applyNumberFormat="0" applyProtection="0">
      <alignment horizontal="left" vertical="center" indent="1"/>
    </xf>
    <xf numFmtId="4" fontId="13" fillId="29" borderId="9" applyNumberFormat="0" applyProtection="0">
      <alignment horizontal="right" vertical="center"/>
    </xf>
    <xf numFmtId="4" fontId="15" fillId="27" borderId="0" applyNumberFormat="0" applyProtection="0">
      <alignment horizontal="left" vertical="center" indent="1"/>
    </xf>
    <xf numFmtId="4" fontId="15" fillId="30" borderId="0" applyNumberFormat="0" applyProtection="0">
      <alignment horizontal="left" vertical="center" indent="1"/>
    </xf>
    <xf numFmtId="0" fontId="16" fillId="28" borderId="9" applyNumberFormat="0" applyProtection="0">
      <alignment horizontal="left" vertical="center" indent="1"/>
    </xf>
    <xf numFmtId="0" fontId="16" fillId="28" borderId="9" applyNumberFormat="0" applyProtection="0">
      <alignment horizontal="left" vertical="top" indent="1"/>
    </xf>
    <xf numFmtId="0" fontId="16" fillId="30" borderId="9" applyNumberFormat="0" applyProtection="0">
      <alignment horizontal="left" vertical="center" indent="1"/>
    </xf>
    <xf numFmtId="0" fontId="16" fillId="30" borderId="9" applyNumberFormat="0" applyProtection="0">
      <alignment horizontal="left" vertical="top" indent="1"/>
    </xf>
    <xf numFmtId="0" fontId="16" fillId="31" borderId="9" applyNumberFormat="0" applyProtection="0">
      <alignment horizontal="left" vertical="center" indent="1"/>
    </xf>
    <xf numFmtId="0" fontId="16" fillId="31" borderId="9" applyNumberFormat="0" applyProtection="0">
      <alignment horizontal="left" vertical="top" indent="1"/>
    </xf>
    <xf numFmtId="0" fontId="16" fillId="32" borderId="9" applyNumberFormat="0" applyProtection="0">
      <alignment horizontal="left" vertical="center" indent="1"/>
    </xf>
    <xf numFmtId="0" fontId="16" fillId="32" borderId="9" applyNumberFormat="0" applyProtection="0">
      <alignment horizontal="left" vertical="top" indent="1"/>
    </xf>
    <xf numFmtId="4" fontId="11" fillId="30" borderId="0" applyNumberFormat="0" applyProtection="0">
      <alignment horizontal="left" vertical="center" indent="1"/>
    </xf>
    <xf numFmtId="4" fontId="13" fillId="33" borderId="9" applyNumberFormat="0" applyProtection="0">
      <alignment vertical="center"/>
    </xf>
    <xf numFmtId="4" fontId="17" fillId="33" borderId="9" applyNumberFormat="0" applyProtection="0">
      <alignment vertical="center"/>
    </xf>
    <xf numFmtId="4" fontId="13" fillId="33" borderId="9" applyNumberFormat="0" applyProtection="0">
      <alignment horizontal="left" vertical="center" indent="1"/>
    </xf>
    <xf numFmtId="0" fontId="13" fillId="33" borderId="9" applyNumberFormat="0" applyProtection="0">
      <alignment horizontal="left" vertical="top" indent="1"/>
    </xf>
    <xf numFmtId="4" fontId="13" fillId="27" borderId="9" applyNumberFormat="0" applyProtection="0">
      <alignment horizontal="right" vertical="center"/>
    </xf>
    <xf numFmtId="4" fontId="17" fillId="27" borderId="9" applyNumberFormat="0" applyProtection="0">
      <alignment horizontal="right" vertical="center"/>
    </xf>
    <xf numFmtId="4" fontId="13" fillId="29" borderId="9" applyNumberFormat="0" applyProtection="0">
      <alignment horizontal="left" vertical="center" indent="1"/>
    </xf>
    <xf numFmtId="0" fontId="13" fillId="30" borderId="9" applyNumberFormat="0" applyProtection="0">
      <alignment horizontal="left" vertical="top" indent="1"/>
    </xf>
    <xf numFmtId="4" fontId="18" fillId="34" borderId="0" applyNumberFormat="0" applyProtection="0">
      <alignment horizontal="left" vertical="center" indent="1"/>
    </xf>
    <xf numFmtId="4" fontId="19" fillId="27" borderId="9" applyNumberFormat="0" applyProtection="0">
      <alignment horizontal="right" vertical="center"/>
    </xf>
    <xf numFmtId="0" fontId="49" fillId="0" borderId="0" applyNumberFormat="0" applyFill="0" applyBorder="0" applyAlignment="0" applyProtection="0"/>
    <xf numFmtId="0" fontId="50" fillId="0" borderId="11" applyNumberFormat="0" applyFill="0" applyAlignment="0" applyProtection="0"/>
    <xf numFmtId="0" fontId="51" fillId="0" borderId="0" applyNumberFormat="0" applyFill="0" applyBorder="0" applyAlignment="0" applyProtection="0"/>
    <xf numFmtId="0" fontId="1" fillId="0" borderId="0"/>
    <xf numFmtId="0" fontId="1" fillId="0" borderId="0"/>
    <xf numFmtId="0" fontId="22" fillId="0" borderId="0"/>
    <xf numFmtId="0" fontId="107" fillId="51" borderId="0" applyNumberFormat="0" applyBorder="0" applyAlignment="0" applyProtection="0"/>
  </cellStyleXfs>
  <cellXfs count="1074">
    <xf numFmtId="0" fontId="0" fillId="0" borderId="0" xfId="0"/>
    <xf numFmtId="0" fontId="3" fillId="0" borderId="0" xfId="0" applyFont="1"/>
    <xf numFmtId="0" fontId="3" fillId="0" borderId="0" xfId="0" applyFont="1" applyBorder="1"/>
    <xf numFmtId="0" fontId="3" fillId="0" borderId="0" xfId="0" applyFont="1" applyAlignment="1">
      <alignment horizontal="center" vertical="center"/>
    </xf>
    <xf numFmtId="0" fontId="2" fillId="0" borderId="0" xfId="0" applyFont="1" applyBorder="1" applyAlignment="1">
      <alignment horizontal="center" vertical="center"/>
    </xf>
    <xf numFmtId="49" fontId="3" fillId="0" borderId="0" xfId="0" applyNumberFormat="1" applyFont="1"/>
    <xf numFmtId="49" fontId="3" fillId="0" borderId="0" xfId="0" applyNumberFormat="1" applyFont="1" applyBorder="1"/>
    <xf numFmtId="49" fontId="3" fillId="0" borderId="0" xfId="0" applyNumberFormat="1" applyFont="1" applyAlignment="1">
      <alignment horizontal="left" vertical="center"/>
    </xf>
    <xf numFmtId="0" fontId="2"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49" fontId="3" fillId="0" borderId="0" xfId="0" applyNumberFormat="1"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Fill="1" applyBorder="1" applyAlignment="1">
      <alignment horizontal="center" vertical="center" wrapText="1"/>
    </xf>
    <xf numFmtId="0" fontId="3" fillId="0" borderId="0" xfId="0" applyFont="1" applyFill="1"/>
    <xf numFmtId="49" fontId="3" fillId="0" borderId="0" xfId="0" applyNumberFormat="1" applyFont="1" applyAlignment="1">
      <alignment horizontal="left" vertical="center" wrapText="1" indent="1"/>
    </xf>
    <xf numFmtId="3" fontId="2" fillId="24" borderId="13" xfId="0" applyNumberFormat="1" applyFont="1" applyFill="1" applyBorder="1" applyAlignment="1">
      <alignment horizontal="right" vertical="center" wrapText="1" indent="1"/>
    </xf>
    <xf numFmtId="3" fontId="2" fillId="24" borderId="14"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indent="1"/>
    </xf>
    <xf numFmtId="3" fontId="2" fillId="24" borderId="18" xfId="0" applyNumberFormat="1" applyFont="1" applyFill="1" applyBorder="1" applyAlignment="1">
      <alignment horizontal="right" vertical="center" wrapText="1" indent="1"/>
    </xf>
    <xf numFmtId="0" fontId="2" fillId="0" borderId="13" xfId="0" applyFont="1" applyBorder="1" applyAlignment="1">
      <alignment horizontal="left" vertical="top" wrapText="1" indent="1"/>
    </xf>
    <xf numFmtId="0" fontId="3" fillId="0" borderId="13" xfId="0" applyFont="1" applyBorder="1" applyAlignment="1">
      <alignment horizontal="left" vertical="top" wrapText="1" indent="1"/>
    </xf>
    <xf numFmtId="0" fontId="2" fillId="0" borderId="17" xfId="0" applyFont="1" applyBorder="1" applyAlignment="1">
      <alignment horizontal="left" wrapText="1" indent="1"/>
    </xf>
    <xf numFmtId="0" fontId="3" fillId="0" borderId="0" xfId="0" applyFont="1" applyAlignment="1">
      <alignment horizontal="left" indent="1"/>
    </xf>
    <xf numFmtId="3" fontId="6" fillId="24" borderId="13" xfId="0" applyNumberFormat="1" applyFont="1" applyFill="1" applyBorder="1" applyAlignment="1">
      <alignment horizontal="right" vertical="center" wrapText="1" indent="1"/>
    </xf>
    <xf numFmtId="3" fontId="6" fillId="24" borderId="17" xfId="0" applyNumberFormat="1" applyFont="1" applyFill="1" applyBorder="1" applyAlignment="1">
      <alignment horizontal="right" vertical="center" wrapText="1" indent="1"/>
    </xf>
    <xf numFmtId="3" fontId="3" fillId="0" borderId="13" xfId="0" applyNumberFormat="1" applyFont="1" applyFill="1" applyBorder="1" applyAlignment="1">
      <alignment horizontal="right" vertical="center" wrapText="1" indent="1"/>
    </xf>
    <xf numFmtId="0" fontId="6" fillId="24" borderId="14" xfId="0" applyFont="1" applyFill="1" applyBorder="1" applyAlignment="1">
      <alignment horizontal="right" vertical="center" wrapText="1" indent="1"/>
    </xf>
    <xf numFmtId="0" fontId="7" fillId="0" borderId="0" xfId="0" applyFont="1" applyAlignment="1">
      <alignment horizontal="left" vertical="center" wrapText="1" indent="1"/>
    </xf>
    <xf numFmtId="49" fontId="3" fillId="0" borderId="0" xfId="0" applyNumberFormat="1" applyFont="1" applyAlignment="1">
      <alignment vertical="center" wrapText="1"/>
    </xf>
    <xf numFmtId="3" fontId="7" fillId="0" borderId="0" xfId="44" applyNumberFormat="1" applyFont="1" applyBorder="1" applyAlignment="1">
      <alignment vertical="center" wrapText="1"/>
    </xf>
    <xf numFmtId="0" fontId="7" fillId="24" borderId="18" xfId="0" applyFont="1" applyFill="1" applyBorder="1" applyAlignment="1">
      <alignment horizontal="right" vertical="center" wrapText="1" indent="1"/>
    </xf>
    <xf numFmtId="3" fontId="6" fillId="35" borderId="14" xfId="0" applyNumberFormat="1" applyFont="1" applyFill="1" applyBorder="1" applyAlignment="1">
      <alignment horizontal="right" vertical="center" wrapText="1" indent="1"/>
    </xf>
    <xf numFmtId="0" fontId="0" fillId="0" borderId="0" xfId="0" applyBorder="1"/>
    <xf numFmtId="0" fontId="6" fillId="0" borderId="13" xfId="0" applyFont="1" applyFill="1" applyBorder="1" applyAlignment="1">
      <alignment horizontal="left" vertical="center" wrapText="1" indent="1"/>
    </xf>
    <xf numFmtId="0" fontId="7" fillId="0" borderId="0" xfId="0" applyFont="1"/>
    <xf numFmtId="3" fontId="7" fillId="0" borderId="16" xfId="44"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0" xfId="0" applyFont="1" applyFill="1" applyAlignment="1">
      <alignment vertical="center" wrapText="1"/>
    </xf>
    <xf numFmtId="0" fontId="0" fillId="0" borderId="0" xfId="0" applyFill="1"/>
    <xf numFmtId="0" fontId="7" fillId="35" borderId="14" xfId="0" applyFont="1" applyFill="1" applyBorder="1" applyAlignment="1">
      <alignment horizontal="left" vertical="center" wrapText="1" indent="1"/>
    </xf>
    <xf numFmtId="49" fontId="8" fillId="0" borderId="0" xfId="0" applyNumberFormat="1" applyFont="1" applyAlignment="1">
      <alignment horizontal="left" vertical="center" wrapText="1" indent="1"/>
    </xf>
    <xf numFmtId="0" fontId="0" fillId="0" borderId="0" xfId="0" applyAlignment="1">
      <alignment wrapText="1"/>
    </xf>
    <xf numFmtId="1" fontId="6" fillId="24" borderId="13" xfId="0" applyNumberFormat="1" applyFont="1" applyFill="1" applyBorder="1" applyAlignment="1">
      <alignment horizontal="right" vertical="center" wrapText="1" indent="1"/>
    </xf>
    <xf numFmtId="0" fontId="7" fillId="0" borderId="15" xfId="0" applyFont="1" applyFill="1" applyBorder="1" applyAlignment="1">
      <alignment horizontal="center" vertical="center" wrapText="1"/>
    </xf>
    <xf numFmtId="3" fontId="2" fillId="0" borderId="14" xfId="0" applyNumberFormat="1" applyFont="1" applyFill="1" applyBorder="1" applyAlignment="1">
      <alignment horizontal="right" vertical="center" wrapText="1" indent="1"/>
    </xf>
    <xf numFmtId="0" fontId="3" fillId="0" borderId="0" xfId="0" applyFont="1" applyAlignment="1">
      <alignment horizontal="justify"/>
    </xf>
    <xf numFmtId="0" fontId="3" fillId="0" borderId="16" xfId="0" applyFont="1" applyFill="1" applyBorder="1" applyAlignment="1">
      <alignment horizontal="center" vertical="center"/>
    </xf>
    <xf numFmtId="49" fontId="3" fillId="0" borderId="0" xfId="0" applyNumberFormat="1" applyFont="1" applyAlignment="1">
      <alignment horizontal="left" wrapText="1" indent="1"/>
    </xf>
    <xf numFmtId="0" fontId="3" fillId="0" borderId="0" xfId="0" applyFont="1" applyAlignment="1">
      <alignment vertical="center"/>
    </xf>
    <xf numFmtId="0" fontId="22" fillId="0" borderId="0" xfId="0" applyFont="1" applyBorder="1" applyAlignment="1">
      <alignment vertical="center"/>
    </xf>
    <xf numFmtId="0" fontId="22" fillId="35" borderId="14" xfId="0" applyFont="1" applyFill="1" applyBorder="1" applyAlignment="1">
      <alignment horizontal="left" vertical="center" wrapText="1" indent="1"/>
    </xf>
    <xf numFmtId="0" fontId="7" fillId="35" borderId="26" xfId="0" applyFont="1" applyFill="1" applyBorder="1" applyAlignment="1">
      <alignment horizontal="left" vertical="center" wrapText="1" indent="1"/>
    </xf>
    <xf numFmtId="0" fontId="7" fillId="0" borderId="13" xfId="0" applyFont="1" applyBorder="1" applyAlignment="1">
      <alignment horizontal="left" vertical="top" wrapText="1" indent="1"/>
    </xf>
    <xf numFmtId="3" fontId="6" fillId="24" borderId="14" xfId="0" applyNumberFormat="1" applyFont="1" applyFill="1" applyBorder="1" applyAlignment="1">
      <alignment horizontal="right" vertical="center" wrapText="1" indent="1"/>
    </xf>
    <xf numFmtId="3" fontId="7" fillId="35" borderId="13" xfId="0" applyNumberFormat="1" applyFont="1" applyFill="1" applyBorder="1" applyAlignment="1">
      <alignment horizontal="right" vertical="center" wrapText="1" indent="1"/>
    </xf>
    <xf numFmtId="3" fontId="3" fillId="35" borderId="19" xfId="0" applyNumberFormat="1" applyFont="1" applyFill="1" applyBorder="1" applyAlignment="1">
      <alignment horizontal="right" vertical="center" wrapText="1" indent="1"/>
    </xf>
    <xf numFmtId="3" fontId="6" fillId="24" borderId="19" xfId="0" applyNumberFormat="1" applyFont="1" applyFill="1" applyBorder="1" applyAlignment="1">
      <alignment horizontal="right" vertical="center" wrapText="1" indent="1"/>
    </xf>
    <xf numFmtId="3" fontId="2" fillId="24" borderId="17" xfId="0" applyNumberFormat="1" applyFont="1" applyFill="1" applyBorder="1" applyAlignment="1">
      <alignment horizontal="right" vertical="center" wrapText="1" indent="1"/>
    </xf>
    <xf numFmtId="1" fontId="3" fillId="35" borderId="13" xfId="0" applyNumberFormat="1" applyFont="1" applyFill="1" applyBorder="1" applyAlignment="1">
      <alignment horizontal="right" vertical="center" wrapText="1" indent="1"/>
    </xf>
    <xf numFmtId="3" fontId="3" fillId="35" borderId="13" xfId="0" applyNumberFormat="1" applyFont="1" applyFill="1" applyBorder="1" applyAlignment="1">
      <alignment vertical="center" wrapText="1"/>
    </xf>
    <xf numFmtId="3" fontId="6" fillId="35" borderId="20" xfId="0" applyNumberFormat="1" applyFont="1" applyFill="1" applyBorder="1" applyAlignment="1">
      <alignment horizontal="right" vertical="center" wrapText="1" indent="1"/>
    </xf>
    <xf numFmtId="3" fontId="7" fillId="0" borderId="13"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6" fillId="24" borderId="27" xfId="0" applyNumberFormat="1" applyFont="1" applyFill="1" applyBorder="1" applyAlignment="1">
      <alignment horizontal="right" vertical="center" wrapText="1" indent="1"/>
    </xf>
    <xf numFmtId="3" fontId="6" fillId="35" borderId="27" xfId="0" applyNumberFormat="1" applyFont="1" applyFill="1" applyBorder="1" applyAlignment="1">
      <alignment horizontal="right" vertical="center" wrapText="1" indent="1"/>
    </xf>
    <xf numFmtId="3" fontId="7" fillId="0" borderId="17"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7" fillId="35" borderId="19" xfId="0" applyNumberFormat="1" applyFont="1" applyFill="1" applyBorder="1" applyAlignment="1">
      <alignment horizontal="right" vertical="center" wrapText="1" indent="1"/>
    </xf>
    <xf numFmtId="1" fontId="3" fillId="35" borderId="14" xfId="0" applyNumberFormat="1" applyFont="1" applyFill="1" applyBorder="1" applyAlignment="1">
      <alignment horizontal="right" vertical="center" wrapText="1" indent="1"/>
    </xf>
    <xf numFmtId="1" fontId="3" fillId="35" borderId="19" xfId="0" applyNumberFormat="1" applyFont="1" applyFill="1" applyBorder="1" applyAlignment="1">
      <alignment horizontal="right" vertical="center" wrapText="1" indent="1"/>
    </xf>
    <xf numFmtId="1" fontId="3" fillId="35" borderId="26" xfId="0" applyNumberFormat="1" applyFont="1" applyFill="1" applyBorder="1" applyAlignment="1">
      <alignment horizontal="right" vertical="center" wrapText="1" indent="1"/>
    </xf>
    <xf numFmtId="1" fontId="3" fillId="35" borderId="17" xfId="0" applyNumberFormat="1" applyFont="1" applyFill="1" applyBorder="1" applyAlignment="1">
      <alignment horizontal="right" vertical="center" wrapText="1" indent="1"/>
    </xf>
    <xf numFmtId="1" fontId="3" fillId="35" borderId="18" xfId="0" applyNumberFormat="1" applyFont="1" applyFill="1" applyBorder="1" applyAlignment="1">
      <alignment horizontal="right" vertical="center" wrapText="1" indent="1"/>
    </xf>
    <xf numFmtId="0" fontId="65" fillId="0" borderId="0" xfId="40"/>
    <xf numFmtId="0" fontId="7" fillId="0" borderId="0" xfId="43" applyFont="1" applyAlignment="1">
      <alignment vertical="center" wrapText="1"/>
    </xf>
    <xf numFmtId="0" fontId="0" fillId="0" borderId="0" xfId="0" applyNumberFormat="1" applyAlignment="1">
      <alignment vertical="center" wrapText="1"/>
    </xf>
    <xf numFmtId="166" fontId="54" fillId="37" borderId="13" xfId="75" quotePrefix="1" applyNumberFormat="1" applyFont="1" applyFill="1" applyBorder="1" applyAlignment="1" applyProtection="1">
      <alignment horizontal="left" vertical="center" wrapText="1" indent="1"/>
      <protection locked="0"/>
    </xf>
    <xf numFmtId="166" fontId="53" fillId="37" borderId="13" xfId="83" quotePrefix="1" applyNumberFormat="1" applyFont="1" applyFill="1" applyBorder="1" applyAlignment="1" applyProtection="1">
      <alignment horizontal="left" vertical="center" wrapText="1" indent="1"/>
      <protection locked="0"/>
    </xf>
    <xf numFmtId="166" fontId="53" fillId="37" borderId="13" xfId="82" quotePrefix="1" applyNumberFormat="1" applyFont="1" applyFill="1" applyBorder="1" applyProtection="1">
      <alignment horizontal="left" vertical="center" indent="1"/>
      <protection locked="0"/>
    </xf>
    <xf numFmtId="0" fontId="7" fillId="0" borderId="13" xfId="0" applyFont="1" applyBorder="1"/>
    <xf numFmtId="166" fontId="54" fillId="37" borderId="13" xfId="50" quotePrefix="1" applyNumberFormat="1" applyFont="1" applyFill="1" applyBorder="1">
      <alignment horizontal="left" vertical="center" indent="1"/>
    </xf>
    <xf numFmtId="166" fontId="54" fillId="37" borderId="13" xfId="50" applyNumberFormat="1" applyFont="1" applyFill="1" applyBorder="1">
      <alignment horizontal="left" vertical="center" indent="1"/>
    </xf>
    <xf numFmtId="166" fontId="53" fillId="37" borderId="13" xfId="82" applyNumberFormat="1" applyFont="1" applyFill="1" applyBorder="1" applyAlignment="1" applyProtection="1">
      <alignment vertical="center"/>
      <protection locked="0"/>
    </xf>
    <xf numFmtId="166" fontId="54" fillId="37" borderId="13" xfId="82" quotePrefix="1" applyNumberFormat="1" applyFont="1" applyFill="1" applyBorder="1" applyProtection="1">
      <alignment horizontal="left" vertical="center" indent="1"/>
      <protection locked="0"/>
    </xf>
    <xf numFmtId="166" fontId="53" fillId="37" borderId="13" xfId="83" applyNumberFormat="1" applyFont="1" applyFill="1" applyBorder="1" applyAlignment="1" applyProtection="1">
      <alignment horizontal="left" vertical="center" wrapText="1" indent="1"/>
      <protection locked="0"/>
    </xf>
    <xf numFmtId="3" fontId="7" fillId="35" borderId="13" xfId="43" applyNumberFormat="1" applyFont="1" applyFill="1" applyBorder="1" applyAlignment="1">
      <alignment horizontal="right" vertical="center" wrapText="1" indent="1"/>
    </xf>
    <xf numFmtId="3" fontId="2" fillId="24" borderId="31" xfId="0" applyNumberFormat="1" applyFont="1" applyFill="1" applyBorder="1" applyAlignment="1">
      <alignment horizontal="right" vertical="center" wrapText="1" indent="1"/>
    </xf>
    <xf numFmtId="3" fontId="7" fillId="35" borderId="19" xfId="43" applyNumberFormat="1" applyFont="1" applyFill="1" applyBorder="1" applyAlignment="1">
      <alignment horizontal="right" vertical="center" wrapText="1" indent="1"/>
    </xf>
    <xf numFmtId="3" fontId="2" fillId="24" borderId="37" xfId="0" applyNumberFormat="1" applyFont="1" applyFill="1" applyBorder="1" applyAlignment="1">
      <alignment horizontal="right" vertical="center" wrapText="1" indent="1"/>
    </xf>
    <xf numFmtId="3" fontId="7" fillId="35" borderId="37" xfId="43" applyNumberFormat="1" applyFont="1" applyFill="1" applyBorder="1" applyAlignment="1">
      <alignment horizontal="right" vertical="center" wrapText="1" indent="1"/>
    </xf>
    <xf numFmtId="3" fontId="7" fillId="35" borderId="20" xfId="43" applyNumberFormat="1" applyFont="1" applyFill="1" applyBorder="1" applyAlignment="1">
      <alignment horizontal="right" vertical="center" wrapText="1" indent="1"/>
    </xf>
    <xf numFmtId="3" fontId="7" fillId="35" borderId="35" xfId="43" applyNumberFormat="1" applyFont="1" applyFill="1" applyBorder="1" applyAlignment="1">
      <alignment horizontal="right" vertical="center" wrapText="1" indent="1"/>
    </xf>
    <xf numFmtId="3" fontId="2" fillId="24" borderId="20" xfId="0" applyNumberFormat="1" applyFont="1" applyFill="1" applyBorder="1" applyAlignment="1">
      <alignment horizontal="right" vertical="center" wrapText="1" indent="1"/>
    </xf>
    <xf numFmtId="3" fontId="2" fillId="24" borderId="45" xfId="0" applyNumberFormat="1" applyFont="1" applyFill="1" applyBorder="1" applyAlignment="1">
      <alignment horizontal="right" vertical="center" wrapText="1" indent="1"/>
    </xf>
    <xf numFmtId="166" fontId="3" fillId="0" borderId="0" xfId="0" applyNumberFormat="1" applyFont="1" applyBorder="1"/>
    <xf numFmtId="166" fontId="3" fillId="0" borderId="0" xfId="0" applyNumberFormat="1" applyFont="1" applyBorder="1" applyAlignment="1">
      <alignment wrapText="1"/>
    </xf>
    <xf numFmtId="0" fontId="27" fillId="0" borderId="0" xfId="0" applyFont="1" applyBorder="1" applyAlignment="1">
      <alignment horizontal="left"/>
    </xf>
    <xf numFmtId="0" fontId="27" fillId="0" borderId="0" xfId="0" applyFont="1" applyBorder="1" applyAlignment="1">
      <alignment horizontal="left" vertical="center"/>
    </xf>
    <xf numFmtId="0" fontId="69" fillId="0" borderId="0" xfId="0" applyFont="1"/>
    <xf numFmtId="0" fontId="58" fillId="0" borderId="0" xfId="0" applyFont="1" applyFill="1" applyAlignment="1">
      <alignment horizontal="left" vertical="center" indent="1"/>
    </xf>
    <xf numFmtId="4" fontId="3" fillId="35" borderId="17" xfId="0" applyNumberFormat="1" applyFont="1" applyFill="1" applyBorder="1" applyAlignment="1">
      <alignment horizontal="right" vertical="center" wrapText="1" indent="1"/>
    </xf>
    <xf numFmtId="4" fontId="6" fillId="24" borderId="17" xfId="44" applyNumberFormat="1" applyFont="1" applyFill="1" applyBorder="1" applyAlignment="1">
      <alignment horizontal="right" vertical="center" wrapText="1" indent="1"/>
    </xf>
    <xf numFmtId="4" fontId="6" fillId="24" borderId="18" xfId="44" applyNumberFormat="1" applyFont="1" applyFill="1" applyBorder="1" applyAlignment="1">
      <alignment horizontal="right" vertical="center" wrapText="1" indent="1"/>
    </xf>
    <xf numFmtId="0" fontId="9" fillId="0" borderId="0" xfId="0" applyFont="1" applyAlignment="1">
      <alignment horizontal="center" vertical="center"/>
    </xf>
    <xf numFmtId="0" fontId="9" fillId="0" borderId="0" xfId="0" applyFont="1"/>
    <xf numFmtId="3" fontId="2" fillId="24" borderId="50" xfId="0" applyNumberFormat="1" applyFont="1" applyFill="1" applyBorder="1" applyAlignment="1">
      <alignment horizontal="right" vertical="center" wrapText="1" indent="1"/>
    </xf>
    <xf numFmtId="0" fontId="3" fillId="0" borderId="0" xfId="0" applyFont="1" applyFill="1" applyBorder="1"/>
    <xf numFmtId="0" fontId="3" fillId="0" borderId="0" xfId="0" applyFont="1" applyFill="1" applyBorder="1" applyAlignment="1">
      <alignment vertical="center"/>
    </xf>
    <xf numFmtId="0" fontId="3" fillId="0" borderId="16" xfId="0" applyFont="1" applyFill="1" applyBorder="1" applyAlignment="1">
      <alignment horizontal="center" vertical="center" wrapText="1"/>
    </xf>
    <xf numFmtId="49" fontId="3" fillId="0" borderId="0" xfId="0" applyNumberFormat="1" applyFont="1" applyFill="1" applyBorder="1" applyAlignment="1">
      <alignment horizontal="left" indent="1"/>
    </xf>
    <xf numFmtId="0" fontId="22" fillId="0" borderId="0" xfId="0" applyFont="1" applyFill="1" applyBorder="1" applyAlignment="1">
      <alignment vertical="center"/>
    </xf>
    <xf numFmtId="0" fontId="3" fillId="0" borderId="0" xfId="39" applyFont="1"/>
    <xf numFmtId="0" fontId="3" fillId="0" borderId="15" xfId="39" applyFont="1" applyBorder="1" applyAlignment="1">
      <alignment horizontal="center" vertical="center" wrapText="1"/>
    </xf>
    <xf numFmtId="3" fontId="6" fillId="24" borderId="13" xfId="39" applyNumberFormat="1" applyFont="1" applyFill="1" applyBorder="1" applyAlignment="1">
      <alignment horizontal="right" vertical="center" wrapText="1" indent="1"/>
    </xf>
    <xf numFmtId="3" fontId="3" fillId="35" borderId="13" xfId="39" applyNumberFormat="1" applyFont="1" applyFill="1" applyBorder="1" applyAlignment="1">
      <alignment horizontal="right" vertical="center" wrapText="1" indent="1"/>
    </xf>
    <xf numFmtId="3" fontId="3" fillId="24" borderId="13" xfId="39" applyNumberFormat="1" applyFont="1" applyFill="1" applyBorder="1" applyAlignment="1">
      <alignment horizontal="right" vertical="center" wrapText="1" indent="1"/>
    </xf>
    <xf numFmtId="3" fontId="6" fillId="35" borderId="13" xfId="39" applyNumberFormat="1" applyFont="1" applyFill="1" applyBorder="1" applyAlignment="1">
      <alignment horizontal="right" vertical="center" wrapText="1" indent="1"/>
    </xf>
    <xf numFmtId="3" fontId="3" fillId="0" borderId="13" xfId="39" applyNumberFormat="1" applyFont="1" applyFill="1" applyBorder="1" applyAlignment="1">
      <alignment horizontal="right" vertical="center" wrapText="1" indent="1"/>
    </xf>
    <xf numFmtId="0" fontId="3" fillId="0" borderId="0" xfId="39" applyFont="1" applyFill="1" applyBorder="1" applyAlignment="1">
      <alignment horizontal="center" vertical="center" wrapText="1"/>
    </xf>
    <xf numFmtId="49" fontId="2" fillId="0" borderId="0" xfId="39" applyNumberFormat="1" applyFont="1" applyFill="1" applyBorder="1" applyAlignment="1">
      <alignment horizontal="left" vertical="top" wrapText="1" indent="1"/>
    </xf>
    <xf numFmtId="3" fontId="6" fillId="0" borderId="0" xfId="39" applyNumberFormat="1" applyFont="1" applyFill="1" applyBorder="1" applyAlignment="1">
      <alignment horizontal="right" vertical="center" wrapText="1" indent="1"/>
    </xf>
    <xf numFmtId="0" fontId="7" fillId="0" borderId="0" xfId="39" applyFont="1"/>
    <xf numFmtId="49" fontId="3" fillId="0" borderId="0" xfId="39" applyNumberFormat="1" applyFont="1"/>
    <xf numFmtId="0" fontId="3" fillId="0" borderId="15" xfId="42" applyFont="1" applyBorder="1" applyAlignment="1">
      <alignment horizontal="center" vertical="center" wrapText="1"/>
    </xf>
    <xf numFmtId="0" fontId="3" fillId="0" borderId="16" xfId="42" applyFont="1" applyBorder="1" applyAlignment="1">
      <alignment horizontal="center" vertical="center" wrapText="1"/>
    </xf>
    <xf numFmtId="3" fontId="6" fillId="24" borderId="38" xfId="39" applyNumberFormat="1" applyFont="1" applyFill="1" applyBorder="1" applyAlignment="1">
      <alignment horizontal="right" vertical="center" wrapText="1" indent="1"/>
    </xf>
    <xf numFmtId="3" fontId="3" fillId="35" borderId="38" xfId="39" applyNumberFormat="1" applyFont="1" applyFill="1" applyBorder="1" applyAlignment="1">
      <alignment horizontal="right" vertical="center" wrapText="1" indent="1"/>
    </xf>
    <xf numFmtId="3" fontId="3" fillId="24" borderId="38" xfId="39" applyNumberFormat="1" applyFont="1" applyFill="1" applyBorder="1" applyAlignment="1">
      <alignment horizontal="right" vertical="center" wrapText="1" indent="1"/>
    </xf>
    <xf numFmtId="3" fontId="6" fillId="35" borderId="38" xfId="39" applyNumberFormat="1" applyFont="1" applyFill="1" applyBorder="1" applyAlignment="1">
      <alignment horizontal="right" vertical="center" wrapText="1" indent="1"/>
    </xf>
    <xf numFmtId="3" fontId="3" fillId="0" borderId="38" xfId="39" applyNumberFormat="1" applyFont="1" applyFill="1" applyBorder="1" applyAlignment="1">
      <alignment horizontal="right" vertical="center" wrapText="1" indent="1"/>
    </xf>
    <xf numFmtId="3" fontId="7" fillId="35" borderId="38" xfId="39" applyNumberFormat="1" applyFont="1" applyFill="1" applyBorder="1" applyAlignment="1">
      <alignment horizontal="right" vertical="center" wrapText="1" indent="1"/>
    </xf>
    <xf numFmtId="0" fontId="68" fillId="0" borderId="16" xfId="40" applyFont="1" applyBorder="1" applyAlignment="1">
      <alignment horizontal="center" vertical="center"/>
    </xf>
    <xf numFmtId="0" fontId="3" fillId="0" borderId="15" xfId="0" applyFont="1" applyBorder="1" applyAlignment="1">
      <alignment horizontal="center" vertical="top"/>
    </xf>
    <xf numFmtId="0" fontId="3" fillId="0" borderId="0" xfId="0" applyFont="1" applyAlignment="1">
      <alignment horizontal="left" vertical="center"/>
    </xf>
    <xf numFmtId="0" fontId="3" fillId="0" borderId="15" xfId="39" applyFont="1" applyFill="1" applyBorder="1" applyAlignment="1">
      <alignment horizontal="center" vertical="center" wrapText="1"/>
    </xf>
    <xf numFmtId="0" fontId="3" fillId="0" borderId="16" xfId="39" applyFont="1" applyFill="1" applyBorder="1" applyAlignment="1">
      <alignment horizontal="center" vertical="center" wrapText="1"/>
    </xf>
    <xf numFmtId="0" fontId="3" fillId="0" borderId="0" xfId="39" applyFont="1" applyAlignment="1">
      <alignment vertical="center" wrapText="1"/>
    </xf>
    <xf numFmtId="0" fontId="3" fillId="0" borderId="0" xfId="39" applyFont="1" applyBorder="1" applyAlignment="1">
      <alignment horizontal="center" vertical="center" wrapText="1"/>
    </xf>
    <xf numFmtId="0" fontId="6" fillId="0" borderId="0" xfId="39" applyFont="1" applyBorder="1" applyAlignment="1">
      <alignment horizontal="left" vertical="center" wrapText="1" indent="1"/>
    </xf>
    <xf numFmtId="49" fontId="31" fillId="0" borderId="0" xfId="39" applyNumberFormat="1" applyFont="1"/>
    <xf numFmtId="49" fontId="67" fillId="0" borderId="0" xfId="0" applyNumberFormat="1" applyFont="1" applyAlignment="1">
      <alignment horizontal="left" vertical="center"/>
    </xf>
    <xf numFmtId="3" fontId="3" fillId="35" borderId="13" xfId="0" applyNumberFormat="1" applyFont="1" applyFill="1" applyBorder="1" applyAlignment="1">
      <alignment horizontal="center" vertical="center" wrapText="1"/>
    </xf>
    <xf numFmtId="3" fontId="57" fillId="0" borderId="0" xfId="0" applyNumberFormat="1" applyFont="1"/>
    <xf numFmtId="3" fontId="2" fillId="24" borderId="53" xfId="0" applyNumberFormat="1" applyFont="1" applyFill="1" applyBorder="1" applyAlignment="1">
      <alignment horizontal="right" vertical="center" wrapText="1" indent="1"/>
    </xf>
    <xf numFmtId="3" fontId="2" fillId="24" borderId="65" xfId="0" applyNumberFormat="1" applyFont="1" applyFill="1" applyBorder="1" applyAlignment="1">
      <alignment horizontal="right" vertical="center" wrapText="1" indent="1"/>
    </xf>
    <xf numFmtId="3" fontId="2" fillId="24" borderId="55" xfId="0" applyNumberFormat="1" applyFont="1" applyFill="1" applyBorder="1" applyAlignment="1">
      <alignment horizontal="right" vertical="center" wrapText="1" indent="1"/>
    </xf>
    <xf numFmtId="3" fontId="2" fillId="24" borderId="43" xfId="0" applyNumberFormat="1" applyFont="1" applyFill="1" applyBorder="1" applyAlignment="1">
      <alignment horizontal="right" vertical="center" wrapText="1" indent="1"/>
    </xf>
    <xf numFmtId="3" fontId="2" fillId="24" borderId="44" xfId="0" applyNumberFormat="1" applyFont="1" applyFill="1" applyBorder="1" applyAlignment="1">
      <alignment horizontal="right" vertical="center" wrapText="1" indent="1"/>
    </xf>
    <xf numFmtId="3" fontId="2" fillId="24" borderId="64" xfId="0" applyNumberFormat="1" applyFont="1" applyFill="1" applyBorder="1" applyAlignment="1">
      <alignment horizontal="right" vertical="center" wrapText="1" indent="1"/>
    </xf>
    <xf numFmtId="49" fontId="7" fillId="0" borderId="0" xfId="0" applyNumberFormat="1" applyFont="1" applyAlignment="1">
      <alignment horizontal="left" vertical="center"/>
    </xf>
    <xf numFmtId="0" fontId="2" fillId="0" borderId="15" xfId="0" applyFont="1" applyBorder="1" applyAlignment="1">
      <alignment horizontal="center" vertical="center" wrapText="1"/>
    </xf>
    <xf numFmtId="0" fontId="3" fillId="0" borderId="0" xfId="0" applyFont="1" applyAlignment="1"/>
    <xf numFmtId="0" fontId="3" fillId="0" borderId="0" xfId="0" applyFont="1" applyAlignment="1">
      <alignment vertical="top" wrapText="1"/>
    </xf>
    <xf numFmtId="0" fontId="3" fillId="0" borderId="72" xfId="0" applyFont="1" applyFill="1" applyBorder="1" applyAlignment="1">
      <alignment horizontal="center" vertical="center" wrapText="1"/>
    </xf>
    <xf numFmtId="0" fontId="6" fillId="0" borderId="72" xfId="0" applyFont="1" applyFill="1" applyBorder="1" applyAlignment="1">
      <alignment horizontal="left" vertical="center" wrapText="1" indent="1"/>
    </xf>
    <xf numFmtId="0" fontId="6" fillId="0" borderId="72" xfId="0" applyFont="1" applyFill="1" applyBorder="1" applyAlignment="1">
      <alignment horizontal="center" vertical="center" wrapText="1"/>
    </xf>
    <xf numFmtId="0" fontId="3" fillId="0" borderId="72" xfId="0" applyFont="1" applyFill="1" applyBorder="1" applyAlignment="1">
      <alignment horizontal="right" vertical="center" wrapText="1" indent="1"/>
    </xf>
    <xf numFmtId="0" fontId="69" fillId="0" borderId="0" xfId="39" applyFont="1" applyAlignment="1">
      <alignment vertical="center" wrapText="1"/>
    </xf>
    <xf numFmtId="0" fontId="3" fillId="38" borderId="0" xfId="0" applyFont="1" applyFill="1"/>
    <xf numFmtId="0" fontId="1" fillId="0" borderId="0" xfId="0" applyFont="1"/>
    <xf numFmtId="0" fontId="78" fillId="0" borderId="0" xfId="0" applyFont="1"/>
    <xf numFmtId="3" fontId="22" fillId="0" borderId="0" xfId="44" applyNumberFormat="1" applyFont="1" applyBorder="1" applyAlignment="1">
      <alignment vertical="center"/>
    </xf>
    <xf numFmtId="4" fontId="6" fillId="24" borderId="17" xfId="0" applyNumberFormat="1" applyFont="1" applyFill="1" applyBorder="1" applyAlignment="1">
      <alignment horizontal="right" vertical="center" wrapText="1" indent="1"/>
    </xf>
    <xf numFmtId="3" fontId="6" fillId="24" borderId="14" xfId="39" applyNumberFormat="1" applyFont="1" applyFill="1" applyBorder="1" applyAlignment="1">
      <alignment horizontal="right" vertical="center" wrapText="1" indent="1"/>
    </xf>
    <xf numFmtId="0" fontId="3" fillId="0" borderId="16" xfId="39" applyFont="1" applyBorder="1" applyAlignment="1">
      <alignment horizontal="center" vertical="center" wrapText="1"/>
    </xf>
    <xf numFmtId="0" fontId="68" fillId="0" borderId="22" xfId="40" applyFont="1" applyBorder="1" applyAlignment="1">
      <alignment horizontal="center" vertical="center"/>
    </xf>
    <xf numFmtId="0" fontId="68" fillId="0" borderId="78" xfId="40" applyFont="1" applyBorder="1" applyAlignment="1">
      <alignment horizontal="center" vertical="center"/>
    </xf>
    <xf numFmtId="3" fontId="6" fillId="35" borderId="79" xfId="0" applyNumberFormat="1" applyFont="1" applyFill="1" applyBorder="1" applyAlignment="1">
      <alignment horizontal="right" vertical="center" wrapText="1" indent="1"/>
    </xf>
    <xf numFmtId="165" fontId="6" fillId="24" borderId="80" xfId="0" applyNumberFormat="1" applyFont="1" applyFill="1" applyBorder="1" applyAlignment="1">
      <alignment horizontal="right" vertical="center" wrapText="1" indent="1"/>
    </xf>
    <xf numFmtId="166" fontId="6" fillId="24" borderId="73" xfId="0" applyNumberFormat="1" applyFont="1" applyFill="1" applyBorder="1" applyAlignment="1">
      <alignment horizontal="right" vertical="center" wrapText="1" indent="1"/>
    </xf>
    <xf numFmtId="3" fontId="6" fillId="35" borderId="82" xfId="0" applyNumberFormat="1" applyFont="1" applyFill="1" applyBorder="1" applyAlignment="1">
      <alignment horizontal="right" vertical="center" wrapText="1" indent="1"/>
    </xf>
    <xf numFmtId="165" fontId="6" fillId="24" borderId="81" xfId="0" applyNumberFormat="1" applyFont="1" applyFill="1" applyBorder="1" applyAlignment="1">
      <alignment horizontal="right" vertical="center" wrapText="1" indent="1"/>
    </xf>
    <xf numFmtId="166" fontId="6" fillId="24" borderId="51" xfId="0" applyNumberFormat="1" applyFont="1" applyFill="1" applyBorder="1" applyAlignment="1">
      <alignment horizontal="right" vertical="center" wrapText="1" indent="1"/>
    </xf>
    <xf numFmtId="0" fontId="3" fillId="0" borderId="0" xfId="39" applyFont="1" applyBorder="1" applyAlignment="1">
      <alignment vertical="center" wrapText="1"/>
    </xf>
    <xf numFmtId="0" fontId="3" fillId="0" borderId="21" xfId="42" applyFont="1" applyBorder="1" applyAlignment="1">
      <alignment horizontal="center" vertical="center" wrapText="1"/>
    </xf>
    <xf numFmtId="1" fontId="6" fillId="24" borderId="14" xfId="0" applyNumberFormat="1" applyFont="1" applyFill="1" applyBorder="1" applyAlignment="1">
      <alignment horizontal="right" vertical="center" wrapText="1" indent="1"/>
    </xf>
    <xf numFmtId="0" fontId="71" fillId="0" borderId="0" xfId="0" applyFont="1" applyAlignment="1">
      <alignment vertical="center" wrapText="1"/>
    </xf>
    <xf numFmtId="0" fontId="70" fillId="0" borderId="0" xfId="0" applyFont="1" applyAlignment="1">
      <alignment horizontal="center" vertical="center"/>
    </xf>
    <xf numFmtId="0" fontId="6" fillId="0" borderId="29" xfId="43" applyNumberFormat="1" applyFont="1" applyFill="1" applyBorder="1" applyAlignment="1">
      <alignment horizontal="center" vertical="center" wrapText="1"/>
    </xf>
    <xf numFmtId="0" fontId="6" fillId="0" borderId="30" xfId="43" applyNumberFormat="1" applyFont="1" applyFill="1" applyBorder="1" applyAlignment="1">
      <alignment horizontal="center" vertical="center" wrapText="1"/>
    </xf>
    <xf numFmtId="0" fontId="6" fillId="0" borderId="83" xfId="43" applyNumberFormat="1" applyFont="1" applyFill="1" applyBorder="1" applyAlignment="1">
      <alignment horizontal="center" vertical="center" wrapText="1"/>
    </xf>
    <xf numFmtId="3" fontId="3" fillId="0" borderId="0" xfId="0" applyNumberFormat="1" applyFont="1" applyFill="1" applyBorder="1"/>
    <xf numFmtId="4" fontId="7" fillId="0" borderId="0" xfId="44" applyNumberFormat="1" applyFont="1" applyBorder="1" applyAlignment="1">
      <alignment vertical="center" wrapText="1"/>
    </xf>
    <xf numFmtId="0" fontId="83" fillId="0" borderId="0" xfId="0" applyFont="1" applyBorder="1" applyAlignment="1">
      <alignment horizontal="right"/>
    </xf>
    <xf numFmtId="49" fontId="78" fillId="0" borderId="0" xfId="0" applyNumberFormat="1" applyFont="1" applyBorder="1"/>
    <xf numFmtId="0" fontId="71" fillId="0" borderId="0" xfId="0" applyFont="1" applyBorder="1" applyAlignment="1">
      <alignment horizontal="right"/>
    </xf>
    <xf numFmtId="0" fontId="66" fillId="0" borderId="63" xfId="0" applyFont="1" applyBorder="1" applyAlignment="1">
      <alignment horizontal="left" vertical="center"/>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75" fillId="0" borderId="0" xfId="0" applyFont="1" applyFill="1" applyAlignment="1">
      <alignment horizontal="left" vertical="center" wrapText="1"/>
    </xf>
    <xf numFmtId="0" fontId="92" fillId="0" borderId="0" xfId="0" applyFont="1" applyAlignment="1">
      <alignment vertical="center"/>
    </xf>
    <xf numFmtId="0" fontId="22" fillId="0" borderId="0" xfId="0" applyFont="1" applyAlignment="1">
      <alignment vertical="center" wrapText="1"/>
    </xf>
    <xf numFmtId="49" fontId="22" fillId="0" borderId="0" xfId="0" applyNumberFormat="1" applyFont="1" applyAlignment="1">
      <alignment horizontal="left" vertical="center" wrapText="1" indent="1"/>
    </xf>
    <xf numFmtId="0" fontId="7" fillId="0" borderId="21" xfId="0" applyFont="1" applyBorder="1" applyAlignment="1">
      <alignment horizontal="center" vertical="center" wrapText="1"/>
    </xf>
    <xf numFmtId="0" fontId="83" fillId="0" borderId="0" xfId="89" applyFont="1"/>
    <xf numFmtId="0" fontId="83" fillId="0" borderId="0" xfId="0" applyFont="1"/>
    <xf numFmtId="0" fontId="85" fillId="0" borderId="0" xfId="89" applyFont="1"/>
    <xf numFmtId="0" fontId="3" fillId="0" borderId="0" xfId="89" applyFont="1"/>
    <xf numFmtId="0" fontId="59" fillId="0" borderId="0" xfId="89" applyFont="1"/>
    <xf numFmtId="0" fontId="3" fillId="0" borderId="15" xfId="89" applyFont="1" applyBorder="1" applyAlignment="1">
      <alignment horizontal="center" vertical="center"/>
    </xf>
    <xf numFmtId="0" fontId="97" fillId="0" borderId="0" xfId="89" applyFont="1"/>
    <xf numFmtId="0" fontId="59" fillId="0" borderId="0" xfId="89" applyFont="1" applyAlignment="1">
      <alignment vertical="center"/>
    </xf>
    <xf numFmtId="0" fontId="3" fillId="0" borderId="0" xfId="89" applyFont="1" applyAlignment="1">
      <alignment vertical="center"/>
    </xf>
    <xf numFmtId="0" fontId="85" fillId="0" borderId="0" xfId="89" applyFont="1" applyFill="1"/>
    <xf numFmtId="0" fontId="69" fillId="0" borderId="0" xfId="89" applyFont="1" applyFill="1"/>
    <xf numFmtId="0" fontId="69" fillId="0" borderId="0" xfId="89" applyFont="1"/>
    <xf numFmtId="0" fontId="86" fillId="0" borderId="0" xfId="89" applyFont="1"/>
    <xf numFmtId="0" fontId="3" fillId="0" borderId="12" xfId="89" applyFont="1" applyBorder="1" applyAlignment="1">
      <alignment horizontal="center" vertical="center"/>
    </xf>
    <xf numFmtId="0" fontId="59" fillId="38" borderId="0" xfId="89" applyFont="1" applyFill="1"/>
    <xf numFmtId="0" fontId="9" fillId="0" borderId="15" xfId="89" applyFont="1" applyBorder="1" applyAlignment="1">
      <alignment horizontal="center" vertical="center"/>
    </xf>
    <xf numFmtId="0" fontId="3" fillId="0" borderId="0" xfId="89" applyFont="1" applyAlignment="1">
      <alignment horizontal="center" vertical="center"/>
    </xf>
    <xf numFmtId="49" fontId="3" fillId="0" borderId="0" xfId="89" applyNumberFormat="1" applyFont="1" applyAlignment="1">
      <alignment horizontal="left" wrapText="1"/>
    </xf>
    <xf numFmtId="0" fontId="98" fillId="0" borderId="0" xfId="0" applyFont="1" applyAlignment="1">
      <alignment horizontal="left" vertical="center"/>
    </xf>
    <xf numFmtId="0" fontId="67" fillId="0" borderId="0" xfId="89" applyFont="1"/>
    <xf numFmtId="3" fontId="7" fillId="35" borderId="13" xfId="0" applyNumberFormat="1" applyFont="1" applyFill="1" applyBorder="1" applyAlignment="1">
      <alignment horizontal="center" vertical="center" wrapText="1"/>
    </xf>
    <xf numFmtId="49" fontId="69" fillId="0" borderId="0" xfId="0" applyNumberFormat="1" applyFont="1" applyBorder="1"/>
    <xf numFmtId="0" fontId="3" fillId="0" borderId="0" xfId="0" applyFont="1" applyBorder="1" applyAlignment="1">
      <alignment horizontal="left" vertical="center" wrapText="1" indent="3"/>
    </xf>
    <xf numFmtId="49" fontId="3" fillId="0" borderId="0" xfId="0" applyNumberFormat="1" applyFont="1" applyBorder="1" applyAlignment="1">
      <alignment horizontal="left" vertical="center" wrapText="1" indent="1"/>
    </xf>
    <xf numFmtId="0" fontId="3" fillId="0" borderId="0" xfId="0" applyFont="1" applyBorder="1" applyAlignment="1">
      <alignment horizontal="right" vertical="center" wrapText="1"/>
    </xf>
    <xf numFmtId="49" fontId="3" fillId="0" borderId="0" xfId="0" applyNumberFormat="1" applyFont="1" applyBorder="1" applyAlignment="1">
      <alignment vertical="center"/>
    </xf>
    <xf numFmtId="3" fontId="3" fillId="35" borderId="17" xfId="42" applyNumberFormat="1" applyFont="1" applyFill="1" applyBorder="1" applyAlignment="1">
      <alignment horizontal="right" vertical="center" wrapText="1" indent="1"/>
    </xf>
    <xf numFmtId="3" fontId="2" fillId="24" borderId="18" xfId="42" applyNumberFormat="1" applyFont="1" applyFill="1" applyBorder="1" applyAlignment="1">
      <alignment horizontal="right" vertical="center" wrapText="1" indent="1"/>
    </xf>
    <xf numFmtId="0" fontId="75" fillId="0" borderId="0" xfId="0" applyFont="1" applyAlignment="1">
      <alignment horizontal="left" indent="1"/>
    </xf>
    <xf numFmtId="0" fontId="7" fillId="0" borderId="13" xfId="0" applyNumberFormat="1" applyFont="1" applyBorder="1" applyAlignment="1">
      <alignment horizontal="left" vertical="center" wrapText="1" indent="1"/>
    </xf>
    <xf numFmtId="0" fontId="3" fillId="0" borderId="16" xfId="89" applyFont="1" applyBorder="1" applyAlignment="1">
      <alignment horizontal="center" vertical="center"/>
    </xf>
    <xf numFmtId="0" fontId="2" fillId="0" borderId="13" xfId="0" applyNumberFormat="1" applyFont="1" applyBorder="1" applyAlignment="1">
      <alignment horizontal="center" vertical="center" wrapText="1"/>
    </xf>
    <xf numFmtId="0" fontId="2" fillId="0" borderId="13" xfId="0" applyNumberFormat="1" applyFont="1" applyBorder="1" applyAlignment="1">
      <alignment horizontal="left" vertical="center" wrapText="1" indent="1"/>
    </xf>
    <xf numFmtId="0" fontId="3" fillId="0" borderId="13" xfId="0" applyNumberFormat="1" applyFont="1" applyBorder="1" applyAlignment="1">
      <alignment horizontal="left" vertical="center" wrapText="1" indent="1"/>
    </xf>
    <xf numFmtId="0" fontId="2" fillId="0" borderId="17" xfId="0" applyNumberFormat="1" applyFont="1" applyBorder="1" applyAlignment="1">
      <alignment horizontal="left" vertical="center" wrapText="1" indent="1"/>
    </xf>
    <xf numFmtId="0" fontId="2" fillId="0" borderId="13" xfId="0" applyNumberFormat="1" applyFont="1" applyFill="1" applyBorder="1" applyAlignment="1">
      <alignment horizontal="left" vertical="center" wrapText="1" indent="1"/>
    </xf>
    <xf numFmtId="0" fontId="71" fillId="0" borderId="13" xfId="0" applyNumberFormat="1" applyFont="1" applyFill="1" applyBorder="1" applyAlignment="1">
      <alignment horizontal="left" vertical="center" wrapText="1" indent="1"/>
    </xf>
    <xf numFmtId="0" fontId="70" fillId="0" borderId="13" xfId="0" applyNumberFormat="1" applyFont="1" applyFill="1" applyBorder="1" applyAlignment="1">
      <alignment horizontal="left" vertical="center" wrapText="1" indent="1"/>
    </xf>
    <xf numFmtId="0" fontId="71" fillId="0" borderId="13" xfId="0" applyNumberFormat="1" applyFont="1" applyBorder="1" applyAlignment="1">
      <alignment horizontal="left" vertical="center" wrapText="1" indent="1"/>
    </xf>
    <xf numFmtId="0" fontId="66" fillId="0" borderId="13" xfId="0" applyNumberFormat="1" applyFont="1" applyFill="1" applyBorder="1" applyAlignment="1">
      <alignment horizontal="left" vertical="center" wrapText="1" indent="1"/>
    </xf>
    <xf numFmtId="0" fontId="68" fillId="0" borderId="13" xfId="0" applyNumberFormat="1" applyFont="1" applyBorder="1" applyAlignment="1">
      <alignment horizontal="left" vertical="center" wrapText="1" indent="1"/>
    </xf>
    <xf numFmtId="0" fontId="6" fillId="0" borderId="13" xfId="0" applyNumberFormat="1" applyFont="1" applyFill="1" applyBorder="1" applyAlignment="1">
      <alignment horizontal="left" vertical="center" wrapText="1" indent="1"/>
    </xf>
    <xf numFmtId="0" fontId="7" fillId="0" borderId="0" xfId="0" applyNumberFormat="1" applyFont="1" applyAlignment="1">
      <alignment horizontal="left" vertical="center" wrapText="1" indent="1"/>
    </xf>
    <xf numFmtId="0" fontId="6" fillId="0" borderId="13" xfId="0" applyNumberFormat="1" applyFont="1" applyFill="1" applyBorder="1" applyAlignment="1">
      <alignment horizontal="left" vertical="center" indent="1"/>
    </xf>
    <xf numFmtId="0" fontId="6" fillId="37" borderId="13" xfId="0" applyNumberFormat="1" applyFont="1" applyFill="1" applyBorder="1" applyAlignment="1">
      <alignment horizontal="left" vertical="center" indent="1"/>
    </xf>
    <xf numFmtId="0" fontId="7" fillId="0" borderId="19" xfId="0" applyNumberFormat="1" applyFont="1" applyFill="1" applyBorder="1" applyAlignment="1">
      <alignment horizontal="left" vertical="center" wrapText="1" indent="1"/>
    </xf>
    <xf numFmtId="0" fontId="3" fillId="0" borderId="0" xfId="0" applyNumberFormat="1" applyFont="1" applyAlignment="1">
      <alignment horizontal="left" vertical="center" wrapText="1"/>
    </xf>
    <xf numFmtId="0" fontId="2" fillId="0" borderId="15"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3" fillId="0" borderId="0" xfId="0" applyNumberFormat="1" applyFont="1" applyAlignment="1">
      <alignment vertical="center" wrapText="1"/>
    </xf>
    <xf numFmtId="0" fontId="3" fillId="0" borderId="15" xfId="0" applyNumberFormat="1" applyFont="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3" fillId="0" borderId="0" xfId="0" applyNumberFormat="1" applyFont="1"/>
    <xf numFmtId="0" fontId="2" fillId="0" borderId="0" xfId="0" applyNumberFormat="1" applyFont="1"/>
    <xf numFmtId="0" fontId="2" fillId="0" borderId="14" xfId="0" applyNumberFormat="1" applyFont="1" applyBorder="1" applyAlignment="1">
      <alignment horizontal="center" vertical="center" wrapText="1"/>
    </xf>
    <xf numFmtId="0" fontId="69" fillId="0" borderId="0" xfId="0" applyNumberFormat="1" applyFont="1" applyAlignment="1">
      <alignment horizontal="center"/>
    </xf>
    <xf numFmtId="0" fontId="2" fillId="0" borderId="38" xfId="0" applyNumberFormat="1" applyFont="1" applyBorder="1" applyAlignment="1">
      <alignment horizontal="center" vertical="center" wrapText="1"/>
    </xf>
    <xf numFmtId="0" fontId="7" fillId="0" borderId="0" xfId="0" applyNumberFormat="1" applyFont="1"/>
    <xf numFmtId="0" fontId="2" fillId="0" borderId="17" xfId="0" applyNumberFormat="1" applyFont="1" applyFill="1" applyBorder="1" applyAlignment="1">
      <alignment horizontal="left" vertical="center" wrapText="1" indent="1"/>
    </xf>
    <xf numFmtId="0" fontId="3" fillId="0" borderId="0" xfId="89" applyNumberFormat="1" applyFont="1"/>
    <xf numFmtId="0" fontId="59" fillId="0" borderId="0" xfId="89" applyNumberFormat="1" applyFont="1"/>
    <xf numFmtId="0" fontId="63" fillId="0" borderId="0" xfId="89" applyNumberFormat="1" applyFont="1"/>
    <xf numFmtId="0" fontId="2" fillId="0" borderId="0" xfId="89" applyNumberFormat="1" applyFont="1"/>
    <xf numFmtId="0" fontId="2" fillId="0" borderId="13" xfId="89" applyNumberFormat="1" applyFont="1" applyBorder="1" applyAlignment="1">
      <alignment horizontal="center" vertical="center" wrapText="1"/>
    </xf>
    <xf numFmtId="0" fontId="2" fillId="0" borderId="14" xfId="89" applyNumberFormat="1" applyFont="1" applyBorder="1" applyAlignment="1">
      <alignment horizontal="center" vertical="center" wrapText="1"/>
    </xf>
    <xf numFmtId="0" fontId="3" fillId="0" borderId="15" xfId="89" applyNumberFormat="1" applyFont="1" applyBorder="1" applyAlignment="1">
      <alignment horizontal="center" vertical="center"/>
    </xf>
    <xf numFmtId="0" fontId="70" fillId="0" borderId="13" xfId="89" applyNumberFormat="1" applyFont="1" applyFill="1" applyBorder="1" applyAlignment="1">
      <alignment horizontal="left" vertical="top" wrapText="1"/>
    </xf>
    <xf numFmtId="0" fontId="6" fillId="0" borderId="13" xfId="89" applyNumberFormat="1" applyFont="1" applyFill="1" applyBorder="1" applyAlignment="1">
      <alignment horizontal="center" vertical="center" wrapText="1"/>
    </xf>
    <xf numFmtId="0" fontId="6" fillId="0" borderId="14" xfId="89" applyNumberFormat="1" applyFont="1" applyFill="1" applyBorder="1" applyAlignment="1">
      <alignment horizontal="center" vertical="center" wrapText="1"/>
    </xf>
    <xf numFmtId="0" fontId="70" fillId="0" borderId="13" xfId="89" applyNumberFormat="1" applyFont="1" applyFill="1" applyBorder="1" applyAlignment="1">
      <alignment horizontal="left" vertical="top" wrapText="1" indent="1"/>
    </xf>
    <xf numFmtId="0" fontId="71" fillId="0" borderId="13" xfId="89" applyNumberFormat="1" applyFont="1" applyBorder="1" applyAlignment="1">
      <alignment horizontal="left" vertical="top" wrapText="1" indent="1"/>
    </xf>
    <xf numFmtId="0" fontId="71" fillId="0" borderId="13" xfId="89" applyNumberFormat="1" applyFont="1" applyBorder="1" applyAlignment="1">
      <alignment horizontal="left" wrapText="1" indent="1"/>
    </xf>
    <xf numFmtId="0" fontId="71" fillId="0" borderId="13" xfId="89" applyNumberFormat="1" applyFont="1" applyBorder="1" applyAlignment="1">
      <alignment horizontal="left" vertical="center" wrapText="1" indent="1"/>
    </xf>
    <xf numFmtId="0" fontId="71" fillId="0" borderId="13" xfId="89" applyNumberFormat="1" applyFont="1" applyFill="1" applyBorder="1" applyAlignment="1">
      <alignment horizontal="left" vertical="top" wrapText="1" indent="1"/>
    </xf>
    <xf numFmtId="0" fontId="71" fillId="0" borderId="13" xfId="89" applyNumberFormat="1" applyFont="1" applyFill="1" applyBorder="1" applyAlignment="1">
      <alignment horizontal="left" wrapText="1" indent="1"/>
    </xf>
    <xf numFmtId="0" fontId="71" fillId="0" borderId="13" xfId="89" applyNumberFormat="1" applyFont="1" applyFill="1" applyBorder="1" applyAlignment="1">
      <alignment horizontal="left" vertical="center" wrapText="1"/>
    </xf>
    <xf numFmtId="0" fontId="71" fillId="0" borderId="13" xfId="89" applyNumberFormat="1" applyFont="1" applyFill="1" applyBorder="1" applyAlignment="1" applyProtection="1">
      <alignment horizontal="left" vertical="top" wrapText="1" indent="1"/>
      <protection locked="0"/>
    </xf>
    <xf numFmtId="0" fontId="71" fillId="0" borderId="13" xfId="89" applyNumberFormat="1" applyFont="1" applyFill="1" applyBorder="1" applyAlignment="1">
      <alignment horizontal="left" vertical="center" wrapText="1" indent="1"/>
    </xf>
    <xf numFmtId="0" fontId="70" fillId="0" borderId="17" xfId="89" applyNumberFormat="1" applyFont="1" applyFill="1" applyBorder="1" applyAlignment="1">
      <alignment horizontal="left" vertical="top" wrapText="1" indent="1"/>
    </xf>
    <xf numFmtId="0" fontId="71" fillId="0" borderId="0" xfId="89" applyNumberFormat="1" applyFont="1" applyAlignment="1">
      <alignment horizontal="left" wrapText="1"/>
    </xf>
    <xf numFmtId="0" fontId="84" fillId="0" borderId="13" xfId="89" applyNumberFormat="1" applyFont="1" applyFill="1" applyBorder="1" applyAlignment="1">
      <alignment horizontal="left" vertical="top" wrapText="1" indent="1"/>
    </xf>
    <xf numFmtId="0" fontId="3" fillId="44" borderId="0" xfId="0" applyNumberFormat="1" applyFont="1" applyFill="1" applyAlignment="1">
      <alignment vertical="center" wrapText="1"/>
    </xf>
    <xf numFmtId="0" fontId="71" fillId="0" borderId="0" xfId="0" applyNumberFormat="1" applyFont="1" applyAlignment="1">
      <alignment vertical="center" wrapText="1"/>
    </xf>
    <xf numFmtId="0" fontId="70" fillId="0" borderId="0" xfId="0" applyNumberFormat="1" applyFont="1" applyAlignment="1">
      <alignment vertical="center" wrapText="1"/>
    </xf>
    <xf numFmtId="0" fontId="2" fillId="0" borderId="0" xfId="0" applyNumberFormat="1" applyFont="1" applyAlignment="1">
      <alignment vertical="center" wrapText="1"/>
    </xf>
    <xf numFmtId="0" fontId="2" fillId="0" borderId="15"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57" xfId="0" applyNumberFormat="1" applyFont="1" applyBorder="1" applyAlignment="1">
      <alignment horizontal="center" vertical="center" wrapText="1"/>
    </xf>
    <xf numFmtId="0" fontId="2" fillId="0" borderId="0" xfId="0" applyNumberFormat="1" applyFont="1" applyBorder="1" applyAlignment="1">
      <alignment vertical="center" wrapText="1"/>
    </xf>
    <xf numFmtId="0" fontId="3" fillId="0" borderId="13" xfId="0" applyNumberFormat="1" applyFont="1" applyFill="1" applyBorder="1" applyAlignment="1">
      <alignment horizontal="left" vertical="center" wrapText="1" indent="1"/>
    </xf>
    <xf numFmtId="0" fontId="81" fillId="45" borderId="42" xfId="0" applyNumberFormat="1" applyFont="1" applyFill="1" applyBorder="1" applyAlignment="1">
      <alignment horizontal="center" vertical="center" wrapText="1"/>
    </xf>
    <xf numFmtId="0" fontId="71" fillId="44" borderId="0" xfId="0" applyNumberFormat="1" applyFont="1" applyFill="1" applyAlignment="1">
      <alignment vertical="center" wrapText="1"/>
    </xf>
    <xf numFmtId="0" fontId="6" fillId="0" borderId="13"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81" fillId="45" borderId="57" xfId="0" applyNumberFormat="1" applyFont="1" applyFill="1" applyBorder="1" applyAlignment="1">
      <alignment horizontal="center" vertical="center" wrapText="1"/>
    </xf>
    <xf numFmtId="0" fontId="70" fillId="0" borderId="0" xfId="0" applyNumberFormat="1" applyFont="1" applyBorder="1" applyAlignment="1">
      <alignment vertical="center" wrapText="1"/>
    </xf>
    <xf numFmtId="0" fontId="3" fillId="0" borderId="0" xfId="0" applyNumberFormat="1" applyFont="1" applyAlignment="1">
      <alignment horizontal="center" vertical="center" wrapText="1"/>
    </xf>
    <xf numFmtId="0" fontId="92" fillId="0" borderId="0" xfId="0" applyNumberFormat="1" applyFont="1" applyAlignment="1">
      <alignment vertical="center"/>
    </xf>
    <xf numFmtId="0" fontId="22" fillId="0" borderId="0" xfId="0" applyNumberFormat="1" applyFont="1" applyAlignment="1">
      <alignment vertical="center" wrapText="1"/>
    </xf>
    <xf numFmtId="0" fontId="65" fillId="0" borderId="0" xfId="40" applyNumberFormat="1"/>
    <xf numFmtId="0" fontId="66" fillId="0" borderId="23" xfId="40" applyNumberFormat="1" applyFont="1" applyBorder="1" applyAlignment="1">
      <alignment horizontal="center" vertical="center" wrapText="1"/>
    </xf>
    <xf numFmtId="0" fontId="66" fillId="0" borderId="25" xfId="40" applyNumberFormat="1" applyFont="1" applyBorder="1" applyAlignment="1">
      <alignment horizontal="center" vertical="center"/>
    </xf>
    <xf numFmtId="0" fontId="66" fillId="0" borderId="25" xfId="40" applyNumberFormat="1" applyFont="1" applyBorder="1" applyAlignment="1">
      <alignment horizontal="center" vertical="center" wrapText="1"/>
    </xf>
    <xf numFmtId="0" fontId="66" fillId="0" borderId="24" xfId="40" applyNumberFormat="1" applyFont="1" applyBorder="1" applyAlignment="1">
      <alignment horizontal="center" vertical="center" wrapText="1"/>
    </xf>
    <xf numFmtId="0" fontId="66" fillId="0" borderId="15" xfId="40" applyNumberFormat="1" applyFont="1" applyBorder="1" applyAlignment="1">
      <alignment vertical="center"/>
    </xf>
    <xf numFmtId="0" fontId="66" fillId="0" borderId="13" xfId="40" applyNumberFormat="1" applyFont="1" applyBorder="1" applyAlignment="1">
      <alignment vertical="center"/>
    </xf>
    <xf numFmtId="0" fontId="66" fillId="0" borderId="13" xfId="40" applyNumberFormat="1" applyFont="1" applyBorder="1" applyAlignment="1">
      <alignment horizontal="center" vertical="center"/>
    </xf>
    <xf numFmtId="0" fontId="66" fillId="0" borderId="14" xfId="40" applyNumberFormat="1" applyFont="1" applyBorder="1" applyAlignment="1">
      <alignment horizontal="center" vertical="center"/>
    </xf>
    <xf numFmtId="0" fontId="66" fillId="0" borderId="79" xfId="40" applyNumberFormat="1" applyFont="1" applyBorder="1" applyAlignment="1">
      <alignment horizontal="left" vertical="center" indent="1"/>
    </xf>
    <xf numFmtId="0" fontId="66" fillId="0" borderId="29" xfId="40" applyNumberFormat="1" applyFont="1" applyBorder="1" applyAlignment="1">
      <alignment horizontal="left" vertical="center" indent="1"/>
    </xf>
    <xf numFmtId="0" fontId="66" fillId="0" borderId="17" xfId="40" applyNumberFormat="1" applyFont="1" applyBorder="1" applyAlignment="1">
      <alignment horizontal="left" vertical="center" indent="1"/>
    </xf>
    <xf numFmtId="0" fontId="7" fillId="0" borderId="0" xfId="40" applyNumberFormat="1" applyFont="1"/>
    <xf numFmtId="0" fontId="2" fillId="0" borderId="22" xfId="0" applyNumberFormat="1" applyFont="1" applyBorder="1" applyAlignment="1">
      <alignment vertical="center" wrapText="1"/>
    </xf>
    <xf numFmtId="0" fontId="6" fillId="0" borderId="13" xfId="0" applyNumberFormat="1" applyFont="1" applyBorder="1" applyAlignment="1">
      <alignment horizontal="left" vertical="center" wrapText="1"/>
    </xf>
    <xf numFmtId="0" fontId="6" fillId="0" borderId="13" xfId="0" applyNumberFormat="1" applyFont="1" applyBorder="1" applyAlignment="1">
      <alignment horizontal="left" vertical="center" wrapText="1" indent="1"/>
    </xf>
    <xf numFmtId="0" fontId="6" fillId="0" borderId="17" xfId="0" applyNumberFormat="1" applyFont="1" applyBorder="1" applyAlignment="1">
      <alignment horizontal="left" vertical="center" wrapText="1" indent="1"/>
    </xf>
    <xf numFmtId="0" fontId="6" fillId="0" borderId="13" xfId="0" applyNumberFormat="1" applyFont="1" applyFill="1" applyBorder="1" applyAlignment="1">
      <alignment horizontal="center" vertical="center" wrapText="1"/>
    </xf>
    <xf numFmtId="0" fontId="0" fillId="0" borderId="0" xfId="0" applyNumberFormat="1" applyBorder="1"/>
    <xf numFmtId="0" fontId="29" fillId="0" borderId="0" xfId="0" applyNumberFormat="1" applyFont="1" applyBorder="1"/>
    <xf numFmtId="0" fontId="2" fillId="0" borderId="13" xfId="0" applyNumberFormat="1" applyFont="1" applyBorder="1" applyAlignment="1">
      <alignment horizontal="left" vertical="center" wrapText="1"/>
    </xf>
    <xf numFmtId="0" fontId="6" fillId="0" borderId="17" xfId="0" applyNumberFormat="1" applyFont="1" applyFill="1" applyBorder="1" applyAlignment="1">
      <alignment horizontal="left" vertical="center" wrapText="1" indent="1"/>
    </xf>
    <xf numFmtId="0" fontId="6" fillId="0" borderId="14" xfId="0" applyNumberFormat="1" applyFont="1" applyFill="1" applyBorder="1" applyAlignment="1">
      <alignment horizontal="center" vertical="center" wrapText="1"/>
    </xf>
    <xf numFmtId="0" fontId="3" fillId="0" borderId="0" xfId="39" applyNumberFormat="1" applyFont="1"/>
    <xf numFmtId="0" fontId="2" fillId="0" borderId="15" xfId="39" applyNumberFormat="1" applyFont="1" applyBorder="1" applyAlignment="1">
      <alignment horizontal="center" vertical="center" wrapText="1"/>
    </xf>
    <xf numFmtId="0" fontId="2" fillId="0" borderId="13" xfId="39" applyNumberFormat="1" applyFont="1" applyBorder="1" applyAlignment="1">
      <alignment horizontal="center" vertical="center" wrapText="1"/>
    </xf>
    <xf numFmtId="0" fontId="27" fillId="0" borderId="0" xfId="0" applyNumberFormat="1" applyFont="1" applyBorder="1" applyAlignment="1">
      <alignment horizontal="left"/>
    </xf>
    <xf numFmtId="0" fontId="3" fillId="0" borderId="0" xfId="0" applyNumberFormat="1" applyFont="1" applyBorder="1"/>
    <xf numFmtId="0" fontId="27"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2" fillId="0" borderId="13" xfId="0" applyNumberFormat="1" applyFont="1" applyBorder="1" applyAlignment="1">
      <alignment vertical="top" wrapText="1"/>
    </xf>
    <xf numFmtId="0" fontId="2" fillId="0" borderId="13" xfId="0" applyNumberFormat="1" applyFont="1" applyBorder="1" applyAlignment="1">
      <alignment horizontal="left" vertical="top" wrapText="1" indent="1"/>
    </xf>
    <xf numFmtId="0" fontId="3" fillId="0" borderId="13" xfId="0" applyNumberFormat="1" applyFont="1" applyBorder="1" applyAlignment="1">
      <alignment horizontal="left" vertical="top" wrapText="1" indent="1"/>
    </xf>
    <xf numFmtId="0" fontId="66" fillId="0" borderId="13" xfId="0" applyNumberFormat="1" applyFont="1" applyBorder="1" applyAlignment="1">
      <alignment horizontal="left" vertical="center" wrapText="1" indent="1"/>
    </xf>
    <xf numFmtId="0" fontId="68" fillId="0" borderId="13" xfId="0" applyNumberFormat="1" applyFont="1" applyFill="1" applyBorder="1" applyAlignment="1">
      <alignment horizontal="left" vertical="center" wrapText="1" indent="1"/>
    </xf>
    <xf numFmtId="0" fontId="66" fillId="0" borderId="27" xfId="0" applyNumberFormat="1" applyFont="1" applyBorder="1" applyAlignment="1">
      <alignment horizontal="left" vertical="center" wrapText="1" indent="1"/>
    </xf>
    <xf numFmtId="0" fontId="66" fillId="0" borderId="76" xfId="0" applyNumberFormat="1" applyFont="1" applyBorder="1" applyAlignment="1">
      <alignment horizontal="left" vertical="center" wrapText="1" indent="1"/>
    </xf>
    <xf numFmtId="0" fontId="52" fillId="0" borderId="14" xfId="0" applyNumberFormat="1" applyFont="1" applyFill="1" applyBorder="1" applyAlignment="1">
      <alignment horizontal="center" vertical="center" wrapText="1"/>
    </xf>
    <xf numFmtId="0" fontId="3" fillId="0" borderId="0" xfId="0" applyNumberFormat="1" applyFont="1" applyFill="1" applyBorder="1"/>
    <xf numFmtId="0" fontId="2" fillId="0" borderId="0"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wrapText="1"/>
    </xf>
    <xf numFmtId="0" fontId="2" fillId="0" borderId="13" xfId="0" applyNumberFormat="1" applyFont="1" applyFill="1" applyBorder="1" applyAlignment="1">
      <alignment horizontal="left" vertical="center" wrapText="1"/>
    </xf>
    <xf numFmtId="0" fontId="6" fillId="0" borderId="20" xfId="0" applyNumberFormat="1" applyFont="1" applyFill="1" applyBorder="1" applyAlignment="1">
      <alignment horizontal="center" vertical="center" wrapText="1"/>
    </xf>
    <xf numFmtId="0" fontId="91" fillId="0" borderId="13" xfId="0" applyNumberFormat="1" applyFont="1" applyFill="1" applyBorder="1" applyAlignment="1">
      <alignment horizontal="center" vertical="center" wrapText="1"/>
    </xf>
    <xf numFmtId="0" fontId="91" fillId="0" borderId="14" xfId="0" applyNumberFormat="1" applyFont="1" applyFill="1" applyBorder="1" applyAlignment="1">
      <alignment horizontal="center" vertical="center" wrapText="1"/>
    </xf>
    <xf numFmtId="0" fontId="3" fillId="0" borderId="0" xfId="0" applyNumberFormat="1" applyFont="1" applyFill="1" applyBorder="1" applyAlignment="1">
      <alignment vertical="center"/>
    </xf>
    <xf numFmtId="0" fontId="2" fillId="0" borderId="13" xfId="0" applyNumberFormat="1" applyFont="1" applyFill="1" applyBorder="1" applyAlignment="1">
      <alignment vertical="center" wrapText="1"/>
    </xf>
    <xf numFmtId="0" fontId="72" fillId="0" borderId="13" xfId="0" applyNumberFormat="1" applyFont="1" applyFill="1" applyBorder="1" applyAlignment="1">
      <alignment vertical="center" wrapText="1"/>
    </xf>
    <xf numFmtId="0" fontId="3" fillId="0" borderId="13" xfId="0" applyNumberFormat="1" applyFont="1" applyFill="1" applyBorder="1" applyAlignment="1">
      <alignment vertical="center" wrapText="1"/>
    </xf>
    <xf numFmtId="0" fontId="7" fillId="0" borderId="13" xfId="0" applyNumberFormat="1" applyFont="1" applyFill="1" applyBorder="1" applyAlignment="1">
      <alignment vertical="center" wrapText="1"/>
    </xf>
    <xf numFmtId="0" fontId="6" fillId="0" borderId="17" xfId="0" applyNumberFormat="1" applyFont="1" applyFill="1" applyBorder="1" applyAlignment="1">
      <alignment vertical="center" wrapText="1"/>
    </xf>
    <xf numFmtId="0" fontId="22" fillId="0" borderId="0" xfId="0" applyNumberFormat="1" applyFont="1" applyFill="1" applyBorder="1" applyAlignment="1">
      <alignment vertical="center"/>
    </xf>
    <xf numFmtId="0" fontId="101" fillId="0" borderId="0" xfId="0" applyNumberFormat="1" applyFont="1" applyAlignment="1">
      <alignment horizontal="left" vertical="center"/>
    </xf>
    <xf numFmtId="0" fontId="75" fillId="0" borderId="0" xfId="0" applyNumberFormat="1" applyFont="1" applyFill="1" applyBorder="1" applyAlignment="1">
      <alignment vertical="center"/>
    </xf>
    <xf numFmtId="0" fontId="100" fillId="0" borderId="0" xfId="0" applyNumberFormat="1" applyFont="1" applyFill="1" applyBorder="1"/>
    <xf numFmtId="0" fontId="22" fillId="0" borderId="0" xfId="0" applyNumberFormat="1" applyFont="1" applyFill="1" applyBorder="1" applyAlignment="1"/>
    <xf numFmtId="0" fontId="95" fillId="0" borderId="0" xfId="0" applyNumberFormat="1" applyFont="1" applyFill="1" applyBorder="1" applyAlignment="1">
      <alignment vertical="center"/>
    </xf>
    <xf numFmtId="0" fontId="2" fillId="0" borderId="22" xfId="0" applyNumberFormat="1" applyFont="1" applyBorder="1" applyAlignment="1">
      <alignment horizontal="center" vertical="center" wrapText="1"/>
    </xf>
    <xf numFmtId="0" fontId="2" fillId="0" borderId="29" xfId="0" applyNumberFormat="1" applyFont="1" applyBorder="1" applyAlignment="1">
      <alignment horizontal="center" vertical="center" wrapText="1"/>
    </xf>
    <xf numFmtId="0" fontId="6" fillId="0" borderId="34" xfId="0" applyNumberFormat="1" applyFont="1" applyBorder="1" applyAlignment="1">
      <alignment horizontal="center" vertical="center" wrapText="1"/>
    </xf>
    <xf numFmtId="0" fontId="68" fillId="0" borderId="13" xfId="42" applyNumberFormat="1" applyFont="1" applyBorder="1" applyAlignment="1">
      <alignment horizontal="left" vertical="center" wrapText="1" indent="1"/>
    </xf>
    <xf numFmtId="0" fontId="66" fillId="0" borderId="13" xfId="42" applyNumberFormat="1" applyFont="1" applyBorder="1" applyAlignment="1">
      <alignment horizontal="left" vertical="center" wrapText="1" indent="1"/>
    </xf>
    <xf numFmtId="0" fontId="6" fillId="0" borderId="13" xfId="42" applyNumberFormat="1" applyFont="1" applyBorder="1" applyAlignment="1">
      <alignment horizontal="left" vertical="center" wrapText="1" indent="1"/>
    </xf>
    <xf numFmtId="0" fontId="3" fillId="0" borderId="19" xfId="42" applyNumberFormat="1" applyFont="1" applyBorder="1" applyAlignment="1">
      <alignment horizontal="left" vertical="top" wrapText="1" indent="1"/>
    </xf>
    <xf numFmtId="0" fontId="6" fillId="0" borderId="19" xfId="42" applyNumberFormat="1" applyFont="1" applyBorder="1" applyAlignment="1">
      <alignment horizontal="left" vertical="top" wrapText="1" indent="1"/>
    </xf>
    <xf numFmtId="0" fontId="70" fillId="0" borderId="17" xfId="42" applyNumberFormat="1" applyFont="1" applyBorder="1" applyAlignment="1">
      <alignment horizontal="left" vertical="center" wrapText="1" indent="1"/>
    </xf>
    <xf numFmtId="0" fontId="3" fillId="0" borderId="0" xfId="0" applyNumberFormat="1" applyFont="1" applyBorder="1" applyAlignment="1">
      <alignment horizontal="right" vertical="center" wrapText="1"/>
    </xf>
    <xf numFmtId="0" fontId="3" fillId="0" borderId="0" xfId="0" applyNumberFormat="1" applyFont="1" applyBorder="1" applyAlignment="1">
      <alignment vertical="center"/>
    </xf>
    <xf numFmtId="0" fontId="3" fillId="0" borderId="0" xfId="0" applyNumberFormat="1" applyFont="1" applyBorder="1" applyAlignment="1">
      <alignment vertical="center" wrapText="1"/>
    </xf>
    <xf numFmtId="0" fontId="0" fillId="0" borderId="0" xfId="0" applyNumberFormat="1"/>
    <xf numFmtId="0" fontId="68" fillId="0" borderId="17" xfId="42" applyNumberFormat="1" applyFont="1" applyBorder="1" applyAlignment="1">
      <alignment horizontal="left" vertical="center" wrapText="1" indent="1"/>
    </xf>
    <xf numFmtId="0" fontId="7" fillId="0" borderId="13" xfId="0" applyNumberFormat="1" applyFont="1" applyFill="1" applyBorder="1" applyAlignment="1">
      <alignment horizontal="left" vertical="center" wrapText="1" indent="1"/>
    </xf>
    <xf numFmtId="0" fontId="3" fillId="0" borderId="0" xfId="0" applyNumberFormat="1" applyFont="1" applyBorder="1" applyAlignment="1">
      <alignment horizontal="left" vertical="center" wrapText="1"/>
    </xf>
    <xf numFmtId="0" fontId="4" fillId="0" borderId="0" xfId="0" applyNumberFormat="1" applyFont="1" applyAlignment="1">
      <alignment horizontal="center" vertical="center" wrapText="1"/>
    </xf>
    <xf numFmtId="0" fontId="9" fillId="0" borderId="13" xfId="0" applyNumberFormat="1" applyFont="1" applyFill="1" applyBorder="1" applyAlignment="1">
      <alignment horizontal="left" vertical="center" wrapText="1" indent="1"/>
    </xf>
    <xf numFmtId="0" fontId="2" fillId="0" borderId="17" xfId="0" applyNumberFormat="1" applyFont="1" applyFill="1" applyBorder="1" applyAlignment="1">
      <alignment horizontal="left" wrapText="1" indent="1"/>
    </xf>
    <xf numFmtId="0" fontId="6" fillId="0" borderId="13" xfId="0" applyNumberFormat="1" applyFont="1" applyBorder="1" applyAlignment="1">
      <alignment vertical="center" wrapText="1"/>
    </xf>
    <xf numFmtId="0" fontId="68" fillId="0" borderId="19" xfId="0" applyNumberFormat="1" applyFont="1" applyBorder="1" applyAlignment="1">
      <alignment horizontal="left" vertical="center" wrapText="1" indent="1"/>
    </xf>
    <xf numFmtId="0" fontId="66" fillId="0" borderId="19" xfId="0" applyNumberFormat="1" applyFont="1" applyBorder="1" applyAlignment="1">
      <alignment horizontal="left" vertical="center" wrapText="1" indent="1"/>
    </xf>
    <xf numFmtId="0" fontId="66" fillId="0" borderId="17" xfId="0" applyNumberFormat="1" applyFont="1" applyFill="1" applyBorder="1" applyAlignment="1">
      <alignment horizontal="left" vertical="center" wrapText="1" indent="1"/>
    </xf>
    <xf numFmtId="0" fontId="7" fillId="0" borderId="29" xfId="39" applyNumberFormat="1" applyFont="1" applyBorder="1" applyAlignment="1">
      <alignment horizontal="center" vertical="center" wrapText="1"/>
    </xf>
    <xf numFmtId="0" fontId="7" fillId="0" borderId="34" xfId="39" applyNumberFormat="1" applyFont="1" applyBorder="1" applyAlignment="1">
      <alignment horizontal="center" vertical="center" wrapText="1"/>
    </xf>
    <xf numFmtId="0" fontId="6" fillId="0" borderId="13" xfId="39" applyNumberFormat="1" applyFont="1" applyBorder="1" applyAlignment="1">
      <alignment horizontal="center" vertical="center" wrapText="1"/>
    </xf>
    <xf numFmtId="0" fontId="6" fillId="0" borderId="14" xfId="39" applyNumberFormat="1" applyFont="1" applyBorder="1" applyAlignment="1">
      <alignment horizontal="center" vertical="center" wrapText="1"/>
    </xf>
    <xf numFmtId="0" fontId="6" fillId="0" borderId="13" xfId="39" applyNumberFormat="1" applyFont="1" applyBorder="1" applyAlignment="1">
      <alignment horizontal="left" vertical="center" wrapText="1" indent="1"/>
    </xf>
    <xf numFmtId="0" fontId="6" fillId="0" borderId="17" xfId="39" applyNumberFormat="1" applyFont="1" applyBorder="1" applyAlignment="1">
      <alignment horizontal="left" vertical="center" wrapText="1" indent="1"/>
    </xf>
    <xf numFmtId="0" fontId="6" fillId="0" borderId="0" xfId="44" applyNumberFormat="1" applyFont="1" applyBorder="1" applyAlignment="1">
      <alignment vertical="center" wrapText="1"/>
    </xf>
    <xf numFmtId="0" fontId="66" fillId="0" borderId="13" xfId="44" applyNumberFormat="1" applyFont="1" applyBorder="1" applyAlignment="1">
      <alignment horizontal="center" vertical="center" wrapText="1"/>
    </xf>
    <xf numFmtId="0" fontId="6" fillId="0" borderId="13" xfId="44" applyNumberFormat="1" applyFont="1" applyBorder="1" applyAlignment="1">
      <alignment horizontal="center" vertical="center" wrapText="1"/>
    </xf>
    <xf numFmtId="0" fontId="6" fillId="0" borderId="14" xfId="44" applyNumberFormat="1" applyFont="1" applyBorder="1" applyAlignment="1">
      <alignment horizontal="center" vertical="center" wrapText="1"/>
    </xf>
    <xf numFmtId="0" fontId="6" fillId="0" borderId="0" xfId="44" applyNumberFormat="1" applyFont="1" applyBorder="1" applyAlignment="1">
      <alignment horizontal="center" vertical="center" wrapText="1"/>
    </xf>
    <xf numFmtId="0" fontId="6" fillId="0" borderId="15" xfId="44" applyNumberFormat="1" applyFont="1" applyBorder="1" applyAlignment="1">
      <alignment vertical="center" wrapText="1"/>
    </xf>
    <xf numFmtId="0" fontId="7" fillId="0" borderId="0" xfId="43" applyNumberFormat="1" applyFont="1" applyAlignment="1">
      <alignment vertical="center" wrapText="1"/>
    </xf>
    <xf numFmtId="0" fontId="6" fillId="37" borderId="31" xfId="43" applyNumberFormat="1" applyFont="1" applyFill="1" applyBorder="1" applyAlignment="1">
      <alignment horizontal="center" vertical="center" wrapText="1"/>
    </xf>
    <xf numFmtId="0" fontId="6" fillId="37" borderId="53" xfId="43" applyNumberFormat="1" applyFont="1" applyFill="1" applyBorder="1" applyAlignment="1">
      <alignment horizontal="center" vertical="center" wrapText="1"/>
    </xf>
    <xf numFmtId="0" fontId="6" fillId="37" borderId="64" xfId="43" applyNumberFormat="1" applyFont="1" applyFill="1" applyBorder="1" applyAlignment="1">
      <alignment horizontal="center" vertical="center" wrapText="1"/>
    </xf>
    <xf numFmtId="0" fontId="6" fillId="0" borderId="0" xfId="43" applyNumberFormat="1" applyFont="1" applyAlignment="1">
      <alignment horizontal="center" vertical="center" wrapText="1"/>
    </xf>
    <xf numFmtId="0" fontId="6" fillId="0" borderId="22" xfId="43" applyNumberFormat="1" applyFont="1" applyFill="1" applyBorder="1" applyAlignment="1">
      <alignment horizontal="center" vertical="center" wrapText="1"/>
    </xf>
    <xf numFmtId="0" fontId="6" fillId="37" borderId="29" xfId="43" applyNumberFormat="1" applyFont="1" applyFill="1" applyBorder="1" applyAlignment="1">
      <alignment horizontal="center" vertical="center" wrapText="1"/>
    </xf>
    <xf numFmtId="0" fontId="6" fillId="37" borderId="37" xfId="43" applyNumberFormat="1" applyFont="1" applyFill="1" applyBorder="1" applyAlignment="1">
      <alignment horizontal="center" vertical="center" wrapText="1"/>
    </xf>
    <xf numFmtId="0" fontId="6" fillId="37" borderId="42" xfId="43" applyNumberFormat="1" applyFont="1" applyFill="1" applyBorder="1" applyAlignment="1">
      <alignment horizontal="center" vertical="center" wrapText="1"/>
    </xf>
    <xf numFmtId="0" fontId="22" fillId="0" borderId="29" xfId="41" applyNumberFormat="1" applyFont="1" applyBorder="1"/>
    <xf numFmtId="0" fontId="22" fillId="0" borderId="13" xfId="41" applyNumberFormat="1" applyFont="1" applyBorder="1"/>
    <xf numFmtId="0" fontId="22" fillId="0" borderId="13" xfId="41" applyNumberFormat="1" applyFont="1" applyBorder="1" applyAlignment="1">
      <alignment vertical="center"/>
    </xf>
    <xf numFmtId="0" fontId="82" fillId="0" borderId="13" xfId="41" applyNumberFormat="1" applyFont="1" applyBorder="1"/>
    <xf numFmtId="0" fontId="7" fillId="0" borderId="22" xfId="41" applyNumberFormat="1" applyFont="1" applyBorder="1" applyAlignment="1">
      <alignment horizontal="left" indent="1"/>
    </xf>
    <xf numFmtId="0" fontId="7" fillId="0" borderId="29" xfId="41" applyNumberFormat="1" applyFont="1" applyBorder="1"/>
    <xf numFmtId="0" fontId="7" fillId="0" borderId="37" xfId="41" applyNumberFormat="1" applyFont="1" applyBorder="1" applyAlignment="1">
      <alignment horizontal="center"/>
    </xf>
    <xf numFmtId="0" fontId="7" fillId="0" borderId="15" xfId="41" applyNumberFormat="1" applyFont="1" applyBorder="1" applyAlignment="1">
      <alignment horizontal="left" indent="1"/>
    </xf>
    <xf numFmtId="0" fontId="7" fillId="0" borderId="13" xfId="41" applyNumberFormat="1" applyFont="1" applyBorder="1"/>
    <xf numFmtId="0" fontId="7" fillId="0" borderId="20" xfId="41" applyNumberFormat="1" applyFont="1" applyBorder="1" applyAlignment="1">
      <alignment horizontal="center"/>
    </xf>
    <xf numFmtId="0" fontId="7" fillId="0" borderId="15" xfId="41" applyNumberFormat="1" applyFont="1" applyFill="1" applyBorder="1" applyAlignment="1">
      <alignment horizontal="left" indent="1"/>
    </xf>
    <xf numFmtId="0" fontId="7" fillId="0" borderId="21" xfId="41" applyNumberFormat="1" applyFont="1" applyFill="1" applyBorder="1" applyAlignment="1">
      <alignment horizontal="left" indent="1"/>
    </xf>
    <xf numFmtId="0" fontId="68" fillId="0" borderId="19" xfId="41" applyNumberFormat="1" applyFont="1" applyBorder="1"/>
    <xf numFmtId="0" fontId="7" fillId="0" borderId="19" xfId="41" applyNumberFormat="1" applyFont="1" applyBorder="1"/>
    <xf numFmtId="0" fontId="7" fillId="0" borderId="35" xfId="41" applyNumberFormat="1" applyFont="1" applyBorder="1" applyAlignment="1">
      <alignment horizontal="center"/>
    </xf>
    <xf numFmtId="0" fontId="52" fillId="32" borderId="53" xfId="41" applyNumberFormat="1" applyFont="1" applyFill="1" applyBorder="1" applyAlignment="1">
      <alignment horizontal="center" vertical="center"/>
    </xf>
    <xf numFmtId="0" fontId="22" fillId="0" borderId="22" xfId="41" applyNumberFormat="1" applyFont="1" applyBorder="1" applyAlignment="1">
      <alignment horizontal="left" indent="1"/>
    </xf>
    <xf numFmtId="0" fontId="22" fillId="0" borderId="37" xfId="41" applyNumberFormat="1" applyFont="1" applyBorder="1" applyAlignment="1">
      <alignment horizontal="center"/>
    </xf>
    <xf numFmtId="0" fontId="22" fillId="0" borderId="15" xfId="41" applyNumberFormat="1" applyFont="1" applyBorder="1" applyAlignment="1">
      <alignment horizontal="left" indent="1"/>
    </xf>
    <xf numFmtId="0" fontId="22" fillId="0" borderId="20" xfId="41" applyNumberFormat="1" applyFont="1" applyBorder="1" applyAlignment="1">
      <alignment horizontal="center"/>
    </xf>
    <xf numFmtId="0" fontId="22" fillId="0" borderId="15" xfId="41" applyNumberFormat="1" applyFont="1" applyFill="1" applyBorder="1" applyAlignment="1">
      <alignment horizontal="left" indent="1"/>
    </xf>
    <xf numFmtId="0" fontId="52" fillId="32" borderId="20" xfId="41" applyNumberFormat="1" applyFont="1" applyFill="1" applyBorder="1" applyAlignment="1">
      <alignment horizontal="center"/>
    </xf>
    <xf numFmtId="0" fontId="52" fillId="0" borderId="20" xfId="41" applyNumberFormat="1" applyFont="1" applyBorder="1" applyAlignment="1">
      <alignment horizontal="center"/>
    </xf>
    <xf numFmtId="0" fontId="52" fillId="32" borderId="28" xfId="41" applyNumberFormat="1" applyFont="1" applyFill="1" applyBorder="1" applyAlignment="1">
      <alignment horizontal="center"/>
    </xf>
    <xf numFmtId="0" fontId="69" fillId="0" borderId="0" xfId="89" applyFont="1" applyFill="1" applyAlignment="1"/>
    <xf numFmtId="0" fontId="9" fillId="0" borderId="0" xfId="0" applyFont="1" applyAlignment="1">
      <alignment horizontal="left" wrapText="1" indent="1"/>
    </xf>
    <xf numFmtId="0" fontId="69" fillId="0" borderId="0" xfId="39" applyNumberFormat="1" applyFont="1"/>
    <xf numFmtId="0" fontId="7" fillId="0" borderId="15" xfId="89" applyFont="1" applyBorder="1" applyAlignment="1">
      <alignment horizontal="center" vertical="center"/>
    </xf>
    <xf numFmtId="49" fontId="7" fillId="36" borderId="13" xfId="89" applyNumberFormat="1" applyFont="1" applyFill="1" applyBorder="1" applyAlignment="1">
      <alignment horizontal="left" vertical="top" wrapText="1" indent="1"/>
    </xf>
    <xf numFmtId="0" fontId="3" fillId="0" borderId="15" xfId="89" applyFont="1" applyFill="1" applyBorder="1" applyAlignment="1">
      <alignment horizontal="center" vertical="center"/>
    </xf>
    <xf numFmtId="49" fontId="2" fillId="0" borderId="13" xfId="89" applyNumberFormat="1" applyFont="1" applyBorder="1" applyAlignment="1">
      <alignment horizontal="left" vertical="top" wrapText="1" indent="1"/>
    </xf>
    <xf numFmtId="49" fontId="2" fillId="36" borderId="13" xfId="89" applyNumberFormat="1" applyFont="1" applyFill="1" applyBorder="1" applyAlignment="1">
      <alignment horizontal="left" vertical="top" wrapText="1" indent="1"/>
    </xf>
    <xf numFmtId="0" fontId="3" fillId="0" borderId="21" xfId="0" applyFont="1" applyBorder="1" applyAlignment="1">
      <alignment horizontal="center" vertical="center" wrapText="1"/>
    </xf>
    <xf numFmtId="0" fontId="6" fillId="37" borderId="14" xfId="0" applyNumberFormat="1" applyFont="1" applyFill="1" applyBorder="1" applyAlignment="1">
      <alignment horizontal="center" vertical="center" wrapText="1"/>
    </xf>
    <xf numFmtId="0" fontId="2" fillId="0" borderId="15" xfId="39" applyFont="1" applyBorder="1" applyAlignment="1">
      <alignment horizontal="center" vertical="center" wrapText="1"/>
    </xf>
    <xf numFmtId="49" fontId="2" fillId="0" borderId="13" xfId="39" applyNumberFormat="1" applyFont="1" applyBorder="1" applyAlignment="1">
      <alignment horizontal="center" vertical="center" wrapText="1"/>
    </xf>
    <xf numFmtId="0" fontId="2" fillId="0" borderId="13" xfId="39" applyFont="1" applyBorder="1" applyAlignment="1">
      <alignment horizontal="center" vertical="center" wrapText="1"/>
    </xf>
    <xf numFmtId="0" fontId="2" fillId="0" borderId="14" xfId="39" applyFont="1" applyBorder="1" applyAlignment="1">
      <alignment horizontal="center" vertical="center" wrapText="1"/>
    </xf>
    <xf numFmtId="0" fontId="3" fillId="0" borderId="15" xfId="39" applyFont="1" applyBorder="1" applyAlignment="1">
      <alignment horizontal="center" wrapText="1"/>
    </xf>
    <xf numFmtId="49" fontId="2" fillId="0" borderId="13" xfId="39" applyNumberFormat="1" applyFont="1" applyBorder="1" applyAlignment="1">
      <alignment vertical="top" wrapText="1"/>
    </xf>
    <xf numFmtId="3" fontId="3" fillId="0" borderId="13" xfId="39" applyNumberFormat="1" applyFont="1" applyFill="1" applyBorder="1" applyAlignment="1">
      <alignment horizontal="center" wrapText="1"/>
    </xf>
    <xf numFmtId="3" fontId="3" fillId="0" borderId="38" xfId="39" applyNumberFormat="1" applyFont="1" applyFill="1" applyBorder="1" applyAlignment="1">
      <alignment horizontal="center" wrapText="1"/>
    </xf>
    <xf numFmtId="49" fontId="2" fillId="0" borderId="13" xfId="39" applyNumberFormat="1" applyFont="1" applyBorder="1" applyAlignment="1">
      <alignment horizontal="left" vertical="center" wrapText="1" indent="1"/>
    </xf>
    <xf numFmtId="49" fontId="3" fillId="0" borderId="13" xfId="39" applyNumberFormat="1" applyFont="1" applyBorder="1" applyAlignment="1">
      <alignment horizontal="left" vertical="center" wrapText="1" indent="1"/>
    </xf>
    <xf numFmtId="49" fontId="7" fillId="0" borderId="13" xfId="39" applyNumberFormat="1" applyFont="1" applyBorder="1" applyAlignment="1">
      <alignment horizontal="left" vertical="center" wrapText="1" indent="1"/>
    </xf>
    <xf numFmtId="49" fontId="3" fillId="0" borderId="13" xfId="39" applyNumberFormat="1" applyFont="1" applyFill="1" applyBorder="1" applyAlignment="1">
      <alignment horizontal="left" vertical="center" wrapText="1" indent="1"/>
    </xf>
    <xf numFmtId="3" fontId="7" fillId="35" borderId="13" xfId="39" applyNumberFormat="1" applyFont="1" applyFill="1" applyBorder="1" applyAlignment="1">
      <alignment horizontal="right" vertical="center" wrapText="1" indent="1"/>
    </xf>
    <xf numFmtId="49" fontId="2" fillId="0" borderId="17" xfId="39" applyNumberFormat="1" applyFont="1" applyBorder="1" applyAlignment="1">
      <alignment horizontal="left" vertical="center" wrapText="1" indent="1"/>
    </xf>
    <xf numFmtId="0" fontId="69" fillId="0" borderId="15" xfId="39" applyFont="1" applyFill="1" applyBorder="1" applyAlignment="1">
      <alignment horizontal="center" vertical="center" wrapText="1"/>
    </xf>
    <xf numFmtId="0" fontId="2"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6" fillId="37" borderId="37" xfId="0" applyNumberFormat="1" applyFont="1" applyFill="1" applyBorder="1" applyAlignment="1">
      <alignment horizontal="center" vertical="center" wrapText="1"/>
    </xf>
    <xf numFmtId="3" fontId="6" fillId="24" borderId="28" xfId="0" applyNumberFormat="1" applyFont="1" applyFill="1" applyBorder="1" applyAlignment="1">
      <alignment horizontal="center" vertical="center" wrapText="1"/>
    </xf>
    <xf numFmtId="0" fontId="6" fillId="0" borderId="13" xfId="0" applyFont="1" applyBorder="1" applyAlignment="1">
      <alignment horizontal="left" vertical="center" wrapText="1" indent="1"/>
    </xf>
    <xf numFmtId="0" fontId="6" fillId="0" borderId="17" xfId="0" applyFont="1" applyBorder="1" applyAlignment="1">
      <alignment horizontal="left" vertical="center" wrapText="1" indent="1"/>
    </xf>
    <xf numFmtId="3" fontId="6" fillId="35" borderId="13" xfId="0" applyNumberFormat="1" applyFont="1" applyFill="1" applyBorder="1" applyAlignment="1">
      <alignment horizontal="right" vertical="center" wrapText="1" indent="1"/>
    </xf>
    <xf numFmtId="3" fontId="6" fillId="35" borderId="13" xfId="0" applyNumberFormat="1" applyFont="1" applyFill="1" applyBorder="1" applyAlignment="1">
      <alignment horizontal="center" vertical="center" wrapText="1"/>
    </xf>
    <xf numFmtId="3" fontId="6" fillId="35" borderId="13" xfId="90" applyNumberFormat="1" applyFont="1" applyFill="1" applyBorder="1" applyAlignment="1">
      <alignment horizontal="center" vertical="center" wrapText="1"/>
    </xf>
    <xf numFmtId="3" fontId="7" fillId="0" borderId="13" xfId="90" applyNumberFormat="1" applyFont="1" applyBorder="1" applyAlignment="1">
      <alignment horizontal="center" vertical="center" wrapText="1"/>
    </xf>
    <xf numFmtId="0" fontId="3" fillId="0" borderId="0" xfId="39" applyFont="1" applyFill="1"/>
    <xf numFmtId="49" fontId="3" fillId="0" borderId="0" xfId="39" applyNumberFormat="1" applyFont="1" applyFill="1"/>
    <xf numFmtId="49" fontId="69" fillId="0" borderId="13" xfId="39" applyNumberFormat="1" applyFont="1" applyFill="1" applyBorder="1" applyAlignment="1">
      <alignment horizontal="left" vertical="center" wrapText="1" indent="1"/>
    </xf>
    <xf numFmtId="0" fontId="100" fillId="0" borderId="29" xfId="0" applyNumberFormat="1" applyFont="1" applyBorder="1" applyAlignment="1">
      <alignment horizontal="center" vertical="center" wrapText="1"/>
    </xf>
    <xf numFmtId="0" fontId="22" fillId="0" borderId="20" xfId="90" applyFont="1" applyBorder="1" applyAlignment="1">
      <alignment vertical="center"/>
    </xf>
    <xf numFmtId="0" fontId="22" fillId="0" borderId="52" xfId="90" applyFont="1" applyBorder="1" applyAlignment="1">
      <alignment vertical="center"/>
    </xf>
    <xf numFmtId="49" fontId="77" fillId="0" borderId="52" xfId="90" applyNumberFormat="1" applyFont="1" applyBorder="1"/>
    <xf numFmtId="0" fontId="22" fillId="0" borderId="27" xfId="90" applyFont="1" applyBorder="1"/>
    <xf numFmtId="49" fontId="3" fillId="0" borderId="13" xfId="0" applyNumberFormat="1" applyFont="1" applyBorder="1" applyAlignment="1" applyProtection="1">
      <alignment horizontal="left" vertical="top" wrapText="1" indent="1"/>
      <protection locked="0"/>
    </xf>
    <xf numFmtId="0" fontId="3" fillId="0" borderId="0" xfId="90" applyNumberFormat="1" applyFont="1" applyAlignment="1">
      <alignment vertical="center" wrapText="1"/>
    </xf>
    <xf numFmtId="0" fontId="2" fillId="0" borderId="35" xfId="90" applyNumberFormat="1" applyFont="1" applyBorder="1" applyAlignment="1">
      <alignment horizontal="center" vertical="center" wrapText="1"/>
    </xf>
    <xf numFmtId="0" fontId="2" fillId="0" borderId="26" xfId="90" applyNumberFormat="1" applyFont="1" applyBorder="1" applyAlignment="1">
      <alignment horizontal="center" vertical="center" wrapText="1"/>
    </xf>
    <xf numFmtId="0" fontId="2" fillId="0" borderId="15" xfId="90" applyNumberFormat="1" applyFont="1" applyBorder="1" applyAlignment="1">
      <alignment vertical="center" wrapText="1"/>
    </xf>
    <xf numFmtId="0" fontId="6" fillId="0" borderId="13" xfId="90" applyNumberFormat="1" applyFont="1" applyBorder="1" applyAlignment="1">
      <alignment horizontal="left" vertical="center" wrapText="1"/>
    </xf>
    <xf numFmtId="0" fontId="6" fillId="0" borderId="13" xfId="90" applyNumberFormat="1" applyFont="1" applyFill="1" applyBorder="1" applyAlignment="1">
      <alignment horizontal="center" vertical="center" wrapText="1"/>
    </xf>
    <xf numFmtId="0" fontId="6" fillId="0" borderId="13" xfId="90" applyNumberFormat="1" applyFont="1" applyBorder="1" applyAlignment="1">
      <alignment horizontal="center" vertical="center" wrapText="1"/>
    </xf>
    <xf numFmtId="0" fontId="6" fillId="0" borderId="14" xfId="90" applyNumberFormat="1" applyFont="1" applyBorder="1" applyAlignment="1">
      <alignment horizontal="center" vertical="center" wrapText="1"/>
    </xf>
    <xf numFmtId="0" fontId="3" fillId="0" borderId="15" xfId="90" applyFont="1" applyBorder="1" applyAlignment="1">
      <alignment horizontal="center" vertical="center" wrapText="1"/>
    </xf>
    <xf numFmtId="0" fontId="6" fillId="0" borderId="13" xfId="90" applyNumberFormat="1" applyFont="1" applyFill="1" applyBorder="1" applyAlignment="1">
      <alignment horizontal="left" vertical="center" wrapText="1" indent="1"/>
    </xf>
    <xf numFmtId="3" fontId="6" fillId="35" borderId="13" xfId="90" applyNumberFormat="1" applyFont="1" applyFill="1" applyBorder="1" applyAlignment="1">
      <alignment horizontal="right" vertical="center" wrapText="1" indent="1"/>
    </xf>
    <xf numFmtId="3" fontId="6" fillId="35" borderId="14" xfId="90" applyNumberFormat="1" applyFont="1" applyFill="1" applyBorder="1" applyAlignment="1">
      <alignment horizontal="right" vertical="center" wrapText="1" indent="1"/>
    </xf>
    <xf numFmtId="0" fontId="3" fillId="0" borderId="0" xfId="90" applyFont="1" applyAlignment="1">
      <alignment vertical="center" wrapText="1"/>
    </xf>
    <xf numFmtId="0" fontId="75" fillId="0" borderId="13" xfId="90" applyNumberFormat="1" applyFont="1" applyFill="1" applyBorder="1" applyAlignment="1">
      <alignment horizontal="left" vertical="center" wrapText="1" indent="1"/>
    </xf>
    <xf numFmtId="3" fontId="7" fillId="0" borderId="14" xfId="90" applyNumberFormat="1" applyFont="1" applyBorder="1" applyAlignment="1">
      <alignment horizontal="center" vertical="center" wrapText="1"/>
    </xf>
    <xf numFmtId="0" fontId="6" fillId="0" borderId="13" xfId="90" applyNumberFormat="1" applyFont="1" applyBorder="1" applyAlignment="1">
      <alignment horizontal="left" vertical="center" wrapText="1" indent="1"/>
    </xf>
    <xf numFmtId="0" fontId="75" fillId="0" borderId="13" xfId="90" applyNumberFormat="1" applyFont="1" applyBorder="1" applyAlignment="1">
      <alignment horizontal="left" vertical="center" wrapText="1" indent="1"/>
    </xf>
    <xf numFmtId="0" fontId="6" fillId="0" borderId="19" xfId="90" applyNumberFormat="1" applyFont="1" applyFill="1" applyBorder="1" applyAlignment="1">
      <alignment horizontal="left" vertical="center" wrapText="1" indent="1"/>
    </xf>
    <xf numFmtId="3" fontId="6" fillId="35" borderId="19" xfId="90" applyNumberFormat="1" applyFont="1" applyFill="1" applyBorder="1" applyAlignment="1">
      <alignment horizontal="right" vertical="center" wrapText="1" indent="1"/>
    </xf>
    <xf numFmtId="3" fontId="6" fillId="24" borderId="13" xfId="90" applyNumberFormat="1" applyFont="1" applyFill="1" applyBorder="1" applyAlignment="1">
      <alignment horizontal="right" vertical="center" wrapText="1" indent="1"/>
    </xf>
    <xf numFmtId="0" fontId="75" fillId="0" borderId="86" xfId="90" applyNumberFormat="1" applyFont="1" applyFill="1" applyBorder="1" applyAlignment="1">
      <alignment horizontal="left" vertical="center" wrapText="1" indent="1"/>
    </xf>
    <xf numFmtId="3" fontId="6" fillId="35" borderId="29" xfId="90" applyNumberFormat="1" applyFont="1" applyFill="1" applyBorder="1" applyAlignment="1">
      <alignment horizontal="right" vertical="center" wrapText="1" indent="1"/>
    </xf>
    <xf numFmtId="3" fontId="7" fillId="0" borderId="29" xfId="90" applyNumberFormat="1" applyFont="1" applyBorder="1" applyAlignment="1">
      <alignment horizontal="center" vertical="center" wrapText="1"/>
    </xf>
    <xf numFmtId="49" fontId="3" fillId="0" borderId="0" xfId="90" applyNumberFormat="1" applyFont="1" applyBorder="1" applyAlignment="1">
      <alignment vertical="center" wrapText="1"/>
    </xf>
    <xf numFmtId="0" fontId="6" fillId="0" borderId="0" xfId="90" applyFont="1" applyBorder="1" applyAlignment="1">
      <alignment horizontal="left" vertical="center" wrapText="1"/>
    </xf>
    <xf numFmtId="0" fontId="3" fillId="0" borderId="0" xfId="90" applyFont="1" applyFill="1" applyAlignment="1">
      <alignment vertical="center" wrapText="1"/>
    </xf>
    <xf numFmtId="0" fontId="22" fillId="0" borderId="13" xfId="90" applyFont="1" applyBorder="1" applyAlignment="1">
      <alignment vertical="center"/>
    </xf>
    <xf numFmtId="0" fontId="6" fillId="0" borderId="13" xfId="90" applyFont="1" applyBorder="1" applyAlignment="1">
      <alignment horizontal="left" vertical="center"/>
    </xf>
    <xf numFmtId="49" fontId="3" fillId="0" borderId="0" xfId="90" applyNumberFormat="1" applyFont="1" applyAlignment="1">
      <alignment vertical="center" wrapText="1"/>
    </xf>
    <xf numFmtId="0" fontId="1" fillId="0" borderId="0" xfId="90" applyNumberFormat="1"/>
    <xf numFmtId="0" fontId="2" fillId="0" borderId="20" xfId="90" applyNumberFormat="1" applyFont="1" applyBorder="1" applyAlignment="1">
      <alignment horizontal="center" vertical="center" wrapText="1"/>
    </xf>
    <xf numFmtId="0" fontId="2" fillId="0" borderId="14" xfId="90" applyNumberFormat="1" applyFont="1" applyBorder="1" applyAlignment="1">
      <alignment horizontal="center" vertical="center" wrapText="1"/>
    </xf>
    <xf numFmtId="0" fontId="2" fillId="0" borderId="22" xfId="90" applyNumberFormat="1" applyFont="1" applyBorder="1" applyAlignment="1">
      <alignment vertical="center" wrapText="1"/>
    </xf>
    <xf numFmtId="0" fontId="1" fillId="0" borderId="0" xfId="90"/>
    <xf numFmtId="3" fontId="6" fillId="35" borderId="27" xfId="90" applyNumberFormat="1" applyFont="1" applyFill="1" applyBorder="1" applyAlignment="1">
      <alignment horizontal="right" vertical="center" wrapText="1" indent="1"/>
    </xf>
    <xf numFmtId="3" fontId="6" fillId="35" borderId="20" xfId="90" applyNumberFormat="1" applyFont="1" applyFill="1" applyBorder="1" applyAlignment="1">
      <alignment horizontal="right" vertical="center" wrapText="1" indent="1"/>
    </xf>
    <xf numFmtId="3" fontId="6" fillId="35" borderId="52" xfId="90" applyNumberFormat="1" applyFont="1" applyFill="1" applyBorder="1" applyAlignment="1">
      <alignment horizontal="right" vertical="center" wrapText="1" indent="1"/>
    </xf>
    <xf numFmtId="3" fontId="6" fillId="24" borderId="27" xfId="90" applyNumberFormat="1" applyFont="1" applyFill="1" applyBorder="1" applyAlignment="1">
      <alignment horizontal="right" vertical="center" wrapText="1" indent="1"/>
    </xf>
    <xf numFmtId="0" fontId="6" fillId="0" borderId="17" xfId="90" applyNumberFormat="1" applyFont="1" applyBorder="1" applyAlignment="1">
      <alignment horizontal="left" vertical="center" wrapText="1" indent="1"/>
    </xf>
    <xf numFmtId="3" fontId="6" fillId="24" borderId="28" xfId="90" applyNumberFormat="1" applyFont="1" applyFill="1" applyBorder="1" applyAlignment="1">
      <alignment horizontal="right" vertical="center" wrapText="1" indent="1"/>
    </xf>
    <xf numFmtId="3" fontId="7" fillId="0" borderId="18" xfId="90" applyNumberFormat="1" applyFont="1" applyBorder="1" applyAlignment="1">
      <alignment horizontal="center" vertical="center" wrapText="1"/>
    </xf>
    <xf numFmtId="0" fontId="3" fillId="0" borderId="16" xfId="90" applyFont="1" applyBorder="1" applyAlignment="1">
      <alignment horizontal="center" vertical="center" wrapText="1"/>
    </xf>
    <xf numFmtId="0" fontId="75" fillId="0" borderId="17" xfId="90" applyNumberFormat="1" applyFont="1" applyFill="1" applyBorder="1" applyAlignment="1">
      <alignment horizontal="left" vertical="center" wrapText="1" indent="1"/>
    </xf>
    <xf numFmtId="3" fontId="6" fillId="35" borderId="17" xfId="90" applyNumberFormat="1" applyFont="1" applyFill="1" applyBorder="1" applyAlignment="1">
      <alignment horizontal="right" vertical="center" wrapText="1" indent="1"/>
    </xf>
    <xf numFmtId="3" fontId="7" fillId="0" borderId="17" xfId="9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71" fillId="0" borderId="13" xfId="0" quotePrefix="1" applyNumberFormat="1" applyFont="1" applyBorder="1" applyAlignment="1">
      <alignment horizontal="left" vertical="center" wrapText="1" indent="1"/>
    </xf>
    <xf numFmtId="0" fontId="7" fillId="0" borderId="13" xfId="0" quotePrefix="1" applyNumberFormat="1" applyFont="1" applyBorder="1" applyAlignment="1">
      <alignment horizontal="left" vertical="center" wrapText="1" indent="1"/>
    </xf>
    <xf numFmtId="0" fontId="71" fillId="0" borderId="13" xfId="89" quotePrefix="1" applyNumberFormat="1" applyFont="1" applyBorder="1" applyAlignment="1">
      <alignment horizontal="left" vertical="top" wrapText="1" indent="1"/>
    </xf>
    <xf numFmtId="0" fontId="71" fillId="0" borderId="13" xfId="89" quotePrefix="1" applyNumberFormat="1" applyFont="1" applyFill="1" applyBorder="1" applyAlignment="1">
      <alignment horizontal="left" vertical="top" wrapText="1" indent="1"/>
    </xf>
    <xf numFmtId="0" fontId="69" fillId="0" borderId="13" xfId="0" quotePrefix="1" applyNumberFormat="1" applyFont="1" applyBorder="1" applyAlignment="1">
      <alignment horizontal="left" vertical="center" wrapText="1" indent="1"/>
    </xf>
    <xf numFmtId="0" fontId="69" fillId="0" borderId="15" xfId="0" applyFont="1" applyBorder="1" applyAlignment="1">
      <alignment horizontal="center" vertical="center"/>
    </xf>
    <xf numFmtId="0" fontId="96" fillId="0" borderId="17" xfId="0" applyNumberFormat="1" applyFont="1" applyFill="1" applyBorder="1" applyAlignment="1">
      <alignment horizontal="left" vertical="center" wrapText="1" indent="1"/>
    </xf>
    <xf numFmtId="0" fontId="100" fillId="0" borderId="13" xfId="0" applyNumberFormat="1" applyFont="1" applyFill="1" applyBorder="1" applyAlignment="1">
      <alignment horizontal="left" vertical="center" wrapText="1" indent="1"/>
    </xf>
    <xf numFmtId="4" fontId="3" fillId="35" borderId="13" xfId="0" applyNumberFormat="1" applyFont="1" applyFill="1" applyBorder="1" applyAlignment="1">
      <alignment horizontal="right" vertical="center" wrapText="1" indent="1"/>
    </xf>
    <xf numFmtId="4" fontId="6" fillId="24" borderId="14" xfId="0" applyNumberFormat="1" applyFont="1" applyFill="1" applyBorder="1" applyAlignment="1">
      <alignment horizontal="right" vertical="center" wrapText="1" indent="1"/>
    </xf>
    <xf numFmtId="4" fontId="6" fillId="24" borderId="13" xfId="0" applyNumberFormat="1" applyFont="1" applyFill="1" applyBorder="1" applyAlignment="1">
      <alignment horizontal="right" vertical="center" wrapText="1" indent="1"/>
    </xf>
    <xf numFmtId="4" fontId="7" fillId="35" borderId="13" xfId="0" applyNumberFormat="1" applyFont="1" applyFill="1" applyBorder="1" applyAlignment="1">
      <alignment horizontal="right" vertical="center" wrapText="1" indent="1"/>
    </xf>
    <xf numFmtId="4" fontId="2" fillId="24" borderId="17" xfId="0" applyNumberFormat="1" applyFont="1" applyFill="1" applyBorder="1" applyAlignment="1">
      <alignment horizontal="right" vertical="center" wrapText="1" indent="1"/>
    </xf>
    <xf numFmtId="4" fontId="6" fillId="24" borderId="18" xfId="0" applyNumberFormat="1" applyFont="1" applyFill="1" applyBorder="1" applyAlignment="1">
      <alignment horizontal="right" vertical="center" wrapText="1" indent="1"/>
    </xf>
    <xf numFmtId="4" fontId="3" fillId="35" borderId="13" xfId="0" applyNumberFormat="1" applyFont="1" applyFill="1" applyBorder="1" applyAlignment="1">
      <alignment vertical="center" wrapText="1"/>
    </xf>
    <xf numFmtId="4" fontId="3" fillId="35" borderId="13" xfId="0" applyNumberFormat="1" applyFont="1" applyFill="1" applyBorder="1" applyAlignment="1">
      <alignment vertical="center"/>
    </xf>
    <xf numFmtId="4" fontId="3" fillId="35" borderId="13" xfId="0" applyNumberFormat="1" applyFont="1" applyFill="1" applyBorder="1" applyAlignment="1">
      <alignment horizontal="center" vertical="center" wrapText="1"/>
    </xf>
    <xf numFmtId="4" fontId="3" fillId="35" borderId="19" xfId="0" applyNumberFormat="1" applyFont="1" applyFill="1" applyBorder="1" applyAlignment="1">
      <alignment vertical="center" wrapText="1"/>
    </xf>
    <xf numFmtId="4" fontId="6" fillId="24" borderId="13" xfId="0" applyNumberFormat="1" applyFont="1" applyFill="1" applyBorder="1" applyAlignment="1">
      <alignment horizontal="right" vertical="center" indent="1"/>
    </xf>
    <xf numFmtId="4" fontId="6" fillId="24" borderId="14" xfId="0" applyNumberFormat="1" applyFont="1" applyFill="1" applyBorder="1" applyAlignment="1">
      <alignment horizontal="right" vertical="center" indent="1"/>
    </xf>
    <xf numFmtId="4" fontId="75" fillId="24" borderId="13" xfId="0" applyNumberFormat="1" applyFont="1" applyFill="1" applyBorder="1" applyAlignment="1">
      <alignment horizontal="right" vertical="center" wrapText="1" indent="1"/>
    </xf>
    <xf numFmtId="4" fontId="75" fillId="24" borderId="13" xfId="0" applyNumberFormat="1" applyFont="1" applyFill="1" applyBorder="1" applyAlignment="1">
      <alignment horizontal="right" vertical="center" indent="1"/>
    </xf>
    <xf numFmtId="4" fontId="75" fillId="24" borderId="14" xfId="0" applyNumberFormat="1" applyFont="1" applyFill="1" applyBorder="1" applyAlignment="1">
      <alignment horizontal="right" vertical="center" indent="1"/>
    </xf>
    <xf numFmtId="4" fontId="6" fillId="24" borderId="13" xfId="0" applyNumberFormat="1" applyFont="1" applyFill="1" applyBorder="1" applyAlignment="1">
      <alignment vertical="center" wrapText="1"/>
    </xf>
    <xf numFmtId="4" fontId="3" fillId="0" borderId="19" xfId="0" applyNumberFormat="1" applyFont="1" applyFill="1" applyBorder="1" applyAlignment="1">
      <alignment vertical="center" wrapText="1"/>
    </xf>
    <xf numFmtId="4" fontId="3" fillId="0" borderId="0" xfId="0" applyNumberFormat="1" applyFont="1" applyAlignment="1">
      <alignment horizontal="center" vertical="center"/>
    </xf>
    <xf numFmtId="4" fontId="3" fillId="38" borderId="0" xfId="0" applyNumberFormat="1" applyFont="1" applyFill="1" applyAlignment="1">
      <alignment horizontal="right" vertical="center" indent="1"/>
    </xf>
    <xf numFmtId="4" fontId="3" fillId="35" borderId="38" xfId="0" applyNumberFormat="1" applyFont="1" applyFill="1" applyBorder="1" applyAlignment="1">
      <alignment horizontal="right" vertical="center" wrapText="1" indent="1"/>
    </xf>
    <xf numFmtId="4" fontId="2" fillId="35" borderId="17" xfId="0" applyNumberFormat="1" applyFont="1" applyFill="1" applyBorder="1" applyAlignment="1">
      <alignment horizontal="right" vertical="center" wrapText="1" indent="1"/>
    </xf>
    <xf numFmtId="4" fontId="2" fillId="35" borderId="39" xfId="0" applyNumberFormat="1" applyFont="1" applyFill="1" applyBorder="1" applyAlignment="1">
      <alignment horizontal="right" vertical="center" wrapText="1" indent="1"/>
    </xf>
    <xf numFmtId="4" fontId="70" fillId="24" borderId="13" xfId="0" applyNumberFormat="1" applyFont="1" applyFill="1" applyBorder="1" applyAlignment="1">
      <alignment horizontal="right" vertical="center" wrapText="1" indent="1"/>
    </xf>
    <xf numFmtId="4" fontId="70" fillId="24" borderId="14" xfId="0" applyNumberFormat="1" applyFont="1" applyFill="1" applyBorder="1" applyAlignment="1">
      <alignment horizontal="right" vertical="center" wrapText="1" indent="1"/>
    </xf>
    <xf numFmtId="4" fontId="6" fillId="24" borderId="38" xfId="0" applyNumberFormat="1" applyFont="1" applyFill="1" applyBorder="1" applyAlignment="1">
      <alignment horizontal="right" vertical="center" wrapText="1" indent="1"/>
    </xf>
    <xf numFmtId="4" fontId="6" fillId="24" borderId="13" xfId="89" applyNumberFormat="1" applyFont="1" applyFill="1" applyBorder="1" applyAlignment="1">
      <alignment horizontal="right" vertical="center" wrapText="1" indent="1"/>
    </xf>
    <xf numFmtId="4" fontId="6" fillId="24" borderId="14" xfId="89" applyNumberFormat="1" applyFont="1" applyFill="1" applyBorder="1" applyAlignment="1">
      <alignment horizontal="right" vertical="center" wrapText="1" indent="1"/>
    </xf>
    <xf numFmtId="4" fontId="3" fillId="35" borderId="13" xfId="89" applyNumberFormat="1" applyFont="1" applyFill="1" applyBorder="1" applyAlignment="1">
      <alignment horizontal="right" vertical="center" wrapText="1" indent="1"/>
    </xf>
    <xf numFmtId="4" fontId="7" fillId="24" borderId="13" xfId="89" applyNumberFormat="1" applyFont="1" applyFill="1" applyBorder="1" applyAlignment="1">
      <alignment horizontal="right" vertical="center" wrapText="1" indent="1"/>
    </xf>
    <xf numFmtId="4" fontId="7" fillId="24" borderId="14" xfId="89" applyNumberFormat="1" applyFont="1" applyFill="1" applyBorder="1" applyAlignment="1">
      <alignment horizontal="right" vertical="center" wrapText="1" indent="1"/>
    </xf>
    <xf numFmtId="4" fontId="2" fillId="0" borderId="13" xfId="89" applyNumberFormat="1" applyFont="1" applyFill="1" applyBorder="1" applyAlignment="1">
      <alignment horizontal="center" vertical="center" wrapText="1"/>
    </xf>
    <xf numFmtId="4" fontId="3" fillId="0" borderId="13" xfId="89" applyNumberFormat="1" applyFont="1" applyFill="1" applyBorder="1" applyAlignment="1">
      <alignment horizontal="right" vertical="center" wrapText="1" indent="1"/>
    </xf>
    <xf numFmtId="4" fontId="3" fillId="0" borderId="14" xfId="89" applyNumberFormat="1" applyFont="1" applyFill="1" applyBorder="1" applyAlignment="1">
      <alignment horizontal="right" vertical="center" wrapText="1" indent="1"/>
    </xf>
    <xf numFmtId="4" fontId="6" fillId="35" borderId="13" xfId="89" applyNumberFormat="1" applyFont="1" applyFill="1" applyBorder="1" applyAlignment="1">
      <alignment horizontal="right" vertical="center" wrapText="1" indent="1"/>
    </xf>
    <xf numFmtId="4" fontId="3" fillId="35" borderId="13" xfId="89" applyNumberFormat="1" applyFont="1" applyFill="1" applyBorder="1" applyAlignment="1">
      <alignment horizontal="right" vertical="center" wrapText="1"/>
    </xf>
    <xf numFmtId="4" fontId="6" fillId="24" borderId="17" xfId="89" applyNumberFormat="1" applyFont="1" applyFill="1" applyBorder="1" applyAlignment="1">
      <alignment horizontal="right" vertical="center" wrapText="1" indent="1"/>
    </xf>
    <xf numFmtId="4" fontId="6" fillId="24" borderId="18" xfId="89" applyNumberFormat="1" applyFont="1" applyFill="1" applyBorder="1" applyAlignment="1">
      <alignment horizontal="right" vertical="center" wrapText="1" indent="1"/>
    </xf>
    <xf numFmtId="4" fontId="3" fillId="0" borderId="0" xfId="89" applyNumberFormat="1" applyFont="1"/>
    <xf numFmtId="4" fontId="3" fillId="38" borderId="0" xfId="89" applyNumberFormat="1" applyFont="1" applyFill="1"/>
    <xf numFmtId="4" fontId="3" fillId="35" borderId="13" xfId="27" applyNumberFormat="1" applyFont="1" applyFill="1" applyBorder="1" applyAlignment="1">
      <alignment horizontal="right" vertical="center" wrapText="1" indent="1"/>
    </xf>
    <xf numFmtId="4" fontId="3" fillId="37" borderId="13" xfId="27" applyNumberFormat="1" applyFont="1" applyFill="1" applyBorder="1" applyAlignment="1">
      <alignment horizontal="right" vertical="center" wrapText="1" indent="1"/>
    </xf>
    <xf numFmtId="4" fontId="3" fillId="0" borderId="13" xfId="0" applyNumberFormat="1" applyFont="1" applyBorder="1" applyAlignment="1">
      <alignment horizontal="center" vertical="center" wrapText="1"/>
    </xf>
    <xf numFmtId="4" fontId="7" fillId="35" borderId="14" xfId="0" applyNumberFormat="1" applyFont="1" applyFill="1" applyBorder="1" applyAlignment="1">
      <alignment horizontal="right" vertical="center" wrapText="1" indent="1"/>
    </xf>
    <xf numFmtId="4" fontId="3" fillId="35" borderId="13" xfId="0" applyNumberFormat="1" applyFont="1" applyFill="1" applyBorder="1" applyAlignment="1">
      <alignment horizontal="right" vertical="center" wrapText="1"/>
    </xf>
    <xf numFmtId="4" fontId="3" fillId="0" borderId="14" xfId="0" applyNumberFormat="1" applyFont="1" applyBorder="1" applyAlignment="1">
      <alignment horizontal="center" vertical="center" wrapText="1"/>
    </xf>
    <xf numFmtId="4" fontId="3" fillId="35" borderId="14" xfId="0" applyNumberFormat="1" applyFont="1" applyFill="1" applyBorder="1" applyAlignment="1">
      <alignment horizontal="right" vertical="center" wrapText="1" indent="1"/>
    </xf>
    <xf numFmtId="4" fontId="3" fillId="0" borderId="17" xfId="0" applyNumberFormat="1" applyFont="1" applyBorder="1" applyAlignment="1">
      <alignment horizontal="center" vertical="center" wrapText="1"/>
    </xf>
    <xf numFmtId="4" fontId="3" fillId="0" borderId="18" xfId="0" applyNumberFormat="1" applyFont="1" applyBorder="1" applyAlignment="1">
      <alignment horizontal="center" vertical="center" wrapText="1"/>
    </xf>
    <xf numFmtId="4" fontId="3" fillId="0" borderId="23" xfId="0" applyNumberFormat="1" applyFont="1" applyBorder="1" applyAlignment="1">
      <alignment vertical="center" wrapText="1"/>
    </xf>
    <xf numFmtId="4" fontId="3" fillId="0" borderId="25" xfId="0" applyNumberFormat="1" applyFont="1" applyBorder="1" applyAlignment="1">
      <alignment vertical="center" wrapText="1"/>
    </xf>
    <xf numFmtId="4" fontId="3" fillId="0" borderId="24" xfId="0" applyNumberFormat="1" applyFont="1" applyBorder="1" applyAlignment="1">
      <alignment vertical="center" wrapText="1"/>
    </xf>
    <xf numFmtId="4" fontId="3" fillId="0" borderId="15" xfId="0" applyNumberFormat="1" applyFont="1" applyBorder="1" applyAlignment="1">
      <alignment vertical="center" wrapText="1"/>
    </xf>
    <xf numFmtId="4" fontId="3" fillId="0" borderId="13" xfId="0" applyNumberFormat="1" applyFont="1" applyBorder="1" applyAlignment="1">
      <alignment vertical="center" wrapText="1"/>
    </xf>
    <xf numFmtId="4" fontId="3" fillId="0" borderId="14"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7" xfId="0" applyNumberFormat="1" applyFont="1" applyBorder="1" applyAlignment="1">
      <alignment vertical="center" wrapText="1"/>
    </xf>
    <xf numFmtId="4" fontId="3" fillId="0" borderId="18" xfId="0" applyNumberFormat="1" applyFont="1" applyBorder="1" applyAlignment="1">
      <alignment vertical="center" wrapText="1"/>
    </xf>
    <xf numFmtId="4" fontId="6" fillId="24" borderId="20" xfId="0" applyNumberFormat="1" applyFont="1" applyFill="1" applyBorder="1" applyAlignment="1">
      <alignment horizontal="right" vertical="center" wrapText="1" indent="1"/>
    </xf>
    <xf numFmtId="4" fontId="6" fillId="24" borderId="62" xfId="0" applyNumberFormat="1" applyFont="1" applyFill="1" applyBorder="1" applyAlignment="1">
      <alignment horizontal="right" vertical="center" wrapText="1" indent="1"/>
    </xf>
    <xf numFmtId="4" fontId="6" fillId="37" borderId="13" xfId="0" applyNumberFormat="1" applyFont="1" applyFill="1" applyBorder="1" applyAlignment="1">
      <alignment horizontal="right" vertical="center" wrapText="1" indent="1"/>
    </xf>
    <xf numFmtId="4" fontId="6" fillId="37" borderId="20" xfId="0" applyNumberFormat="1" applyFont="1" applyFill="1" applyBorder="1" applyAlignment="1">
      <alignment horizontal="right" vertical="center" wrapText="1" indent="1"/>
    </xf>
    <xf numFmtId="4" fontId="3" fillId="0" borderId="62" xfId="0" applyNumberFormat="1" applyFont="1" applyBorder="1" applyAlignment="1">
      <alignment horizontal="center" vertical="center" wrapText="1"/>
    </xf>
    <xf numFmtId="4" fontId="3" fillId="0" borderId="38" xfId="0" applyNumberFormat="1" applyFont="1" applyBorder="1" applyAlignment="1">
      <alignment horizontal="center" vertical="center" wrapText="1"/>
    </xf>
    <xf numFmtId="4" fontId="3" fillId="0" borderId="62" xfId="0" applyNumberFormat="1" applyFont="1" applyBorder="1" applyAlignment="1">
      <alignment vertical="center" wrapText="1"/>
    </xf>
    <xf numFmtId="4" fontId="3" fillId="0" borderId="38" xfId="0" applyNumberFormat="1" applyFont="1" applyBorder="1" applyAlignment="1">
      <alignment vertical="center" wrapText="1"/>
    </xf>
    <xf numFmtId="4" fontId="6" fillId="24" borderId="28" xfId="0" applyNumberFormat="1" applyFont="1" applyFill="1" applyBorder="1" applyAlignment="1">
      <alignment horizontal="right" vertical="center" wrapText="1" indent="1"/>
    </xf>
    <xf numFmtId="4" fontId="6" fillId="24" borderId="77" xfId="0" applyNumberFormat="1" applyFont="1" applyFill="1" applyBorder="1" applyAlignment="1">
      <alignment horizontal="right" vertical="center" wrapText="1" indent="1"/>
    </xf>
    <xf numFmtId="4" fontId="81" fillId="45" borderId="43" xfId="0" applyNumberFormat="1" applyFont="1" applyFill="1" applyBorder="1" applyAlignment="1">
      <alignment horizontal="right" vertical="center" wrapText="1" indent="1"/>
    </xf>
    <xf numFmtId="4" fontId="71" fillId="0" borderId="23" xfId="0" applyNumberFormat="1" applyFont="1" applyBorder="1" applyAlignment="1">
      <alignment vertical="center" wrapText="1"/>
    </xf>
    <xf numFmtId="4" fontId="71" fillId="0" borderId="25" xfId="0" applyNumberFormat="1" applyFont="1" applyBorder="1" applyAlignment="1">
      <alignment vertical="center" wrapText="1"/>
    </xf>
    <xf numFmtId="4" fontId="71" fillId="0" borderId="24" xfId="0" applyNumberFormat="1" applyFont="1" applyBorder="1" applyAlignment="1">
      <alignment vertical="center" wrapText="1"/>
    </xf>
    <xf numFmtId="4" fontId="71" fillId="0" borderId="15" xfId="0" applyNumberFormat="1" applyFont="1" applyBorder="1" applyAlignment="1">
      <alignment vertical="center" wrapText="1"/>
    </xf>
    <xf numFmtId="4" fontId="71" fillId="0" borderId="13" xfId="0" applyNumberFormat="1" applyFont="1" applyBorder="1" applyAlignment="1">
      <alignment vertical="center" wrapText="1"/>
    </xf>
    <xf numFmtId="4" fontId="71" fillId="0" borderId="14" xfId="0" applyNumberFormat="1" applyFont="1" applyBorder="1" applyAlignment="1">
      <alignment vertical="center" wrapText="1"/>
    </xf>
    <xf numFmtId="4" fontId="71" fillId="0" borderId="62" xfId="0" applyNumberFormat="1" applyFont="1" applyBorder="1" applyAlignment="1">
      <alignment horizontal="center" vertical="center" wrapText="1"/>
    </xf>
    <xf numFmtId="4" fontId="71" fillId="0" borderId="13" xfId="0" applyNumberFormat="1" applyFont="1" applyBorder="1" applyAlignment="1">
      <alignment horizontal="center" vertical="center" wrapText="1"/>
    </xf>
    <xf numFmtId="4" fontId="71" fillId="0" borderId="38" xfId="0" applyNumberFormat="1" applyFont="1" applyBorder="1" applyAlignment="1">
      <alignment horizontal="center" vertical="center" wrapText="1"/>
    </xf>
    <xf numFmtId="4" fontId="71" fillId="0" borderId="62" xfId="0" applyNumberFormat="1" applyFont="1" applyBorder="1" applyAlignment="1">
      <alignment vertical="center" wrapText="1"/>
    </xf>
    <xf numFmtId="4" fontId="71" fillId="0" borderId="38" xfId="0" applyNumberFormat="1" applyFont="1" applyBorder="1" applyAlignment="1">
      <alignment vertical="center" wrapText="1"/>
    </xf>
    <xf numFmtId="4" fontId="81" fillId="45" borderId="56" xfId="0" applyNumberFormat="1" applyFont="1" applyFill="1" applyBorder="1" applyAlignment="1">
      <alignment horizontal="right" vertical="center" wrapText="1" indent="1"/>
    </xf>
    <xf numFmtId="4" fontId="71" fillId="0" borderId="16" xfId="0" applyNumberFormat="1" applyFont="1" applyBorder="1" applyAlignment="1">
      <alignment vertical="center" wrapText="1"/>
    </xf>
    <xf numFmtId="4" fontId="71" fillId="0" borderId="17" xfId="0" applyNumberFormat="1" applyFont="1" applyBorder="1" applyAlignment="1">
      <alignment vertical="center" wrapText="1"/>
    </xf>
    <xf numFmtId="4" fontId="71" fillId="0" borderId="18" xfId="0" applyNumberFormat="1" applyFont="1" applyBorder="1" applyAlignment="1">
      <alignment vertical="center" wrapText="1"/>
    </xf>
    <xf numFmtId="4" fontId="6" fillId="35" borderId="20" xfId="0" applyNumberFormat="1" applyFont="1" applyFill="1" applyBorder="1" applyAlignment="1">
      <alignment horizontal="right" vertical="center" wrapText="1" indent="1"/>
    </xf>
    <xf numFmtId="4" fontId="7" fillId="0" borderId="13" xfId="0" applyNumberFormat="1" applyFont="1" applyBorder="1" applyAlignment="1">
      <alignment horizontal="center" vertical="center" wrapText="1"/>
    </xf>
    <xf numFmtId="4" fontId="6" fillId="24" borderId="27" xfId="0" applyNumberFormat="1" applyFont="1" applyFill="1" applyBorder="1" applyAlignment="1">
      <alignment horizontal="right" vertical="center" wrapText="1" indent="1"/>
    </xf>
    <xf numFmtId="4" fontId="7" fillId="0" borderId="14" xfId="0" applyNumberFormat="1" applyFont="1" applyBorder="1" applyAlignment="1">
      <alignment horizontal="center" vertical="center" wrapText="1"/>
    </xf>
    <xf numFmtId="4" fontId="6" fillId="35" borderId="27" xfId="0" applyNumberFormat="1" applyFont="1" applyFill="1" applyBorder="1" applyAlignment="1">
      <alignment horizontal="right" vertical="center" wrapText="1" indent="1"/>
    </xf>
    <xf numFmtId="4" fontId="7" fillId="0" borderId="17" xfId="0" applyNumberFormat="1" applyFont="1" applyBorder="1" applyAlignment="1">
      <alignment horizontal="center" vertical="center" wrapText="1"/>
    </xf>
    <xf numFmtId="3" fontId="3" fillId="35" borderId="13" xfId="90" applyNumberFormat="1" applyFont="1" applyFill="1" applyBorder="1" applyAlignment="1">
      <alignment horizontal="right" vertical="center" wrapText="1" indent="1"/>
    </xf>
    <xf numFmtId="3" fontId="3" fillId="35" borderId="38" xfId="90" applyNumberFormat="1" applyFont="1" applyFill="1" applyBorder="1" applyAlignment="1">
      <alignment horizontal="right" vertical="center" wrapText="1" indent="1"/>
    </xf>
    <xf numFmtId="4" fontId="6" fillId="24" borderId="13" xfId="39" applyNumberFormat="1" applyFont="1" applyFill="1" applyBorder="1" applyAlignment="1">
      <alignment horizontal="right" vertical="center" wrapText="1" indent="1"/>
    </xf>
    <xf numFmtId="4" fontId="6" fillId="24" borderId="38" xfId="39" applyNumberFormat="1" applyFont="1" applyFill="1" applyBorder="1" applyAlignment="1">
      <alignment horizontal="right" vertical="center" wrapText="1" indent="1"/>
    </xf>
    <xf numFmtId="4" fontId="6" fillId="24" borderId="17" xfId="39" applyNumberFormat="1" applyFont="1" applyFill="1" applyBorder="1" applyAlignment="1">
      <alignment horizontal="right" vertical="center" wrapText="1" indent="1"/>
    </xf>
    <xf numFmtId="4" fontId="6" fillId="24" borderId="39" xfId="39" applyNumberFormat="1" applyFont="1" applyFill="1" applyBorder="1" applyAlignment="1">
      <alignment horizontal="right" vertical="center" wrapText="1" indent="1"/>
    </xf>
    <xf numFmtId="4" fontId="2" fillId="35" borderId="13" xfId="0" applyNumberFormat="1" applyFont="1" applyFill="1" applyBorder="1" applyAlignment="1">
      <alignment horizontal="right" vertical="center" wrapText="1" indent="1"/>
    </xf>
    <xf numFmtId="4" fontId="2" fillId="35" borderId="14" xfId="0" applyNumberFormat="1" applyFont="1" applyFill="1" applyBorder="1" applyAlignment="1">
      <alignment horizontal="right" vertical="center" wrapText="1" indent="1"/>
    </xf>
    <xf numFmtId="4" fontId="71" fillId="35" borderId="13" xfId="0" applyNumberFormat="1" applyFont="1" applyFill="1" applyBorder="1" applyAlignment="1">
      <alignment horizontal="right" vertical="center" wrapText="1" indent="1"/>
    </xf>
    <xf numFmtId="4" fontId="70" fillId="24" borderId="73" xfId="0" applyNumberFormat="1" applyFont="1" applyFill="1" applyBorder="1" applyAlignment="1">
      <alignment horizontal="right" vertical="center" wrapText="1" indent="1"/>
    </xf>
    <xf numFmtId="4" fontId="6" fillId="24" borderId="73" xfId="0" applyNumberFormat="1" applyFont="1" applyFill="1" applyBorder="1" applyAlignment="1">
      <alignment horizontal="right" vertical="center" wrapText="1" indent="1"/>
    </xf>
    <xf numFmtId="4" fontId="6" fillId="24" borderId="51" xfId="0" applyNumberFormat="1" applyFont="1" applyFill="1" applyBorder="1" applyAlignment="1">
      <alignment horizontal="right" vertical="center" wrapText="1" indent="1"/>
    </xf>
    <xf numFmtId="166" fontId="3" fillId="0" borderId="0" xfId="0" applyNumberFormat="1" applyFont="1" applyAlignment="1">
      <alignment wrapText="1"/>
    </xf>
    <xf numFmtId="166" fontId="3" fillId="0" borderId="0" xfId="0" applyNumberFormat="1" applyFont="1"/>
    <xf numFmtId="0" fontId="2" fillId="0" borderId="0" xfId="0" applyFont="1" applyAlignment="1">
      <alignment horizontal="center" vertical="center"/>
    </xf>
    <xf numFmtId="0" fontId="2" fillId="0" borderId="0" xfId="0" applyFont="1" applyAlignment="1">
      <alignment horizontal="center" vertical="center" wrapText="1"/>
    </xf>
    <xf numFmtId="166" fontId="63" fillId="39" borderId="13" xfId="0" applyNumberFormat="1" applyFont="1" applyFill="1" applyBorder="1" applyAlignment="1">
      <alignment vertical="center" wrapText="1"/>
    </xf>
    <xf numFmtId="166" fontId="63" fillId="40" borderId="13" xfId="0" applyNumberFormat="1" applyFont="1" applyFill="1" applyBorder="1" applyAlignment="1">
      <alignment vertical="center" wrapText="1"/>
    </xf>
    <xf numFmtId="166" fontId="63" fillId="35" borderId="13" xfId="0" applyNumberFormat="1" applyFont="1" applyFill="1" applyBorder="1" applyAlignment="1">
      <alignment vertical="center" wrapText="1"/>
    </xf>
    <xf numFmtId="166" fontId="63" fillId="24" borderId="13" xfId="0" applyNumberFormat="1" applyFont="1" applyFill="1" applyBorder="1" applyAlignment="1">
      <alignment vertical="center" wrapText="1"/>
    </xf>
    <xf numFmtId="166" fontId="63" fillId="40" borderId="14" xfId="0" applyNumberFormat="1" applyFont="1" applyFill="1" applyBorder="1" applyAlignment="1">
      <alignment vertical="center" wrapText="1"/>
    </xf>
    <xf numFmtId="166" fontId="59" fillId="39" borderId="13" xfId="0" applyNumberFormat="1" applyFont="1" applyFill="1" applyBorder="1" applyAlignment="1">
      <alignment vertical="center" wrapText="1"/>
    </xf>
    <xf numFmtId="166" fontId="59" fillId="35" borderId="13" xfId="0" applyNumberFormat="1" applyFont="1" applyFill="1" applyBorder="1" applyAlignment="1">
      <alignment vertical="center" wrapText="1"/>
    </xf>
    <xf numFmtId="166" fontId="63" fillId="0" borderId="13" xfId="0" applyNumberFormat="1" applyFont="1" applyBorder="1" applyAlignment="1">
      <alignment horizontal="center" vertical="center" wrapText="1"/>
    </xf>
    <xf numFmtId="166" fontId="59" fillId="39" borderId="13" xfId="0" applyNumberFormat="1" applyFont="1" applyFill="1" applyBorder="1" applyAlignment="1">
      <alignment vertical="top" wrapText="1"/>
    </xf>
    <xf numFmtId="166" fontId="73" fillId="0" borderId="13" xfId="0" applyNumberFormat="1" applyFont="1" applyBorder="1" applyAlignment="1">
      <alignment horizontal="center" vertical="center" wrapText="1"/>
    </xf>
    <xf numFmtId="166" fontId="74" fillId="39" borderId="13" xfId="0" applyNumberFormat="1" applyFont="1" applyFill="1" applyBorder="1" applyAlignment="1">
      <alignment vertical="center" wrapText="1"/>
    </xf>
    <xf numFmtId="166" fontId="63" fillId="41" borderId="13" xfId="0" applyNumberFormat="1" applyFont="1" applyFill="1" applyBorder="1" applyAlignment="1">
      <alignment horizontal="center" vertical="center" wrapText="1"/>
    </xf>
    <xf numFmtId="166" fontId="73" fillId="41" borderId="13" xfId="0" applyNumberFormat="1" applyFont="1" applyFill="1" applyBorder="1" applyAlignment="1">
      <alignment horizontal="center" vertical="center" wrapText="1"/>
    </xf>
    <xf numFmtId="166" fontId="59" fillId="39" borderId="17" xfId="0" applyNumberFormat="1" applyFont="1" applyFill="1" applyBorder="1" applyAlignment="1">
      <alignment vertical="center"/>
    </xf>
    <xf numFmtId="166" fontId="59" fillId="35" borderId="17" xfId="0" applyNumberFormat="1" applyFont="1" applyFill="1" applyBorder="1" applyAlignment="1">
      <alignment vertical="center"/>
    </xf>
    <xf numFmtId="166" fontId="63" fillId="40" borderId="17" xfId="0" applyNumberFormat="1" applyFont="1" applyFill="1" applyBorder="1" applyAlignment="1">
      <alignment vertical="center" wrapText="1"/>
    </xf>
    <xf numFmtId="166" fontId="63" fillId="40" borderId="18" xfId="0" applyNumberFormat="1" applyFont="1" applyFill="1" applyBorder="1" applyAlignment="1">
      <alignment vertical="center" wrapText="1"/>
    </xf>
    <xf numFmtId="4" fontId="3" fillId="35" borderId="19" xfId="42" applyNumberFormat="1" applyFont="1" applyFill="1" applyBorder="1" applyAlignment="1">
      <alignment horizontal="right" vertical="center" wrapText="1" indent="1"/>
    </xf>
    <xf numFmtId="4" fontId="6" fillId="48" borderId="14" xfId="42" applyNumberFormat="1" applyFont="1" applyFill="1" applyBorder="1" applyAlignment="1">
      <alignment horizontal="right" vertical="center" wrapText="1" indent="1"/>
    </xf>
    <xf numFmtId="4" fontId="6" fillId="24" borderId="13" xfId="42" applyNumberFormat="1" applyFont="1" applyFill="1" applyBorder="1" applyAlignment="1">
      <alignment horizontal="right" vertical="center" wrapText="1" indent="1"/>
    </xf>
    <xf numFmtId="4" fontId="6" fillId="24" borderId="14" xfId="42" applyNumberFormat="1" applyFont="1" applyFill="1" applyBorder="1" applyAlignment="1">
      <alignment horizontal="right" vertical="center" wrapText="1" indent="1"/>
    </xf>
    <xf numFmtId="4" fontId="3" fillId="35" borderId="13" xfId="42" applyNumberFormat="1" applyFont="1" applyFill="1" applyBorder="1" applyAlignment="1">
      <alignment horizontal="center" vertical="center" wrapText="1"/>
    </xf>
    <xf numFmtId="4" fontId="6" fillId="48" borderId="14" xfId="42" applyNumberFormat="1" applyFont="1" applyFill="1" applyBorder="1" applyAlignment="1">
      <alignment horizontal="center" vertical="center" wrapText="1"/>
    </xf>
    <xf numFmtId="4" fontId="2" fillId="24" borderId="17" xfId="42" applyNumberFormat="1" applyFont="1" applyFill="1" applyBorder="1" applyAlignment="1">
      <alignment horizontal="right" vertical="center" wrapText="1" indent="1"/>
    </xf>
    <xf numFmtId="4" fontId="2" fillId="24" borderId="18" xfId="42" applyNumberFormat="1" applyFont="1" applyFill="1" applyBorder="1" applyAlignment="1">
      <alignment horizontal="right" vertical="center" wrapText="1" indent="1"/>
    </xf>
    <xf numFmtId="49" fontId="3" fillId="0" borderId="0" xfId="90" applyNumberFormat="1" applyFont="1"/>
    <xf numFmtId="2" fontId="31" fillId="0" borderId="0" xfId="90" applyNumberFormat="1" applyFont="1"/>
    <xf numFmtId="0" fontId="3" fillId="0" borderId="0" xfId="90" applyFont="1"/>
    <xf numFmtId="49" fontId="31" fillId="0" borderId="0" xfId="90" applyNumberFormat="1" applyFont="1"/>
    <xf numFmtId="0" fontId="6" fillId="0" borderId="15" xfId="0" applyFont="1" applyBorder="1" applyAlignment="1">
      <alignment horizontal="left" vertical="center" wrapText="1" inden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3" fillId="42" borderId="13" xfId="0" applyFont="1" applyFill="1" applyBorder="1" applyAlignment="1">
      <alignment horizontal="left" vertical="top" wrapText="1" indent="1"/>
    </xf>
    <xf numFmtId="49" fontId="69" fillId="0" borderId="13" xfId="0" applyNumberFormat="1" applyFont="1" applyBorder="1" applyAlignment="1">
      <alignment horizontal="left" vertical="top" wrapText="1" indent="1"/>
    </xf>
    <xf numFmtId="0" fontId="7" fillId="0" borderId="13" xfId="0" applyFont="1" applyBorder="1" applyAlignment="1">
      <alignment horizontal="left" vertical="center" wrapText="1" indent="1"/>
    </xf>
    <xf numFmtId="0" fontId="7" fillId="38" borderId="13" xfId="0" applyFont="1" applyFill="1" applyBorder="1" applyAlignment="1">
      <alignment horizontal="left" vertical="center" wrapText="1" indent="1"/>
    </xf>
    <xf numFmtId="0" fontId="7" fillId="47" borderId="13" xfId="0" applyFont="1" applyFill="1" applyBorder="1" applyAlignment="1">
      <alignment horizontal="left" vertical="center" wrapText="1" indent="1"/>
    </xf>
    <xf numFmtId="4" fontId="7" fillId="35" borderId="19" xfId="0" applyNumberFormat="1" applyFont="1" applyFill="1" applyBorder="1" applyAlignment="1">
      <alignment horizontal="right" vertical="center" wrapText="1" indent="1"/>
    </xf>
    <xf numFmtId="0" fontId="6" fillId="0" borderId="19" xfId="0" applyFont="1" applyBorder="1" applyAlignment="1">
      <alignment horizontal="left" vertical="center" wrapText="1" indent="1"/>
    </xf>
    <xf numFmtId="4" fontId="3" fillId="35" borderId="13" xfId="42" applyNumberFormat="1" applyFont="1" applyFill="1" applyBorder="1" applyAlignment="1">
      <alignment horizontal="right" vertical="center" wrapText="1" indent="1"/>
    </xf>
    <xf numFmtId="4" fontId="6" fillId="48" borderId="13" xfId="42" applyNumberFormat="1" applyFont="1" applyFill="1" applyBorder="1" applyAlignment="1">
      <alignment horizontal="right" vertical="center" wrapText="1" indent="1"/>
    </xf>
    <xf numFmtId="4" fontId="6" fillId="48" borderId="13" xfId="42" applyNumberFormat="1" applyFont="1" applyFill="1" applyBorder="1" applyAlignment="1">
      <alignment horizontal="center" vertical="center" wrapText="1"/>
    </xf>
    <xf numFmtId="0" fontId="3" fillId="0" borderId="19" xfId="42" applyFont="1" applyBorder="1" applyAlignment="1">
      <alignment horizontal="left" vertical="top" wrapText="1" indent="1"/>
    </xf>
    <xf numFmtId="0" fontId="3" fillId="0" borderId="13" xfId="42" applyFont="1" applyBorder="1" applyAlignment="1">
      <alignment horizontal="left" vertical="top" wrapText="1" indent="1"/>
    </xf>
    <xf numFmtId="4" fontId="3" fillId="35" borderId="19" xfId="42" applyNumberFormat="1" applyFont="1" applyFill="1" applyBorder="1" applyAlignment="1">
      <alignment horizontal="center" vertical="center" wrapText="1"/>
    </xf>
    <xf numFmtId="4" fontId="3" fillId="35" borderId="26" xfId="42" applyNumberFormat="1" applyFont="1" applyFill="1" applyBorder="1" applyAlignment="1">
      <alignment horizontal="right" vertical="center" wrapText="1" indent="1"/>
    </xf>
    <xf numFmtId="0" fontId="3" fillId="43" borderId="19" xfId="42" applyFont="1" applyFill="1" applyBorder="1" applyAlignment="1">
      <alignment horizontal="left" vertical="top" wrapText="1" indent="1"/>
    </xf>
    <xf numFmtId="0" fontId="3" fillId="49" borderId="19" xfId="42" applyFont="1" applyFill="1" applyBorder="1" applyAlignment="1">
      <alignment horizontal="left" vertical="top" wrapText="1" indent="1"/>
    </xf>
    <xf numFmtId="0" fontId="6" fillId="43" borderId="0" xfId="0" applyFont="1" applyFill="1" applyAlignment="1">
      <alignment vertical="center" wrapText="1"/>
    </xf>
    <xf numFmtId="0" fontId="6" fillId="49" borderId="0" xfId="0" applyFont="1" applyFill="1" applyAlignment="1">
      <alignment vertical="center" wrapText="1"/>
    </xf>
    <xf numFmtId="0" fontId="3" fillId="43" borderId="13" xfId="90" applyFont="1" applyFill="1" applyBorder="1" applyAlignment="1">
      <alignment vertical="center" wrapText="1"/>
    </xf>
    <xf numFmtId="0" fontId="3" fillId="43" borderId="13" xfId="0" applyFont="1" applyFill="1" applyBorder="1" applyAlignment="1">
      <alignment vertical="center" wrapText="1"/>
    </xf>
    <xf numFmtId="0" fontId="3" fillId="49" borderId="13" xfId="0" applyFont="1" applyFill="1" applyBorder="1" applyAlignment="1">
      <alignment vertical="center" wrapText="1"/>
    </xf>
    <xf numFmtId="2" fontId="6" fillId="43" borderId="13" xfId="0" applyNumberFormat="1" applyFont="1" applyFill="1" applyBorder="1" applyAlignment="1">
      <alignment vertical="center" wrapText="1"/>
    </xf>
    <xf numFmtId="0" fontId="6" fillId="49" borderId="13" xfId="0" applyFont="1" applyFill="1" applyBorder="1" applyAlignment="1">
      <alignment vertical="center" wrapText="1"/>
    </xf>
    <xf numFmtId="0" fontId="6" fillId="0" borderId="13" xfId="90" applyFont="1" applyBorder="1" applyAlignment="1">
      <alignment vertical="center" wrapText="1"/>
    </xf>
    <xf numFmtId="0" fontId="6" fillId="0" borderId="13" xfId="0" applyFont="1" applyBorder="1" applyAlignment="1">
      <alignment vertical="center" wrapText="1"/>
    </xf>
    <xf numFmtId="0" fontId="68" fillId="43" borderId="13" xfId="42" applyNumberFormat="1" applyFont="1" applyFill="1" applyBorder="1" applyAlignment="1">
      <alignment horizontal="left" vertical="center" wrapText="1" indent="1"/>
    </xf>
    <xf numFmtId="0" fontId="68" fillId="49" borderId="13" xfId="42" applyNumberFormat="1" applyFont="1" applyFill="1" applyBorder="1" applyAlignment="1">
      <alignment horizontal="left" vertical="center" wrapText="1" indent="1"/>
    </xf>
    <xf numFmtId="4" fontId="2" fillId="24" borderId="13" xfId="0" applyNumberFormat="1" applyFont="1" applyFill="1" applyBorder="1" applyAlignment="1">
      <alignment horizontal="right" vertical="center" wrapText="1" indent="1"/>
    </xf>
    <xf numFmtId="4" fontId="2" fillId="24" borderId="14" xfId="0" applyNumberFormat="1" applyFont="1" applyFill="1" applyBorder="1" applyAlignment="1">
      <alignment horizontal="right" vertical="center" wrapText="1" indent="1"/>
    </xf>
    <xf numFmtId="3" fontId="3" fillId="0" borderId="13" xfId="0" applyNumberFormat="1" applyFont="1" applyBorder="1" applyAlignment="1">
      <alignment horizontal="right" vertical="center" wrapText="1" indent="1"/>
    </xf>
    <xf numFmtId="3" fontId="2" fillId="0" borderId="14" xfId="0" applyNumberFormat="1"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1" fontId="6" fillId="0" borderId="17" xfId="0" applyNumberFormat="1" applyFont="1" applyBorder="1" applyAlignment="1">
      <alignment horizontal="right" vertical="center" wrapText="1" indent="1"/>
    </xf>
    <xf numFmtId="3" fontId="3" fillId="35" borderId="14" xfId="90" applyNumberFormat="1" applyFont="1" applyFill="1" applyBorder="1" applyAlignment="1">
      <alignment horizontal="right" vertical="center" wrapText="1" indent="1"/>
    </xf>
    <xf numFmtId="3" fontId="3" fillId="35" borderId="17" xfId="90" applyNumberFormat="1" applyFont="1" applyFill="1" applyBorder="1" applyAlignment="1">
      <alignment horizontal="right" vertical="center" wrapText="1" indent="1"/>
    </xf>
    <xf numFmtId="3" fontId="3" fillId="35" borderId="18" xfId="90" applyNumberFormat="1" applyFont="1" applyFill="1" applyBorder="1" applyAlignment="1">
      <alignment horizontal="right" vertical="center" wrapText="1" indent="1"/>
    </xf>
    <xf numFmtId="4" fontId="6" fillId="35" borderId="13" xfId="90" applyNumberFormat="1" applyFont="1" applyFill="1" applyBorder="1" applyAlignment="1">
      <alignment horizontal="center" vertical="center" wrapText="1"/>
    </xf>
    <xf numFmtId="4" fontId="6" fillId="35" borderId="13" xfId="90" applyNumberFormat="1" applyFont="1" applyFill="1" applyBorder="1" applyAlignment="1">
      <alignment horizontal="right" vertical="center" wrapText="1" indent="1"/>
    </xf>
    <xf numFmtId="4" fontId="6" fillId="24" borderId="13" xfId="90" applyNumberFormat="1" applyFont="1" applyFill="1" applyBorder="1" applyAlignment="1">
      <alignment horizontal="right" vertical="center" wrapText="1" indent="1"/>
    </xf>
    <xf numFmtId="4" fontId="6" fillId="35" borderId="29" xfId="90" applyNumberFormat="1" applyFont="1" applyFill="1" applyBorder="1" applyAlignment="1">
      <alignment horizontal="right" vertical="center" wrapText="1" indent="1"/>
    </xf>
    <xf numFmtId="4" fontId="6" fillId="35" borderId="17" xfId="90" applyNumberFormat="1" applyFont="1" applyFill="1" applyBorder="1" applyAlignment="1">
      <alignment horizontal="right" vertical="center" wrapText="1" indent="1"/>
    </xf>
    <xf numFmtId="49" fontId="7" fillId="0" borderId="0" xfId="90" applyNumberFormat="1" applyFont="1" applyAlignment="1">
      <alignment vertical="center" wrapText="1"/>
    </xf>
    <xf numFmtId="4" fontId="6" fillId="35" borderId="35" xfId="0" applyNumberFormat="1" applyFont="1" applyFill="1" applyBorder="1" applyAlignment="1">
      <alignment horizontal="right" vertical="center" wrapText="1" indent="1"/>
    </xf>
    <xf numFmtId="4" fontId="6" fillId="35" borderId="28" xfId="0" applyNumberFormat="1" applyFont="1" applyFill="1" applyBorder="1" applyAlignment="1">
      <alignment horizontal="right" vertical="center" wrapText="1" indent="1"/>
    </xf>
    <xf numFmtId="0" fontId="7" fillId="43" borderId="0" xfId="0" applyFont="1" applyFill="1" applyAlignment="1">
      <alignment vertical="center" wrapText="1"/>
    </xf>
    <xf numFmtId="0" fontId="7" fillId="49" borderId="0" xfId="0" applyFont="1" applyFill="1" applyAlignment="1">
      <alignment vertical="center" wrapText="1"/>
    </xf>
    <xf numFmtId="4" fontId="2" fillId="24" borderId="18" xfId="0" applyNumberFormat="1" applyFont="1" applyFill="1" applyBorder="1" applyAlignment="1">
      <alignment horizontal="right" vertical="center" wrapText="1" indent="1"/>
    </xf>
    <xf numFmtId="49" fontId="1" fillId="0" borderId="0" xfId="0" applyNumberFormat="1" applyFont="1" applyBorder="1"/>
    <xf numFmtId="0" fontId="106" fillId="0" borderId="0" xfId="0" applyFont="1"/>
    <xf numFmtId="3" fontId="67" fillId="0" borderId="0" xfId="44" applyNumberFormat="1" applyFont="1" applyBorder="1" applyAlignment="1">
      <alignment vertical="center" wrapText="1"/>
    </xf>
    <xf numFmtId="4" fontId="3" fillId="0" borderId="0" xfId="0" applyNumberFormat="1" applyFont="1" applyBorder="1" applyAlignment="1">
      <alignment vertical="center" wrapText="1"/>
    </xf>
    <xf numFmtId="4" fontId="67" fillId="0" borderId="0" xfId="44" applyNumberFormat="1" applyFont="1" applyBorder="1" applyAlignment="1">
      <alignment vertical="center" wrapText="1"/>
    </xf>
    <xf numFmtId="3" fontId="7" fillId="50" borderId="20" xfId="91" applyNumberFormat="1" applyFont="1" applyFill="1" applyBorder="1" applyAlignment="1">
      <alignment horizontal="right" vertical="center" wrapText="1" indent="1"/>
    </xf>
    <xf numFmtId="3" fontId="7" fillId="35" borderId="20" xfId="91" applyNumberFormat="1" applyFont="1" applyFill="1" applyBorder="1" applyAlignment="1">
      <alignment horizontal="right" vertical="center" wrapText="1" indent="1"/>
    </xf>
    <xf numFmtId="3" fontId="7" fillId="35" borderId="37" xfId="91" applyNumberFormat="1" applyFont="1" applyFill="1" applyBorder="1" applyAlignment="1">
      <alignment horizontal="right" vertical="center" wrapText="1" indent="1"/>
    </xf>
    <xf numFmtId="0" fontId="1" fillId="0" borderId="0" xfId="0" applyFont="1" applyAlignment="1">
      <alignment wrapText="1"/>
    </xf>
    <xf numFmtId="4" fontId="3" fillId="0" borderId="0" xfId="0" applyNumberFormat="1" applyFont="1"/>
    <xf numFmtId="4" fontId="3" fillId="0" borderId="0" xfId="0" applyNumberFormat="1" applyFont="1" applyAlignment="1">
      <alignment vertical="center"/>
    </xf>
    <xf numFmtId="4" fontId="69" fillId="0" borderId="0" xfId="0" applyNumberFormat="1" applyFont="1" applyFill="1" applyAlignment="1">
      <alignment horizontal="right" vertical="center" indent="1"/>
    </xf>
    <xf numFmtId="4" fontId="97" fillId="0" borderId="0" xfId="89" applyNumberFormat="1" applyFont="1"/>
    <xf numFmtId="4" fontId="69" fillId="0" borderId="0" xfId="89" applyNumberFormat="1" applyFont="1"/>
    <xf numFmtId="4" fontId="59" fillId="0" borderId="0" xfId="89" applyNumberFormat="1" applyFont="1"/>
    <xf numFmtId="4" fontId="99" fillId="0" borderId="0" xfId="89" applyNumberFormat="1" applyFont="1"/>
    <xf numFmtId="0" fontId="69" fillId="0" borderId="0" xfId="0" applyFont="1" applyAlignment="1">
      <alignment vertical="center"/>
    </xf>
    <xf numFmtId="4" fontId="69" fillId="0" borderId="0" xfId="0" applyNumberFormat="1" applyFont="1" applyAlignment="1">
      <alignment vertical="center"/>
    </xf>
    <xf numFmtId="4" fontId="3" fillId="0" borderId="0" xfId="0" applyNumberFormat="1" applyFont="1" applyAlignment="1">
      <alignment vertical="center" wrapText="1"/>
    </xf>
    <xf numFmtId="3" fontId="3" fillId="0" borderId="0" xfId="0" applyNumberFormat="1" applyFont="1" applyAlignment="1">
      <alignment vertical="center" wrapText="1"/>
    </xf>
    <xf numFmtId="4" fontId="0" fillId="0" borderId="0" xfId="0" applyNumberFormat="1" applyBorder="1"/>
    <xf numFmtId="0" fontId="1" fillId="0" borderId="0" xfId="0" applyNumberFormat="1" applyFont="1" applyBorder="1"/>
    <xf numFmtId="4" fontId="100" fillId="35" borderId="14" xfId="0" applyNumberFormat="1" applyFont="1" applyFill="1" applyBorder="1" applyAlignment="1">
      <alignment horizontal="right" vertical="center" wrapText="1" indent="1"/>
    </xf>
    <xf numFmtId="2" fontId="3" fillId="0" borderId="13" xfId="0" applyNumberFormat="1" applyFont="1" applyBorder="1" applyAlignment="1">
      <alignment horizontal="right" vertical="center" indent="1"/>
    </xf>
    <xf numFmtId="3" fontId="79" fillId="0" borderId="0" xfId="44" applyNumberFormat="1" applyFont="1" applyBorder="1" applyAlignment="1">
      <alignment vertical="center" wrapText="1"/>
    </xf>
    <xf numFmtId="49" fontId="78" fillId="0" borderId="0" xfId="89" applyNumberFormat="1" applyFont="1" applyAlignment="1">
      <alignment horizontal="left" wrapText="1"/>
    </xf>
    <xf numFmtId="0" fontId="78" fillId="0" borderId="0" xfId="0" applyFont="1" applyFill="1" applyBorder="1" applyAlignment="1">
      <alignment horizontal="center" wrapText="1"/>
    </xf>
    <xf numFmtId="0" fontId="78" fillId="0" borderId="0" xfId="0" applyFont="1" applyFill="1" applyBorder="1" applyAlignment="1">
      <alignment wrapText="1"/>
    </xf>
    <xf numFmtId="4" fontId="97" fillId="0" borderId="0" xfId="89" applyNumberFormat="1" applyFont="1" applyAlignment="1">
      <alignment wrapText="1"/>
    </xf>
    <xf numFmtId="49" fontId="3" fillId="49" borderId="0" xfId="90" applyNumberFormat="1" applyFont="1" applyFill="1"/>
    <xf numFmtId="2" fontId="31" fillId="49" borderId="0" xfId="90" applyNumberFormat="1" applyFont="1" applyFill="1" applyAlignment="1">
      <alignment horizontal="right" wrapText="1"/>
    </xf>
    <xf numFmtId="0" fontId="3" fillId="49" borderId="0" xfId="90" applyFont="1" applyFill="1"/>
    <xf numFmtId="2" fontId="31" fillId="49" borderId="0" xfId="90" applyNumberFormat="1" applyFont="1" applyFill="1"/>
    <xf numFmtId="0" fontId="69" fillId="0" borderId="0" xfId="39" applyFont="1" applyFill="1"/>
    <xf numFmtId="0" fontId="69" fillId="0" borderId="0" xfId="39" applyFont="1"/>
    <xf numFmtId="3" fontId="2" fillId="0" borderId="0" xfId="0" applyNumberFormat="1" applyFont="1" applyBorder="1" applyAlignment="1">
      <alignment horizontal="center" vertical="center"/>
    </xf>
    <xf numFmtId="4" fontId="2" fillId="0" borderId="0" xfId="0" applyNumberFormat="1" applyFont="1" applyAlignment="1">
      <alignment horizontal="center" vertical="center" wrapText="1"/>
    </xf>
    <xf numFmtId="0" fontId="109" fillId="0" borderId="0" xfId="0" applyFont="1" applyBorder="1" applyAlignment="1">
      <alignment horizontal="left" vertical="center"/>
    </xf>
    <xf numFmtId="4" fontId="2" fillId="0" borderId="0" xfId="0" applyNumberFormat="1" applyFont="1" applyBorder="1" applyAlignment="1">
      <alignment horizontal="center" vertical="center"/>
    </xf>
    <xf numFmtId="0" fontId="7" fillId="0" borderId="0" xfId="0" applyFont="1" applyBorder="1" applyAlignment="1">
      <alignment horizontal="center" vertical="center"/>
    </xf>
    <xf numFmtId="0" fontId="69" fillId="0" borderId="0" xfId="0" applyFont="1" applyAlignment="1">
      <alignment horizontal="center" vertical="center" wrapText="1"/>
    </xf>
    <xf numFmtId="49" fontId="3" fillId="42" borderId="0" xfId="90" applyNumberFormat="1" applyFont="1" applyFill="1" applyAlignment="1">
      <alignment vertical="center" wrapText="1"/>
    </xf>
    <xf numFmtId="0" fontId="1" fillId="42" borderId="0" xfId="90" applyFill="1"/>
    <xf numFmtId="49" fontId="3" fillId="0" borderId="0" xfId="0" applyNumberFormat="1" applyFont="1" applyFill="1" applyAlignment="1">
      <alignment horizontal="left" indent="1"/>
    </xf>
    <xf numFmtId="49" fontId="3" fillId="42" borderId="0" xfId="0" applyNumberFormat="1" applyFont="1" applyFill="1" applyBorder="1" applyAlignment="1">
      <alignment horizontal="left" indent="1"/>
    </xf>
    <xf numFmtId="44" fontId="65" fillId="0" borderId="0" xfId="40" applyNumberFormat="1"/>
    <xf numFmtId="0" fontId="78" fillId="0" borderId="0" xfId="90" applyFont="1" applyAlignment="1">
      <alignment vertical="center" wrapText="1"/>
    </xf>
    <xf numFmtId="0" fontId="78" fillId="37" borderId="0" xfId="90" applyFont="1" applyFill="1" applyAlignment="1">
      <alignment vertical="center" wrapText="1"/>
    </xf>
    <xf numFmtId="49" fontId="3" fillId="0" borderId="0" xfId="0" applyNumberFormat="1" applyFont="1" applyFill="1" applyBorder="1" applyAlignment="1">
      <alignment horizontal="left" wrapText="1" indent="1"/>
    </xf>
    <xf numFmtId="0" fontId="3" fillId="0" borderId="0" xfId="0" applyFont="1" applyFill="1" applyBorder="1" applyAlignment="1">
      <alignment wrapText="1"/>
    </xf>
    <xf numFmtId="49" fontId="6" fillId="0" borderId="0" xfId="0" applyNumberFormat="1" applyFont="1" applyFill="1" applyBorder="1" applyAlignment="1">
      <alignment horizontal="left" indent="1"/>
    </xf>
    <xf numFmtId="4" fontId="3" fillId="0" borderId="0" xfId="89" applyNumberFormat="1" applyFont="1" applyAlignment="1">
      <alignment vertical="center"/>
    </xf>
    <xf numFmtId="0" fontId="78" fillId="0" borderId="0" xfId="39" applyFont="1"/>
    <xf numFmtId="3" fontId="78" fillId="0" borderId="0" xfId="39" applyNumberFormat="1" applyFont="1"/>
    <xf numFmtId="0" fontId="78" fillId="0" borderId="0" xfId="0" applyFont="1" applyAlignment="1">
      <alignment vertical="center" wrapText="1"/>
    </xf>
    <xf numFmtId="0" fontId="78" fillId="0" borderId="0" xfId="0" applyFont="1" applyFill="1" applyBorder="1"/>
    <xf numFmtId="0" fontId="3" fillId="42" borderId="15" xfId="89" applyFont="1" applyFill="1" applyBorder="1" applyAlignment="1">
      <alignment horizontal="center" vertical="center"/>
    </xf>
    <xf numFmtId="0" fontId="70" fillId="42" borderId="13" xfId="89" applyNumberFormat="1" applyFont="1" applyFill="1" applyBorder="1" applyAlignment="1">
      <alignment horizontal="left" vertical="top" wrapText="1" indent="1"/>
    </xf>
    <xf numFmtId="4" fontId="6" fillId="42" borderId="13" xfId="89" applyNumberFormat="1" applyFont="1" applyFill="1" applyBorder="1" applyAlignment="1">
      <alignment horizontal="right" vertical="center" wrapText="1" indent="1"/>
    </xf>
    <xf numFmtId="4" fontId="6" fillId="42" borderId="14" xfId="89" applyNumberFormat="1" applyFont="1" applyFill="1" applyBorder="1" applyAlignment="1">
      <alignment horizontal="right" vertical="center" wrapText="1" indent="1"/>
    </xf>
    <xf numFmtId="0" fontId="59" fillId="42" borderId="0" xfId="89" applyFont="1" applyFill="1"/>
    <xf numFmtId="0" fontId="3" fillId="42" borderId="0" xfId="89" applyFont="1" applyFill="1"/>
    <xf numFmtId="0" fontId="70" fillId="42" borderId="13" xfId="89" quotePrefix="1" applyNumberFormat="1" applyFont="1" applyFill="1" applyBorder="1" applyAlignment="1">
      <alignment horizontal="left" vertical="top" wrapText="1" indent="1"/>
    </xf>
    <xf numFmtId="0" fontId="3" fillId="42" borderId="15" xfId="0" applyFont="1" applyFill="1" applyBorder="1" applyAlignment="1">
      <alignment horizontal="center" vertical="center"/>
    </xf>
    <xf numFmtId="0" fontId="6" fillId="42" borderId="13" xfId="0" applyNumberFormat="1" applyFont="1" applyFill="1" applyBorder="1" applyAlignment="1">
      <alignment horizontal="left" vertical="center" wrapText="1" indent="1"/>
    </xf>
    <xf numFmtId="4" fontId="6" fillId="42" borderId="13" xfId="0" applyNumberFormat="1" applyFont="1" applyFill="1" applyBorder="1" applyAlignment="1">
      <alignment horizontal="right" vertical="center" wrapText="1" indent="1"/>
    </xf>
    <xf numFmtId="4" fontId="6" fillId="42" borderId="13" xfId="0" applyNumberFormat="1" applyFont="1" applyFill="1" applyBorder="1" applyAlignment="1">
      <alignment horizontal="right" vertical="center" indent="1"/>
    </xf>
    <xf numFmtId="4" fontId="6" fillId="42" borderId="14" xfId="0" applyNumberFormat="1" applyFont="1" applyFill="1" applyBorder="1" applyAlignment="1">
      <alignment horizontal="right" vertical="center" indent="1"/>
    </xf>
    <xf numFmtId="4" fontId="61" fillId="42" borderId="0" xfId="0" applyNumberFormat="1" applyFont="1" applyFill="1"/>
    <xf numFmtId="0" fontId="61" fillId="42" borderId="0" xfId="0" applyFont="1" applyFill="1"/>
    <xf numFmtId="4" fontId="3" fillId="42" borderId="0" xfId="89" applyNumberFormat="1" applyFont="1" applyFill="1"/>
    <xf numFmtId="4" fontId="69" fillId="42" borderId="0" xfId="0" applyNumberFormat="1" applyFont="1" applyFill="1" applyAlignment="1">
      <alignment wrapText="1"/>
    </xf>
    <xf numFmtId="0" fontId="4" fillId="0" borderId="30" xfId="0" applyNumberFormat="1" applyFont="1" applyBorder="1" applyAlignment="1">
      <alignment horizontal="center" vertical="center" wrapText="1"/>
    </xf>
    <xf numFmtId="0" fontId="60" fillId="0" borderId="31" xfId="0" applyNumberFormat="1" applyFont="1" applyBorder="1" applyAlignment="1">
      <alignment horizontal="left"/>
    </xf>
    <xf numFmtId="0" fontId="60" fillId="0" borderId="36" xfId="0" applyNumberFormat="1" applyFont="1" applyBorder="1" applyAlignment="1">
      <alignment horizontal="left"/>
    </xf>
    <xf numFmtId="0" fontId="6" fillId="0" borderId="75" xfId="0" applyNumberFormat="1" applyFont="1" applyBorder="1" applyAlignment="1">
      <alignment horizontal="left" vertical="center" wrapText="1" indent="1"/>
    </xf>
    <xf numFmtId="0" fontId="6" fillId="0" borderId="50" xfId="0" applyNumberFormat="1" applyFont="1" applyBorder="1" applyAlignment="1">
      <alignment horizontal="left" vertical="center" wrapText="1" indent="1"/>
    </xf>
    <xf numFmtId="0" fontId="6" fillId="0" borderId="54" xfId="0" applyNumberFormat="1" applyFont="1" applyBorder="1" applyAlignment="1">
      <alignment horizontal="left" vertical="center" wrapText="1" indent="1"/>
    </xf>
    <xf numFmtId="0" fontId="10" fillId="0" borderId="30" xfId="0" applyNumberFormat="1" applyFont="1" applyBorder="1" applyAlignment="1">
      <alignment horizontal="center" vertical="center" wrapText="1"/>
    </xf>
    <xf numFmtId="0" fontId="10" fillId="0" borderId="31" xfId="0" applyNumberFormat="1" applyFont="1" applyBorder="1" applyAlignment="1">
      <alignment horizontal="center" vertical="center" wrapText="1"/>
    </xf>
    <xf numFmtId="0" fontId="10" fillId="0" borderId="36" xfId="0" applyNumberFormat="1" applyFont="1" applyBorder="1" applyAlignment="1">
      <alignment horizontal="center" vertical="center" wrapText="1"/>
    </xf>
    <xf numFmtId="0" fontId="6" fillId="0" borderId="22" xfId="0" applyNumberFormat="1" applyFont="1" applyBorder="1" applyAlignment="1">
      <alignment horizontal="left" vertical="center" wrapText="1" indent="1"/>
    </xf>
    <xf numFmtId="0" fontId="6" fillId="0" borderId="29" xfId="0" applyNumberFormat="1" applyFont="1" applyBorder="1" applyAlignment="1">
      <alignment horizontal="left" vertical="center" wrapText="1" indent="1"/>
    </xf>
    <xf numFmtId="0" fontId="6" fillId="0" borderId="34" xfId="0" applyNumberFormat="1" applyFont="1" applyBorder="1" applyAlignment="1">
      <alignment horizontal="left" vertical="center" wrapText="1" indent="1"/>
    </xf>
    <xf numFmtId="49" fontId="3" fillId="0" borderId="35" xfId="0" applyNumberFormat="1" applyFont="1" applyBorder="1" applyAlignment="1">
      <alignment horizontal="left" wrapText="1"/>
    </xf>
    <xf numFmtId="49" fontId="3" fillId="0" borderId="4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37" xfId="0" applyNumberFormat="1" applyFont="1" applyBorder="1" applyAlignment="1">
      <alignment horizontal="left" wrapText="1"/>
    </xf>
    <xf numFmtId="49" fontId="3" fillId="0" borderId="50" xfId="0" applyNumberFormat="1" applyFont="1" applyBorder="1" applyAlignment="1">
      <alignment horizontal="left" wrapText="1"/>
    </xf>
    <xf numFmtId="49" fontId="3" fillId="0" borderId="32" xfId="0" applyNumberFormat="1" applyFont="1" applyBorder="1" applyAlignment="1">
      <alignment horizontal="left" wrapText="1"/>
    </xf>
    <xf numFmtId="0" fontId="10" fillId="0" borderId="30" xfId="0" applyNumberFormat="1" applyFont="1" applyBorder="1" applyAlignment="1">
      <alignment horizontal="center" vertical="center"/>
    </xf>
    <xf numFmtId="0" fontId="10" fillId="0" borderId="31" xfId="0" applyNumberFormat="1" applyFont="1" applyBorder="1" applyAlignment="1">
      <alignment horizontal="center" vertical="center"/>
    </xf>
    <xf numFmtId="0" fontId="10" fillId="0" borderId="36" xfId="0" applyNumberFormat="1" applyFont="1" applyBorder="1" applyAlignment="1">
      <alignment horizontal="center" vertical="center"/>
    </xf>
    <xf numFmtId="0" fontId="2" fillId="0" borderId="15"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29" xfId="0" applyNumberFormat="1" applyFont="1" applyBorder="1" applyAlignment="1">
      <alignment horizontal="center" vertical="center" wrapText="1"/>
    </xf>
    <xf numFmtId="0" fontId="4" fillId="0" borderId="20" xfId="0" applyNumberFormat="1" applyFont="1" applyBorder="1" applyAlignment="1">
      <alignment horizontal="center" vertical="center"/>
    </xf>
    <xf numFmtId="0" fontId="4" fillId="0" borderId="27" xfId="0" applyNumberFormat="1" applyFont="1" applyBorder="1" applyAlignment="1">
      <alignment horizontal="center" vertical="center"/>
    </xf>
    <xf numFmtId="0" fontId="4" fillId="0" borderId="38" xfId="0" applyNumberFormat="1" applyFont="1" applyBorder="1" applyAlignment="1">
      <alignment horizontal="center" vertical="center"/>
    </xf>
    <xf numFmtId="0" fontId="6" fillId="0" borderId="61" xfId="0" applyNumberFormat="1" applyFont="1" applyBorder="1" applyAlignment="1">
      <alignment horizontal="left" vertical="center" wrapText="1" indent="1"/>
    </xf>
    <xf numFmtId="0" fontId="6" fillId="0" borderId="72" xfId="0" applyNumberFormat="1" applyFont="1" applyBorder="1" applyAlignment="1">
      <alignment horizontal="left" vertical="center" wrapText="1" indent="1"/>
    </xf>
    <xf numFmtId="0" fontId="6" fillId="0" borderId="41" xfId="0" applyNumberFormat="1" applyFont="1" applyBorder="1" applyAlignment="1">
      <alignment horizontal="left" vertical="center" wrapText="1" indent="1"/>
    </xf>
    <xf numFmtId="0" fontId="10" fillId="0" borderId="69" xfId="89" applyNumberFormat="1" applyFont="1" applyBorder="1" applyAlignment="1">
      <alignment horizontal="center" vertical="center"/>
    </xf>
    <xf numFmtId="0" fontId="10" fillId="0" borderId="70" xfId="89" applyNumberFormat="1" applyFont="1" applyBorder="1" applyAlignment="1">
      <alignment horizontal="center" vertical="center"/>
    </xf>
    <xf numFmtId="0" fontId="10" fillId="0" borderId="71" xfId="89" applyNumberFormat="1" applyFont="1" applyBorder="1" applyAlignment="1">
      <alignment horizontal="center" vertical="center"/>
    </xf>
    <xf numFmtId="0" fontId="6" fillId="0" borderId="61" xfId="89" applyNumberFormat="1" applyFont="1" applyBorder="1" applyAlignment="1">
      <alignment horizontal="left" vertical="center" wrapText="1" indent="1"/>
    </xf>
    <xf numFmtId="0" fontId="6" fillId="0" borderId="72" xfId="89" applyNumberFormat="1" applyFont="1" applyBorder="1" applyAlignment="1">
      <alignment horizontal="left" vertical="center" wrapText="1" indent="1"/>
    </xf>
    <xf numFmtId="0" fontId="6" fillId="0" borderId="41" xfId="89" applyNumberFormat="1" applyFont="1" applyBorder="1" applyAlignment="1">
      <alignment horizontal="left" vertical="center" wrapText="1" indent="1"/>
    </xf>
    <xf numFmtId="0" fontId="2" fillId="0" borderId="15" xfId="89" applyNumberFormat="1" applyFont="1" applyBorder="1" applyAlignment="1">
      <alignment horizontal="center" vertical="center" wrapText="1"/>
    </xf>
    <xf numFmtId="0" fontId="2" fillId="0" borderId="19" xfId="89" applyNumberFormat="1" applyFont="1" applyBorder="1" applyAlignment="1">
      <alignment horizontal="center" vertical="center" wrapText="1"/>
    </xf>
    <xf numFmtId="0" fontId="2" fillId="0" borderId="29" xfId="89" applyNumberFormat="1" applyFont="1" applyBorder="1" applyAlignment="1">
      <alignment horizontal="center" vertical="center" wrapText="1"/>
    </xf>
    <xf numFmtId="0" fontId="4" fillId="0" borderId="13" xfId="89" applyNumberFormat="1" applyFont="1" applyBorder="1" applyAlignment="1">
      <alignment horizontal="center" vertical="center"/>
    </xf>
    <xf numFmtId="0" fontId="4" fillId="0" borderId="20" xfId="89" applyNumberFormat="1" applyFont="1" applyBorder="1" applyAlignment="1">
      <alignment horizontal="center" vertical="center"/>
    </xf>
    <xf numFmtId="0" fontId="4" fillId="0" borderId="38" xfId="89" applyNumberFormat="1" applyFont="1" applyBorder="1" applyAlignment="1">
      <alignment horizontal="center" vertical="center"/>
    </xf>
    <xf numFmtId="0" fontId="71" fillId="0" borderId="23" xfId="0" applyNumberFormat="1" applyFont="1" applyBorder="1" applyAlignment="1">
      <alignment horizontal="center" vertical="center" wrapText="1"/>
    </xf>
    <xf numFmtId="0" fontId="71" fillId="0" borderId="15" xfId="0" applyNumberFormat="1" applyFont="1" applyBorder="1" applyAlignment="1">
      <alignment horizontal="center" vertical="center" wrapText="1"/>
    </xf>
    <xf numFmtId="0" fontId="71" fillId="0" borderId="16" xfId="0" applyNumberFormat="1" applyFont="1" applyBorder="1" applyAlignment="1">
      <alignment horizontal="center" vertical="center" wrapText="1"/>
    </xf>
    <xf numFmtId="0" fontId="71" fillId="0" borderId="25" xfId="0" applyNumberFormat="1" applyFont="1" applyBorder="1" applyAlignment="1">
      <alignment horizontal="center" vertical="center" wrapText="1"/>
    </xf>
    <xf numFmtId="0" fontId="71" fillId="0" borderId="13" xfId="0" applyNumberFormat="1" applyFont="1" applyBorder="1" applyAlignment="1">
      <alignment horizontal="center" vertical="center" wrapText="1"/>
    </xf>
    <xf numFmtId="0" fontId="71" fillId="0" borderId="17" xfId="0" applyNumberFormat="1" applyFont="1" applyBorder="1" applyAlignment="1">
      <alignment horizontal="center" vertical="center" wrapText="1"/>
    </xf>
    <xf numFmtId="0" fontId="71" fillId="0" borderId="24" xfId="0" applyNumberFormat="1" applyFont="1" applyBorder="1" applyAlignment="1">
      <alignment horizontal="center" vertical="center" wrapText="1"/>
    </xf>
    <xf numFmtId="0" fontId="71" fillId="0" borderId="14" xfId="0" applyNumberFormat="1" applyFont="1" applyBorder="1" applyAlignment="1">
      <alignment horizontal="center" vertical="center" wrapText="1"/>
    </xf>
    <xf numFmtId="0" fontId="71" fillId="0" borderId="1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2" fillId="0" borderId="37"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3" fillId="0" borderId="20" xfId="0" applyNumberFormat="1" applyFont="1" applyBorder="1" applyAlignment="1">
      <alignment horizontal="left"/>
    </xf>
    <xf numFmtId="49" fontId="3" fillId="0" borderId="52" xfId="0" applyNumberFormat="1" applyFont="1" applyBorder="1" applyAlignment="1">
      <alignment horizontal="left"/>
    </xf>
    <xf numFmtId="49" fontId="3" fillId="0" borderId="27" xfId="0" applyNumberFormat="1" applyFont="1" applyBorder="1" applyAlignment="1">
      <alignment horizontal="left"/>
    </xf>
    <xf numFmtId="0" fontId="2" fillId="36" borderId="29" xfId="0" applyNumberFormat="1" applyFont="1" applyFill="1" applyBorder="1" applyAlignment="1">
      <alignment horizontal="center" vertical="center" wrapText="1"/>
    </xf>
    <xf numFmtId="0" fontId="2" fillId="36" borderId="13" xfId="0" applyNumberFormat="1" applyFont="1" applyFill="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75" xfId="0" applyNumberFormat="1" applyFont="1" applyBorder="1" applyAlignment="1">
      <alignment horizontal="center" vertical="center" wrapText="1"/>
    </xf>
    <xf numFmtId="0" fontId="92" fillId="0" borderId="0" xfId="0" applyFont="1" applyAlignment="1">
      <alignment horizontal="left" vertical="center" wrapText="1"/>
    </xf>
    <xf numFmtId="0" fontId="2" fillId="0" borderId="13" xfId="0" applyNumberFormat="1" applyFont="1" applyBorder="1" applyAlignment="1">
      <alignment horizontal="center" vertical="center" wrapText="1"/>
    </xf>
    <xf numFmtId="49" fontId="7" fillId="0" borderId="20" xfId="0" applyNumberFormat="1" applyFont="1" applyBorder="1" applyAlignment="1">
      <alignment horizontal="left"/>
    </xf>
    <xf numFmtId="49" fontId="7" fillId="0" borderId="52" xfId="0" applyNumberFormat="1" applyFont="1" applyBorder="1" applyAlignment="1">
      <alignment horizontal="left"/>
    </xf>
    <xf numFmtId="49" fontId="7" fillId="0" borderId="27" xfId="0" applyNumberFormat="1" applyFont="1" applyBorder="1" applyAlignment="1">
      <alignment horizontal="left"/>
    </xf>
    <xf numFmtId="0" fontId="2" fillId="0" borderId="22" xfId="0" applyNumberFormat="1" applyFont="1" applyBorder="1" applyAlignment="1">
      <alignment horizontal="center" vertical="center" textRotation="90" wrapText="1"/>
    </xf>
    <xf numFmtId="0" fontId="2" fillId="0" borderId="15" xfId="0" applyNumberFormat="1" applyFont="1" applyBorder="1" applyAlignment="1">
      <alignment horizontal="center" vertical="center" textRotation="90" wrapText="1"/>
    </xf>
    <xf numFmtId="0" fontId="92" fillId="0" borderId="0" xfId="0" applyNumberFormat="1" applyFont="1" applyAlignment="1">
      <alignment horizontal="left" vertical="center" wrapText="1"/>
    </xf>
    <xf numFmtId="0" fontId="80" fillId="0" borderId="12" xfId="0" applyNumberFormat="1" applyFont="1" applyBorder="1" applyAlignment="1">
      <alignment horizontal="center" vertical="center" wrapText="1"/>
    </xf>
    <xf numFmtId="0" fontId="80" fillId="0" borderId="0" xfId="0" applyNumberFormat="1" applyFont="1" applyBorder="1" applyAlignment="1">
      <alignment horizontal="center" vertical="center" wrapText="1"/>
    </xf>
    <xf numFmtId="0" fontId="70" fillId="0" borderId="29" xfId="0" applyNumberFormat="1" applyFont="1" applyBorder="1" applyAlignment="1">
      <alignment horizontal="center" vertical="center" wrapText="1"/>
    </xf>
    <xf numFmtId="0" fontId="70" fillId="0" borderId="13" xfId="0" applyNumberFormat="1" applyFont="1" applyBorder="1" applyAlignment="1">
      <alignment horizontal="center" vertical="center" wrapText="1"/>
    </xf>
    <xf numFmtId="0" fontId="66" fillId="0" borderId="12" xfId="39" applyNumberFormat="1" applyFont="1" applyBorder="1" applyAlignment="1">
      <alignment horizontal="center" vertical="center" wrapText="1"/>
    </xf>
    <xf numFmtId="0" fontId="66" fillId="0" borderId="75" xfId="39" applyNumberFormat="1" applyFont="1" applyBorder="1" applyAlignment="1">
      <alignment horizontal="center" vertical="center" wrapText="1"/>
    </xf>
    <xf numFmtId="0" fontId="3" fillId="0" borderId="20" xfId="0" applyNumberFormat="1" applyFont="1" applyBorder="1" applyAlignment="1">
      <alignment horizontal="left"/>
    </xf>
    <xf numFmtId="0" fontId="3" fillId="0" borderId="52" xfId="0" applyNumberFormat="1" applyFont="1" applyBorder="1" applyAlignment="1">
      <alignment horizontal="left"/>
    </xf>
    <xf numFmtId="0" fontId="3" fillId="0" borderId="27" xfId="0" applyNumberFormat="1" applyFont="1" applyBorder="1" applyAlignment="1">
      <alignment horizontal="left"/>
    </xf>
    <xf numFmtId="0" fontId="7" fillId="0" borderId="20" xfId="0" applyNumberFormat="1" applyFont="1" applyBorder="1" applyAlignment="1">
      <alignment horizontal="left"/>
    </xf>
    <xf numFmtId="0" fontId="7" fillId="0" borderId="52" xfId="0" applyNumberFormat="1" applyFont="1" applyBorder="1" applyAlignment="1">
      <alignment horizontal="left"/>
    </xf>
    <xf numFmtId="0" fontId="7" fillId="0" borderId="27" xfId="0" applyNumberFormat="1" applyFont="1" applyBorder="1" applyAlignment="1">
      <alignment horizontal="left"/>
    </xf>
    <xf numFmtId="0" fontId="89" fillId="45" borderId="57" xfId="39" applyNumberFormat="1" applyFont="1" applyFill="1" applyBorder="1" applyAlignment="1">
      <alignment horizontal="center" vertical="center" wrapText="1"/>
    </xf>
    <xf numFmtId="0" fontId="89" fillId="45" borderId="45" xfId="39" applyNumberFormat="1" applyFont="1" applyFill="1" applyBorder="1" applyAlignment="1">
      <alignment horizontal="center" vertical="center" wrapText="1"/>
    </xf>
    <xf numFmtId="0" fontId="6" fillId="0" borderId="63" xfId="40" applyNumberFormat="1" applyFont="1" applyBorder="1" applyAlignment="1">
      <alignment horizontal="center" vertical="center"/>
    </xf>
    <xf numFmtId="0" fontId="6" fillId="0" borderId="58" xfId="40" applyNumberFormat="1" applyFont="1" applyBorder="1" applyAlignment="1">
      <alignment horizontal="center" vertical="center"/>
    </xf>
    <xf numFmtId="0" fontId="6" fillId="0" borderId="59" xfId="40" applyNumberFormat="1" applyFont="1" applyBorder="1" applyAlignment="1">
      <alignment horizontal="center" vertical="center"/>
    </xf>
    <xf numFmtId="0" fontId="66" fillId="0" borderId="66" xfId="40" applyNumberFormat="1" applyFont="1" applyBorder="1" applyAlignment="1">
      <alignment horizontal="left" vertical="center" wrapText="1" indent="1"/>
    </xf>
    <xf numFmtId="0" fontId="66" fillId="0" borderId="67" xfId="40" applyNumberFormat="1" applyFont="1" applyBorder="1" applyAlignment="1">
      <alignment horizontal="left" vertical="center" wrapText="1" indent="1"/>
    </xf>
    <xf numFmtId="0" fontId="66" fillId="0" borderId="68" xfId="40" applyNumberFormat="1" applyFont="1" applyBorder="1" applyAlignment="1">
      <alignment horizontal="left" vertical="center" wrapText="1" indent="1"/>
    </xf>
    <xf numFmtId="0" fontId="65" fillId="0" borderId="20" xfId="40" applyNumberFormat="1" applyBorder="1" applyAlignment="1">
      <alignment horizontal="left" vertical="center" wrapText="1"/>
    </xf>
    <xf numFmtId="0" fontId="65" fillId="0" borderId="52" xfId="40" applyNumberFormat="1" applyBorder="1" applyAlignment="1">
      <alignment horizontal="left" vertical="center" wrapText="1"/>
    </xf>
    <xf numFmtId="0" fontId="65" fillId="0" borderId="27" xfId="40" applyNumberFormat="1" applyBorder="1" applyAlignment="1">
      <alignment horizontal="left" vertical="center" wrapText="1"/>
    </xf>
    <xf numFmtId="0" fontId="22" fillId="0" borderId="37" xfId="0" applyNumberFormat="1" applyFont="1" applyBorder="1" applyAlignment="1">
      <alignment horizontal="left" vertical="center"/>
    </xf>
    <xf numFmtId="0" fontId="22" fillId="0" borderId="50" xfId="0" applyNumberFormat="1" applyFont="1" applyBorder="1" applyAlignment="1">
      <alignment horizontal="left" vertical="center"/>
    </xf>
    <xf numFmtId="0" fontId="22" fillId="0" borderId="32" xfId="0" applyNumberFormat="1" applyFont="1" applyBorder="1" applyAlignment="1">
      <alignment horizontal="left" vertical="center"/>
    </xf>
    <xf numFmtId="0" fontId="22" fillId="0" borderId="35" xfId="0" applyNumberFormat="1" applyFont="1" applyBorder="1" applyAlignment="1">
      <alignment horizontal="left" vertical="center"/>
    </xf>
    <xf numFmtId="0" fontId="22" fillId="0" borderId="46" xfId="0" applyNumberFormat="1" applyFont="1" applyBorder="1" applyAlignment="1">
      <alignment horizontal="left" vertical="center"/>
    </xf>
    <xf numFmtId="0" fontId="22" fillId="0" borderId="47" xfId="0" applyNumberFormat="1" applyFont="1" applyBorder="1" applyAlignment="1">
      <alignment horizontal="left" vertical="center"/>
    </xf>
    <xf numFmtId="0" fontId="10" fillId="0" borderId="69" xfId="0" applyNumberFormat="1" applyFont="1" applyBorder="1" applyAlignment="1">
      <alignment horizontal="center" vertical="center" wrapText="1"/>
    </xf>
    <xf numFmtId="0" fontId="10" fillId="0" borderId="70" xfId="0" applyNumberFormat="1" applyFont="1" applyBorder="1" applyAlignment="1">
      <alignment horizontal="center" vertical="center" wrapText="1"/>
    </xf>
    <xf numFmtId="0" fontId="10" fillId="0" borderId="71"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6" fillId="0" borderId="27" xfId="0" applyNumberFormat="1" applyFont="1" applyBorder="1" applyAlignment="1">
      <alignment horizontal="center" vertical="center" wrapText="1"/>
    </xf>
    <xf numFmtId="0" fontId="6" fillId="0" borderId="52" xfId="0" applyNumberFormat="1" applyFont="1" applyBorder="1" applyAlignment="1">
      <alignment horizontal="center" vertical="center" wrapText="1"/>
    </xf>
    <xf numFmtId="0" fontId="6" fillId="0" borderId="38"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32"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0" fontId="6" fillId="0" borderId="40" xfId="0" applyNumberFormat="1" applyFont="1" applyBorder="1" applyAlignment="1">
      <alignment horizontal="left" vertical="center" wrapText="1" indent="1"/>
    </xf>
    <xf numFmtId="0" fontId="6" fillId="0" borderId="72" xfId="0" applyNumberFormat="1" applyFont="1" applyBorder="1" applyAlignment="1">
      <alignment horizontal="center" vertical="center" wrapText="1"/>
    </xf>
    <xf numFmtId="0" fontId="6" fillId="0" borderId="41" xfId="0" applyNumberFormat="1" applyFont="1" applyBorder="1" applyAlignment="1">
      <alignment horizontal="center" vertical="center" wrapText="1"/>
    </xf>
    <xf numFmtId="0" fontId="22" fillId="0" borderId="37" xfId="0" applyFont="1" applyBorder="1" applyAlignment="1">
      <alignment horizontal="left" vertical="center"/>
    </xf>
    <xf numFmtId="0" fontId="22" fillId="0" borderId="50" xfId="0" applyFont="1" applyBorder="1" applyAlignment="1">
      <alignment horizontal="left" vertical="center"/>
    </xf>
    <xf numFmtId="0" fontId="22" fillId="0" borderId="32" xfId="0" applyFont="1" applyBorder="1" applyAlignment="1">
      <alignment horizontal="left" vertical="center"/>
    </xf>
    <xf numFmtId="0" fontId="22" fillId="0" borderId="35" xfId="0" applyFont="1" applyBorder="1" applyAlignment="1">
      <alignment horizontal="left" vertical="center"/>
    </xf>
    <xf numFmtId="0" fontId="22" fillId="0" borderId="46" xfId="0" applyFont="1" applyBorder="1" applyAlignment="1">
      <alignment horizontal="left" vertical="center"/>
    </xf>
    <xf numFmtId="0" fontId="22" fillId="0" borderId="47" xfId="0" applyFont="1" applyBorder="1" applyAlignment="1">
      <alignment horizontal="left" vertical="center"/>
    </xf>
    <xf numFmtId="0" fontId="22" fillId="0" borderId="37" xfId="0" applyNumberFormat="1" applyFont="1" applyBorder="1" applyAlignment="1">
      <alignment horizontal="left" vertical="center" wrapText="1"/>
    </xf>
    <xf numFmtId="0" fontId="22" fillId="0" borderId="50" xfId="0" applyNumberFormat="1" applyFont="1" applyBorder="1" applyAlignment="1">
      <alignment horizontal="left" vertical="center" wrapText="1"/>
    </xf>
    <xf numFmtId="0" fontId="22" fillId="0" borderId="32" xfId="0" applyNumberFormat="1" applyFont="1" applyBorder="1" applyAlignment="1">
      <alignment horizontal="left" vertical="center" wrapText="1"/>
    </xf>
    <xf numFmtId="0" fontId="4" fillId="0" borderId="23" xfId="0" applyNumberFormat="1" applyFont="1" applyBorder="1" applyAlignment="1">
      <alignment horizontal="center" vertical="center" wrapText="1"/>
    </xf>
    <xf numFmtId="0" fontId="4" fillId="0" borderId="25" xfId="0" applyNumberFormat="1" applyFont="1" applyBorder="1" applyAlignment="1">
      <alignment horizontal="center" vertical="center" wrapText="1"/>
    </xf>
    <xf numFmtId="0" fontId="4" fillId="0" borderId="24"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6" fillId="0" borderId="62" xfId="0" applyNumberFormat="1" applyFont="1" applyBorder="1" applyAlignment="1">
      <alignment horizontal="left" vertical="center" wrapText="1" indent="1"/>
    </xf>
    <xf numFmtId="0" fontId="6" fillId="0" borderId="52" xfId="0" applyNumberFormat="1" applyFont="1" applyBorder="1" applyAlignment="1">
      <alignment horizontal="left" vertical="center" wrapText="1" indent="1"/>
    </xf>
    <xf numFmtId="0" fontId="6" fillId="0" borderId="38" xfId="0" applyNumberFormat="1" applyFont="1" applyBorder="1" applyAlignment="1">
      <alignment horizontal="left" vertical="center" wrapText="1" indent="1"/>
    </xf>
    <xf numFmtId="0" fontId="22" fillId="0" borderId="37" xfId="39" applyFont="1" applyFill="1" applyBorder="1" applyAlignment="1">
      <alignment horizontal="left" vertical="center" wrapText="1"/>
    </xf>
    <xf numFmtId="0" fontId="22" fillId="0" borderId="50" xfId="39" applyFont="1" applyFill="1" applyBorder="1" applyAlignment="1">
      <alignment horizontal="left" vertical="center"/>
    </xf>
    <xf numFmtId="0" fontId="22" fillId="0" borderId="32" xfId="39" applyFont="1" applyFill="1" applyBorder="1" applyAlignment="1">
      <alignment horizontal="left" vertical="center"/>
    </xf>
    <xf numFmtId="0" fontId="4" fillId="0" borderId="69" xfId="39" applyFont="1" applyBorder="1" applyAlignment="1">
      <alignment horizontal="center" vertical="center" wrapText="1"/>
    </xf>
    <xf numFmtId="0" fontId="4" fillId="0" borderId="70" xfId="39" applyFont="1" applyBorder="1" applyAlignment="1">
      <alignment horizontal="center" vertical="center"/>
    </xf>
    <xf numFmtId="0" fontId="4" fillId="0" borderId="71" xfId="39" applyFont="1" applyBorder="1" applyAlignment="1">
      <alignment horizontal="center" vertical="center"/>
    </xf>
    <xf numFmtId="0" fontId="6" fillId="0" borderId="23" xfId="39" applyFont="1" applyBorder="1" applyAlignment="1">
      <alignment horizontal="left" vertical="center" wrapText="1" indent="1"/>
    </xf>
    <xf numFmtId="0" fontId="6" fillId="0" borderId="25" xfId="39" applyFont="1" applyBorder="1" applyAlignment="1">
      <alignment horizontal="left" vertical="center" wrapText="1" indent="1"/>
    </xf>
    <xf numFmtId="0" fontId="6" fillId="0" borderId="24" xfId="39" applyFont="1" applyBorder="1" applyAlignment="1">
      <alignment horizontal="left" vertical="center" wrapText="1" indent="1"/>
    </xf>
    <xf numFmtId="0" fontId="22" fillId="0" borderId="35" xfId="39" applyFont="1" applyBorder="1" applyAlignment="1">
      <alignment horizontal="left" vertical="center"/>
    </xf>
    <xf numFmtId="0" fontId="22" fillId="0" borderId="46" xfId="39" applyFont="1" applyBorder="1" applyAlignment="1">
      <alignment horizontal="left" vertical="center"/>
    </xf>
    <xf numFmtId="0" fontId="22" fillId="0" borderId="47" xfId="39" applyFont="1" applyBorder="1" applyAlignment="1">
      <alignment horizontal="left" vertical="center"/>
    </xf>
    <xf numFmtId="0" fontId="22" fillId="36" borderId="48" xfId="39" applyFont="1" applyFill="1" applyBorder="1" applyAlignment="1">
      <alignment horizontal="left" vertical="center"/>
    </xf>
    <xf numFmtId="0" fontId="22" fillId="36" borderId="0" xfId="39" applyFont="1" applyFill="1" applyBorder="1" applyAlignment="1">
      <alignment horizontal="left" vertical="center"/>
    </xf>
    <xf numFmtId="0" fontId="22" fillId="36" borderId="49" xfId="39" applyFont="1" applyFill="1" applyBorder="1" applyAlignment="1">
      <alignment horizontal="left" vertical="center"/>
    </xf>
    <xf numFmtId="0" fontId="22" fillId="0" borderId="48" xfId="39" applyFont="1" applyFill="1" applyBorder="1" applyAlignment="1">
      <alignment horizontal="left" vertical="center" wrapText="1"/>
    </xf>
    <xf numFmtId="0" fontId="22" fillId="0" borderId="0" xfId="39" applyFont="1" applyFill="1" applyBorder="1" applyAlignment="1">
      <alignment horizontal="left" vertical="center"/>
    </xf>
    <xf numFmtId="0" fontId="22" fillId="0" borderId="49" xfId="39" applyFont="1" applyFill="1" applyBorder="1" applyAlignment="1">
      <alignment horizontal="left" vertical="center"/>
    </xf>
    <xf numFmtId="0" fontId="22" fillId="0" borderId="37" xfId="0" applyFont="1" applyBorder="1" applyAlignment="1">
      <alignment horizontal="left" vertical="center" wrapText="1"/>
    </xf>
    <xf numFmtId="0" fontId="22" fillId="0" borderId="50" xfId="0" applyFont="1" applyBorder="1" applyAlignment="1">
      <alignment horizontal="left" vertical="center" wrapText="1"/>
    </xf>
    <xf numFmtId="0" fontId="22" fillId="0" borderId="32" xfId="0" applyFont="1" applyBorder="1" applyAlignment="1">
      <alignment horizontal="left" vertical="center" wrapText="1"/>
    </xf>
    <xf numFmtId="0" fontId="4" fillId="0" borderId="30" xfId="0" applyNumberFormat="1" applyFont="1" applyFill="1" applyBorder="1" applyAlignment="1">
      <alignment horizontal="center" vertical="center" wrapText="1"/>
    </xf>
    <xf numFmtId="0" fontId="4" fillId="0" borderId="31" xfId="0" applyNumberFormat="1" applyFont="1" applyFill="1" applyBorder="1" applyAlignment="1">
      <alignment horizontal="center" vertical="center" wrapText="1"/>
    </xf>
    <xf numFmtId="0" fontId="4" fillId="0" borderId="36"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38" xfId="0" applyNumberFormat="1" applyFont="1" applyFill="1" applyBorder="1" applyAlignment="1">
      <alignment horizontal="center" vertical="center" wrapText="1"/>
    </xf>
    <xf numFmtId="0" fontId="107" fillId="51" borderId="0" xfId="92"/>
    <xf numFmtId="0" fontId="70" fillId="36" borderId="34" xfId="0" applyNumberFormat="1" applyFont="1" applyFill="1" applyBorder="1" applyAlignment="1">
      <alignment horizontal="center" vertical="center" wrapText="1"/>
    </xf>
    <xf numFmtId="0" fontId="70" fillId="36" borderId="14" xfId="0" applyNumberFormat="1" applyFont="1" applyFill="1" applyBorder="1" applyAlignment="1">
      <alignment horizontal="center" vertical="center" wrapText="1"/>
    </xf>
    <xf numFmtId="0" fontId="4" fillId="0" borderId="63" xfId="0" applyNumberFormat="1" applyFont="1" applyBorder="1" applyAlignment="1">
      <alignment horizontal="center" vertical="center" wrapText="1"/>
    </xf>
    <xf numFmtId="0" fontId="4" fillId="0" borderId="58" xfId="0" applyNumberFormat="1" applyFont="1" applyBorder="1" applyAlignment="1">
      <alignment horizontal="center" vertical="center" wrapText="1"/>
    </xf>
    <xf numFmtId="0" fontId="4" fillId="0" borderId="59" xfId="0" applyNumberFormat="1" applyFont="1" applyBorder="1" applyAlignment="1">
      <alignment horizontal="center" vertical="center" wrapText="1"/>
    </xf>
    <xf numFmtId="0" fontId="70" fillId="36" borderId="29" xfId="0" applyNumberFormat="1" applyFont="1" applyFill="1" applyBorder="1" applyAlignment="1">
      <alignment horizontal="center" vertical="center" wrapText="1"/>
    </xf>
    <xf numFmtId="0" fontId="70" fillId="36" borderId="13" xfId="0" applyNumberFormat="1" applyFont="1" applyFill="1" applyBorder="1" applyAlignment="1">
      <alignment horizontal="center" vertical="center" wrapText="1"/>
    </xf>
    <xf numFmtId="0" fontId="70" fillId="46" borderId="29" xfId="0" applyNumberFormat="1" applyFont="1" applyFill="1" applyBorder="1" applyAlignment="1">
      <alignment horizontal="center" vertical="center" wrapText="1"/>
    </xf>
    <xf numFmtId="0" fontId="70" fillId="46" borderId="13"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4" fillId="0" borderId="63" xfId="0" applyNumberFormat="1" applyFont="1" applyFill="1" applyBorder="1" applyAlignment="1">
      <alignment horizontal="center" vertical="center"/>
    </xf>
    <xf numFmtId="0" fontId="4" fillId="0" borderId="58" xfId="0" applyNumberFormat="1" applyFont="1" applyFill="1" applyBorder="1" applyAlignment="1">
      <alignment horizontal="center" vertical="center"/>
    </xf>
    <xf numFmtId="0" fontId="4" fillId="0" borderId="59" xfId="0" applyNumberFormat="1" applyFont="1" applyFill="1" applyBorder="1" applyAlignment="1">
      <alignment horizontal="center" vertical="center"/>
    </xf>
    <xf numFmtId="0" fontId="6" fillId="0" borderId="61" xfId="0" applyNumberFormat="1" applyFont="1" applyFill="1" applyBorder="1" applyAlignment="1">
      <alignment horizontal="left" vertical="center" wrapText="1" indent="1"/>
    </xf>
    <xf numFmtId="0" fontId="6" fillId="0" borderId="72" xfId="0" applyNumberFormat="1" applyFont="1" applyFill="1" applyBorder="1" applyAlignment="1">
      <alignment horizontal="left" vertical="center" wrapText="1" indent="1"/>
    </xf>
    <xf numFmtId="0" fontId="6" fillId="0" borderId="67" xfId="0" applyNumberFormat="1" applyFont="1" applyFill="1" applyBorder="1" applyAlignment="1">
      <alignment horizontal="left" vertical="center" wrapText="1" indent="1"/>
    </xf>
    <xf numFmtId="0" fontId="6" fillId="0" borderId="41" xfId="0" applyNumberFormat="1" applyFont="1" applyFill="1" applyBorder="1" applyAlignment="1">
      <alignment horizontal="left" vertical="center" wrapText="1" indent="1"/>
    </xf>
    <xf numFmtId="0" fontId="63" fillId="0" borderId="15"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9" xfId="0" applyNumberFormat="1" applyFont="1" applyFill="1" applyBorder="1" applyAlignment="1">
      <alignment horizontal="center" vertical="center" wrapText="1"/>
    </xf>
    <xf numFmtId="0" fontId="2" fillId="0" borderId="27" xfId="0" applyNumberFormat="1" applyFont="1" applyFill="1" applyBorder="1" applyAlignment="1">
      <alignment horizontal="center" vertical="center" wrapText="1"/>
    </xf>
    <xf numFmtId="0" fontId="4" fillId="0" borderId="30" xfId="42" applyNumberFormat="1" applyFont="1" applyBorder="1" applyAlignment="1">
      <alignment horizontal="center" vertical="center" wrapText="1"/>
    </xf>
    <xf numFmtId="0" fontId="4" fillId="0" borderId="31" xfId="42" applyNumberFormat="1" applyFont="1" applyBorder="1" applyAlignment="1">
      <alignment horizontal="center" vertical="center" wrapText="1"/>
    </xf>
    <xf numFmtId="0" fontId="4" fillId="0" borderId="36" xfId="42"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6" xfId="0" applyFont="1" applyBorder="1" applyAlignment="1">
      <alignment horizontal="center" vertical="center" wrapText="1"/>
    </xf>
    <xf numFmtId="0" fontId="6" fillId="0" borderId="75" xfId="0" applyFont="1" applyBorder="1" applyAlignment="1">
      <alignment horizontal="left" vertical="center" wrapText="1" indent="1"/>
    </xf>
    <xf numFmtId="0" fontId="6" fillId="0" borderId="50" xfId="0" applyFont="1" applyBorder="1" applyAlignment="1">
      <alignment horizontal="left" vertical="center" wrapText="1" indent="1"/>
    </xf>
    <xf numFmtId="0" fontId="6" fillId="0" borderId="54" xfId="0" applyFont="1" applyBorder="1" applyAlignment="1">
      <alignment horizontal="left" vertical="center" wrapText="1" indent="1"/>
    </xf>
    <xf numFmtId="0" fontId="6" fillId="0" borderId="29" xfId="0" applyNumberFormat="1" applyFont="1" applyBorder="1" applyAlignment="1">
      <alignment horizontal="center" vertical="center" wrapText="1"/>
    </xf>
    <xf numFmtId="0" fontId="6" fillId="0" borderId="34" xfId="0" applyNumberFormat="1" applyFont="1" applyBorder="1" applyAlignment="1">
      <alignment horizontal="center" vertical="center" wrapText="1"/>
    </xf>
    <xf numFmtId="0" fontId="10" fillId="0" borderId="63" xfId="0" applyNumberFormat="1" applyFont="1" applyBorder="1" applyAlignment="1">
      <alignment horizontal="center" vertical="center" wrapText="1"/>
    </xf>
    <xf numFmtId="0" fontId="10" fillId="0" borderId="58" xfId="0" applyNumberFormat="1" applyFont="1" applyBorder="1" applyAlignment="1">
      <alignment horizontal="center" vertical="center" wrapText="1"/>
    </xf>
    <xf numFmtId="0" fontId="10" fillId="0" borderId="59" xfId="0" applyNumberFormat="1" applyFont="1" applyBorder="1" applyAlignment="1">
      <alignment horizontal="center" vertical="center" wrapText="1"/>
    </xf>
    <xf numFmtId="0" fontId="28" fillId="0" borderId="46" xfId="0" applyNumberFormat="1" applyFont="1" applyBorder="1" applyAlignment="1">
      <alignment horizontal="left" vertical="center" wrapText="1"/>
    </xf>
    <xf numFmtId="0" fontId="27" fillId="0" borderId="35" xfId="0" applyNumberFormat="1" applyFont="1" applyBorder="1" applyAlignment="1">
      <alignment horizontal="left" vertical="center"/>
    </xf>
    <xf numFmtId="0" fontId="27" fillId="0" borderId="46" xfId="0" applyNumberFormat="1" applyFont="1" applyBorder="1" applyAlignment="1">
      <alignment horizontal="left" vertical="center"/>
    </xf>
    <xf numFmtId="0" fontId="27" fillId="0" borderId="47" xfId="0" applyNumberFormat="1" applyFont="1" applyBorder="1" applyAlignment="1">
      <alignment horizontal="left" vertical="center"/>
    </xf>
    <xf numFmtId="0" fontId="27" fillId="0" borderId="37" xfId="0" applyNumberFormat="1" applyFont="1" applyBorder="1" applyAlignment="1">
      <alignment horizontal="left" vertical="center"/>
    </xf>
    <xf numFmtId="0" fontId="27" fillId="0" borderId="50" xfId="0" applyNumberFormat="1" applyFont="1" applyBorder="1" applyAlignment="1">
      <alignment horizontal="left" vertical="center"/>
    </xf>
    <xf numFmtId="0" fontId="27" fillId="0" borderId="32" xfId="0" applyNumberFormat="1" applyFont="1" applyBorder="1" applyAlignment="1">
      <alignment horizontal="left" vertical="center"/>
    </xf>
    <xf numFmtId="0" fontId="4" fillId="0" borderId="31"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0" fontId="4" fillId="0" borderId="69" xfId="39" applyNumberFormat="1" applyFont="1" applyBorder="1" applyAlignment="1">
      <alignment horizontal="center" vertical="center" wrapText="1"/>
    </xf>
    <xf numFmtId="0" fontId="4" fillId="0" borderId="70" xfId="39" applyNumberFormat="1" applyFont="1" applyBorder="1" applyAlignment="1">
      <alignment horizontal="center" vertical="center" wrapText="1"/>
    </xf>
    <xf numFmtId="0" fontId="4" fillId="0" borderId="74" xfId="39" applyNumberFormat="1" applyFont="1" applyBorder="1" applyAlignment="1">
      <alignment horizontal="center" vertical="center" wrapText="1"/>
    </xf>
    <xf numFmtId="0" fontId="4" fillId="0" borderId="71" xfId="39" applyNumberFormat="1" applyFont="1" applyBorder="1" applyAlignment="1">
      <alignment horizontal="center" vertical="center" wrapText="1"/>
    </xf>
    <xf numFmtId="0" fontId="6" fillId="0" borderId="30" xfId="39" applyNumberFormat="1" applyFont="1" applyBorder="1" applyAlignment="1">
      <alignment horizontal="left" vertical="center" wrapText="1" indent="1"/>
    </xf>
    <xf numFmtId="0" fontId="6" fillId="0" borderId="31" xfId="39" applyNumberFormat="1" applyFont="1" applyBorder="1" applyAlignment="1">
      <alignment horizontal="left" vertical="center" wrapText="1" indent="1"/>
    </xf>
    <xf numFmtId="0" fontId="6" fillId="0" borderId="53" xfId="39" applyNumberFormat="1" applyFont="1" applyBorder="1" applyAlignment="1">
      <alignment horizontal="left" vertical="center" wrapText="1" indent="1"/>
    </xf>
    <xf numFmtId="0" fontId="6" fillId="0" borderId="36" xfId="39" applyNumberFormat="1" applyFont="1" applyBorder="1" applyAlignment="1">
      <alignment horizontal="left" vertical="center" wrapText="1" indent="1"/>
    </xf>
    <xf numFmtId="0" fontId="6" fillId="0" borderId="25" xfId="39" applyNumberFormat="1" applyFont="1" applyBorder="1" applyAlignment="1">
      <alignment horizontal="center" vertical="center" wrapText="1"/>
    </xf>
    <xf numFmtId="0" fontId="6" fillId="0" borderId="24" xfId="39" applyNumberFormat="1" applyFont="1" applyBorder="1" applyAlignment="1">
      <alignment horizontal="center" vertical="center" wrapText="1"/>
    </xf>
    <xf numFmtId="0" fontId="22" fillId="0" borderId="13" xfId="90" applyFont="1" applyBorder="1" applyAlignment="1">
      <alignment horizontal="left" vertical="center" wrapText="1"/>
    </xf>
    <xf numFmtId="0" fontId="6" fillId="0" borderId="29" xfId="39" applyNumberFormat="1" applyFont="1" applyBorder="1" applyAlignment="1">
      <alignment horizontal="center" vertical="center" wrapText="1"/>
    </xf>
    <xf numFmtId="0" fontId="2" fillId="0" borderId="37" xfId="39" applyNumberFormat="1" applyFont="1" applyBorder="1" applyAlignment="1">
      <alignment horizontal="center" vertical="center" wrapText="1"/>
    </xf>
    <xf numFmtId="0" fontId="2" fillId="0" borderId="13" xfId="39" applyNumberFormat="1" applyFont="1" applyBorder="1" applyAlignment="1">
      <alignment horizontal="center" vertical="center" wrapText="1"/>
    </xf>
    <xf numFmtId="0" fontId="6" fillId="0" borderId="50" xfId="90" applyNumberFormat="1" applyFont="1" applyBorder="1" applyAlignment="1">
      <alignment horizontal="center" vertical="center" wrapText="1"/>
    </xf>
    <xf numFmtId="0" fontId="6" fillId="0" borderId="54" xfId="90" applyNumberFormat="1" applyFont="1" applyBorder="1" applyAlignment="1">
      <alignment horizontal="center" vertical="center" wrapText="1"/>
    </xf>
    <xf numFmtId="0" fontId="10" fillId="0" borderId="63" xfId="90" applyNumberFormat="1" applyFont="1" applyBorder="1" applyAlignment="1">
      <alignment horizontal="center" vertical="center" wrapText="1"/>
    </xf>
    <xf numFmtId="0" fontId="10" fillId="0" borderId="58" xfId="90" applyNumberFormat="1" applyFont="1" applyBorder="1" applyAlignment="1">
      <alignment horizontal="center" vertical="center" wrapText="1"/>
    </xf>
    <xf numFmtId="0" fontId="10" fillId="0" borderId="59" xfId="90" applyNumberFormat="1" applyFont="1" applyBorder="1" applyAlignment="1">
      <alignment horizontal="center" vertical="center" wrapText="1"/>
    </xf>
    <xf numFmtId="0" fontId="6" fillId="0" borderId="61" xfId="90" applyNumberFormat="1" applyFont="1" applyBorder="1" applyAlignment="1">
      <alignment horizontal="left" vertical="center" wrapText="1" indent="1"/>
    </xf>
    <xf numFmtId="0" fontId="6" fillId="0" borderId="40" xfId="90" applyNumberFormat="1" applyFont="1" applyBorder="1" applyAlignment="1">
      <alignment horizontal="left" vertical="center" wrapText="1" indent="1"/>
    </xf>
    <xf numFmtId="0" fontId="6" fillId="0" borderId="60" xfId="90" applyNumberFormat="1" applyFont="1" applyBorder="1" applyAlignment="1">
      <alignment horizontal="center" vertical="center" wrapText="1"/>
    </xf>
    <xf numFmtId="0" fontId="6" fillId="0" borderId="41" xfId="90" applyNumberFormat="1" applyFont="1" applyBorder="1" applyAlignment="1">
      <alignment horizontal="center" vertical="center" wrapText="1"/>
    </xf>
    <xf numFmtId="0" fontId="75" fillId="0" borderId="53" xfId="90" applyNumberFormat="1" applyFont="1" applyBorder="1" applyAlignment="1">
      <alignment horizontal="center" vertical="center" wrapText="1"/>
    </xf>
    <xf numFmtId="0" fontId="75" fillId="0" borderId="59" xfId="90" applyNumberFormat="1" applyFont="1" applyBorder="1" applyAlignment="1">
      <alignment horizontal="center" vertical="center" wrapText="1"/>
    </xf>
    <xf numFmtId="0" fontId="22" fillId="0" borderId="13" xfId="90" applyFont="1" applyBorder="1" applyAlignment="1">
      <alignment horizontal="left" vertical="center"/>
    </xf>
    <xf numFmtId="0" fontId="2" fillId="0" borderId="21" xfId="90" applyNumberFormat="1" applyFont="1" applyBorder="1" applyAlignment="1">
      <alignment horizontal="center" vertical="center" wrapText="1"/>
    </xf>
    <xf numFmtId="0" fontId="2" fillId="0" borderId="33" xfId="90" applyNumberFormat="1" applyFont="1" applyBorder="1" applyAlignment="1">
      <alignment horizontal="center" vertical="center" wrapText="1"/>
    </xf>
    <xf numFmtId="0" fontId="2" fillId="0" borderId="13" xfId="90" applyNumberFormat="1" applyFont="1" applyBorder="1" applyAlignment="1">
      <alignment horizontal="center" vertical="center" wrapText="1"/>
    </xf>
    <xf numFmtId="0" fontId="6" fillId="0" borderId="52" xfId="90" applyNumberFormat="1" applyFont="1" applyBorder="1" applyAlignment="1">
      <alignment horizontal="center" vertical="center" wrapText="1"/>
    </xf>
    <xf numFmtId="0" fontId="6" fillId="0" borderId="38" xfId="90" applyNumberFormat="1" applyFont="1" applyBorder="1" applyAlignment="1">
      <alignment horizontal="center" vertical="center" wrapText="1"/>
    </xf>
    <xf numFmtId="0" fontId="22" fillId="0" borderId="35" xfId="90" applyFont="1" applyBorder="1" applyAlignment="1">
      <alignment horizontal="left" vertical="center"/>
    </xf>
    <xf numFmtId="0" fontId="22" fillId="0" borderId="46" xfId="90" applyFont="1" applyBorder="1" applyAlignment="1">
      <alignment horizontal="left" vertical="center"/>
    </xf>
    <xf numFmtId="0" fontId="22" fillId="0" borderId="47" xfId="90" applyFont="1" applyBorder="1" applyAlignment="1">
      <alignment horizontal="left" vertical="center"/>
    </xf>
    <xf numFmtId="0" fontId="22" fillId="0" borderId="37" xfId="90" applyFont="1" applyBorder="1" applyAlignment="1">
      <alignment horizontal="left" vertical="center" wrapText="1"/>
    </xf>
    <xf numFmtId="0" fontId="22" fillId="0" borderId="50" xfId="90" applyFont="1" applyBorder="1" applyAlignment="1">
      <alignment horizontal="left" vertical="center" wrapText="1"/>
    </xf>
    <xf numFmtId="0" fontId="22" fillId="0" borderId="32" xfId="90" applyFont="1" applyBorder="1" applyAlignment="1">
      <alignment horizontal="left" vertical="center" wrapText="1"/>
    </xf>
    <xf numFmtId="0" fontId="2" fillId="0" borderId="22" xfId="90" applyNumberFormat="1" applyFont="1" applyBorder="1" applyAlignment="1">
      <alignment horizontal="center" vertical="center" wrapText="1"/>
    </xf>
    <xf numFmtId="0" fontId="2" fillId="0" borderId="47" xfId="90" applyNumberFormat="1" applyFont="1" applyBorder="1" applyAlignment="1">
      <alignment horizontal="center" vertical="center" wrapText="1"/>
    </xf>
    <xf numFmtId="0" fontId="2" fillId="0" borderId="32" xfId="90" applyNumberFormat="1" applyFont="1" applyBorder="1" applyAlignment="1">
      <alignment horizontal="center" vertical="center" wrapText="1"/>
    </xf>
    <xf numFmtId="0" fontId="10" fillId="0" borderId="63" xfId="44" applyNumberFormat="1" applyFont="1" applyBorder="1" applyAlignment="1">
      <alignment horizontal="center" vertical="center" wrapText="1"/>
    </xf>
    <xf numFmtId="0" fontId="10" fillId="0" borderId="58" xfId="44" applyNumberFormat="1" applyFont="1" applyBorder="1" applyAlignment="1">
      <alignment horizontal="center" vertical="center" wrapText="1"/>
    </xf>
    <xf numFmtId="0" fontId="10" fillId="0" borderId="59" xfId="44" applyNumberFormat="1" applyFont="1" applyBorder="1" applyAlignment="1">
      <alignment horizontal="center" vertical="center" wrapText="1"/>
    </xf>
    <xf numFmtId="0" fontId="22" fillId="0" borderId="20" xfId="0" applyFont="1" applyBorder="1" applyAlignment="1">
      <alignment horizontal="left" vertical="center"/>
    </xf>
    <xf numFmtId="0" fontId="22" fillId="0" borderId="52"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Border="1" applyAlignment="1">
      <alignment horizontal="left" vertical="center" wrapText="1"/>
    </xf>
    <xf numFmtId="0" fontId="6" fillId="0" borderId="22" xfId="44" applyNumberFormat="1" applyFont="1" applyBorder="1" applyAlignment="1">
      <alignment horizontal="center" vertical="center" wrapText="1"/>
    </xf>
    <xf numFmtId="0" fontId="6" fillId="0" borderId="15" xfId="44" applyNumberFormat="1" applyFont="1" applyBorder="1" applyAlignment="1">
      <alignment horizontal="center" vertical="center" wrapText="1"/>
    </xf>
    <xf numFmtId="0" fontId="4" fillId="0" borderId="29" xfId="0" applyNumberFormat="1" applyFont="1" applyBorder="1" applyAlignment="1">
      <alignment horizontal="center" vertical="center" wrapText="1"/>
    </xf>
    <xf numFmtId="0" fontId="4" fillId="0" borderId="34" xfId="0" applyNumberFormat="1" applyFont="1" applyBorder="1" applyAlignment="1">
      <alignment horizontal="center" vertical="center" wrapText="1"/>
    </xf>
    <xf numFmtId="0" fontId="52" fillId="32" borderId="15" xfId="41" applyNumberFormat="1" applyFont="1" applyFill="1" applyBorder="1" applyAlignment="1"/>
    <xf numFmtId="0" fontId="52" fillId="32" borderId="13" xfId="41" applyNumberFormat="1" applyFont="1" applyFill="1" applyBorder="1" applyAlignment="1"/>
    <xf numFmtId="0" fontId="52" fillId="0" borderId="15" xfId="41" applyNumberFormat="1" applyFont="1" applyBorder="1" applyAlignment="1"/>
    <xf numFmtId="0" fontId="52" fillId="0" borderId="13" xfId="41" applyNumberFormat="1" applyFont="1" applyBorder="1" applyAlignment="1"/>
    <xf numFmtId="0" fontId="52" fillId="32" borderId="16" xfId="41" applyNumberFormat="1" applyFont="1" applyFill="1" applyBorder="1" applyAlignment="1"/>
    <xf numFmtId="0" fontId="52" fillId="32" borderId="17" xfId="41" applyNumberFormat="1" applyFont="1" applyFill="1" applyBorder="1" applyAlignment="1"/>
    <xf numFmtId="0" fontId="10" fillId="0" borderId="63" xfId="43" applyNumberFormat="1" applyFont="1" applyBorder="1" applyAlignment="1">
      <alignment horizontal="center" vertical="center" wrapText="1"/>
    </xf>
    <xf numFmtId="0" fontId="10" fillId="0" borderId="58" xfId="43" applyNumberFormat="1" applyFont="1" applyBorder="1" applyAlignment="1">
      <alignment horizontal="center" vertical="center" wrapText="1"/>
    </xf>
    <xf numFmtId="0" fontId="10" fillId="0" borderId="59" xfId="43" applyNumberFormat="1" applyFont="1" applyBorder="1" applyAlignment="1">
      <alignment horizontal="center" vertical="center" wrapText="1"/>
    </xf>
    <xf numFmtId="0" fontId="6" fillId="0" borderId="63" xfId="43" applyNumberFormat="1" applyFont="1" applyBorder="1" applyAlignment="1">
      <alignment horizontal="left" vertical="center" wrapText="1" indent="1"/>
    </xf>
    <xf numFmtId="0" fontId="6" fillId="0" borderId="58" xfId="43" applyNumberFormat="1" applyFont="1" applyBorder="1" applyAlignment="1">
      <alignment horizontal="left" vertical="center" wrapText="1" indent="1"/>
    </xf>
    <xf numFmtId="0" fontId="6" fillId="0" borderId="59" xfId="43" applyNumberFormat="1" applyFont="1" applyBorder="1" applyAlignment="1">
      <alignment horizontal="left" vertical="center" wrapText="1" indent="1"/>
    </xf>
    <xf numFmtId="0" fontId="6" fillId="0" borderId="63" xfId="0" applyNumberFormat="1" applyFont="1" applyBorder="1" applyAlignment="1">
      <alignment horizontal="left" vertical="center" wrapText="1"/>
    </xf>
    <xf numFmtId="0" fontId="6" fillId="0" borderId="58" xfId="0" applyNumberFormat="1" applyFont="1" applyBorder="1" applyAlignment="1">
      <alignment horizontal="left" vertical="center" wrapText="1"/>
    </xf>
    <xf numFmtId="0" fontId="6" fillId="0" borderId="59" xfId="0" applyNumberFormat="1" applyFont="1" applyBorder="1" applyAlignment="1">
      <alignment horizontal="left" vertical="center" wrapText="1"/>
    </xf>
    <xf numFmtId="0" fontId="10" fillId="0" borderId="66" xfId="0" applyNumberFormat="1" applyFont="1" applyBorder="1" applyAlignment="1">
      <alignment horizontal="center" vertical="center" wrapText="1"/>
    </xf>
    <xf numFmtId="0" fontId="10" fillId="0" borderId="67" xfId="0" applyNumberFormat="1" applyFont="1" applyBorder="1" applyAlignment="1">
      <alignment horizontal="center" vertical="center" wrapText="1"/>
    </xf>
    <xf numFmtId="0" fontId="10" fillId="0" borderId="68" xfId="0" applyNumberFormat="1" applyFont="1" applyBorder="1" applyAlignment="1">
      <alignment horizontal="center" vertical="center" wrapText="1"/>
    </xf>
    <xf numFmtId="0" fontId="52" fillId="32" borderId="30" xfId="41" applyNumberFormat="1" applyFont="1" applyFill="1" applyBorder="1" applyAlignment="1">
      <alignment horizontal="left" vertical="center" indent="1"/>
    </xf>
    <xf numFmtId="0" fontId="52" fillId="32" borderId="31" xfId="41" applyNumberFormat="1" applyFont="1" applyFill="1" applyBorder="1" applyAlignment="1">
      <alignment horizontal="left" vertical="center" indent="1"/>
    </xf>
    <xf numFmtId="0" fontId="2" fillId="0" borderId="62"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6" fillId="37" borderId="35" xfId="0" applyNumberFormat="1" applyFont="1" applyFill="1" applyBorder="1" applyAlignment="1">
      <alignment horizontal="center" vertical="center" wrapText="1"/>
    </xf>
    <xf numFmtId="0" fontId="6" fillId="37" borderId="37" xfId="0" applyNumberFormat="1" applyFont="1" applyFill="1" applyBorder="1" applyAlignment="1">
      <alignment horizontal="center" vertical="center" wrapText="1"/>
    </xf>
    <xf numFmtId="0" fontId="6" fillId="37" borderId="85" xfId="0" applyNumberFormat="1" applyFont="1" applyFill="1" applyBorder="1" applyAlignment="1">
      <alignment horizontal="center" vertical="center" wrapText="1"/>
    </xf>
    <xf numFmtId="0" fontId="6" fillId="37" borderId="84" xfId="0" applyNumberFormat="1" applyFont="1" applyFill="1" applyBorder="1" applyAlignment="1">
      <alignment horizontal="center" vertical="center" wrapText="1"/>
    </xf>
    <xf numFmtId="0" fontId="66" fillId="0" borderId="60" xfId="0" applyNumberFormat="1" applyFont="1" applyBorder="1" applyAlignment="1">
      <alignment horizontal="center" vertical="center" wrapText="1"/>
    </xf>
    <xf numFmtId="0" fontId="66" fillId="0" borderId="67" xfId="0" applyNumberFormat="1" applyFont="1" applyBorder="1" applyAlignment="1">
      <alignment horizontal="center" vertical="center" wrapText="1"/>
    </xf>
    <xf numFmtId="0" fontId="66" fillId="0" borderId="68" xfId="0" applyNumberFormat="1" applyFont="1" applyBorder="1" applyAlignment="1">
      <alignment horizontal="center" vertical="center" wrapText="1"/>
    </xf>
    <xf numFmtId="0" fontId="6" fillId="37" borderId="19" xfId="0" applyNumberFormat="1" applyFont="1" applyFill="1" applyBorder="1" applyAlignment="1">
      <alignment horizontal="center" vertical="center" wrapText="1"/>
    </xf>
    <xf numFmtId="0" fontId="6" fillId="37" borderId="29" xfId="0" applyNumberFormat="1" applyFont="1" applyFill="1" applyBorder="1" applyAlignment="1">
      <alignment horizontal="center" vertical="center" wrapText="1"/>
    </xf>
    <xf numFmtId="0" fontId="7" fillId="0" borderId="50" xfId="0" applyFont="1" applyBorder="1" applyAlignment="1">
      <alignment horizontal="left"/>
    </xf>
    <xf numFmtId="0" fontId="4" fillId="0" borderId="6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40" xfId="0" applyFont="1" applyBorder="1" applyAlignment="1">
      <alignment horizontal="center" vertical="center" wrapText="1"/>
    </xf>
  </cellXfs>
  <cellStyles count="9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Čiarka" xfId="27" builtinId="3"/>
    <cellStyle name="čiarky 2" xfId="28"/>
    <cellStyle name="Dobrá" xfId="92" builtinId="26"/>
    <cellStyle name="Explanatory Text" xfId="29"/>
    <cellStyle name="Good" xfId="30"/>
    <cellStyle name="Heading 1" xfId="31"/>
    <cellStyle name="Heading 2" xfId="32"/>
    <cellStyle name="Heading 3" xfId="33"/>
    <cellStyle name="Heading 4" xfId="34"/>
    <cellStyle name="Check Cell" xfId="35"/>
    <cellStyle name="Input" xfId="36"/>
    <cellStyle name="Linked Cell" xfId="37"/>
    <cellStyle name="Neutral" xfId="38"/>
    <cellStyle name="Normálna" xfId="0" builtinId="0"/>
    <cellStyle name="Normálna 2" xfId="39"/>
    <cellStyle name="Normálna 2 2 2" xfId="90"/>
    <cellStyle name="Normálna 3" xfId="89"/>
    <cellStyle name="normálne 2" xfId="40"/>
    <cellStyle name="normálne 3" xfId="41"/>
    <cellStyle name="normálne 4" xfId="42"/>
    <cellStyle name="normálne_Databazy_VVŠ_2007_ severská" xfId="43"/>
    <cellStyle name="normálne_Databazy_VVŠ_2007_ severská 2" xfId="91"/>
    <cellStyle name="normálne_sprava_VVŠ_2004_tabuľky_vláda" xfId="44"/>
    <cellStyle name="normální_List1" xfId="45"/>
    <cellStyle name="Note" xfId="46"/>
    <cellStyle name="Output" xfId="47"/>
    <cellStyle name="SAPBEXaggData" xfId="48"/>
    <cellStyle name="SAPBEXaggDataEmph" xfId="49"/>
    <cellStyle name="SAPBEXaggItem" xfId="50"/>
    <cellStyle name="SAPBEXaggItemX" xfId="51"/>
    <cellStyle name="SAPBEXexcBad7" xfId="52"/>
    <cellStyle name="SAPBEXexcBad8" xfId="53"/>
    <cellStyle name="SAPBEXexcBad9" xfId="54"/>
    <cellStyle name="SAPBEXexcCritical4" xfId="55"/>
    <cellStyle name="SAPBEXexcCritical5" xfId="56"/>
    <cellStyle name="SAPBEXexcCritical6" xfId="57"/>
    <cellStyle name="SAPBEXexcGood1" xfId="58"/>
    <cellStyle name="SAPBEXexcGood2" xfId="59"/>
    <cellStyle name="SAPBEXexcGood3" xfId="60"/>
    <cellStyle name="SAPBEXfilterDrill" xfId="61"/>
    <cellStyle name="SAPBEXfilterItem" xfId="62"/>
    <cellStyle name="SAPBEXfilterText" xfId="63"/>
    <cellStyle name="SAPBEXformats" xfId="64"/>
    <cellStyle name="SAPBEXheaderItem" xfId="65"/>
    <cellStyle name="SAPBEXheaderText" xfId="66"/>
    <cellStyle name="SAPBEXHLevel0" xfId="67"/>
    <cellStyle name="SAPBEXHLevel0X" xfId="68"/>
    <cellStyle name="SAPBEXHLevel1" xfId="69"/>
    <cellStyle name="SAPBEXHLevel1X" xfId="70"/>
    <cellStyle name="SAPBEXHLevel2" xfId="71"/>
    <cellStyle name="SAPBEXHLevel2X" xfId="72"/>
    <cellStyle name="SAPBEXHLevel3" xfId="73"/>
    <cellStyle name="SAPBEXHLevel3X" xfId="74"/>
    <cellStyle name="SAPBEXchaText" xfId="75"/>
    <cellStyle name="SAPBEXresData" xfId="76"/>
    <cellStyle name="SAPBEXresDataEmph" xfId="77"/>
    <cellStyle name="SAPBEXresItem" xfId="78"/>
    <cellStyle name="SAPBEXresItemX" xfId="79"/>
    <cellStyle name="SAPBEXstdData" xfId="80"/>
    <cellStyle name="SAPBEXstdDataEmph" xfId="81"/>
    <cellStyle name="SAPBEXstdItem" xfId="82"/>
    <cellStyle name="SAPBEXstdItemX" xfId="83"/>
    <cellStyle name="SAPBEXtitle" xfId="84"/>
    <cellStyle name="SAPBEXundefined" xfId="85"/>
    <cellStyle name="Title" xfId="86"/>
    <cellStyle name="Total" xfId="87"/>
    <cellStyle name="Warning Text" xfId="88"/>
  </cellStyles>
  <dxfs count="0"/>
  <tableStyles count="0" defaultTableStyle="TableStyleMedium9" defaultPivotStyle="PivotStyleLight16"/>
  <colors>
    <mruColors>
      <color rgb="FF0000FF"/>
      <color rgb="FF99FF99"/>
      <color rgb="FF99FFCC"/>
      <color rgb="FF66FF99"/>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22</xdr:row>
      <xdr:rowOff>142875</xdr:rowOff>
    </xdr:from>
    <xdr:to>
      <xdr:col>14</xdr:col>
      <xdr:colOff>288106</xdr:colOff>
      <xdr:row>35</xdr:row>
      <xdr:rowOff>343</xdr:rowOff>
    </xdr:to>
    <xdr:pic>
      <xdr:nvPicPr>
        <xdr:cNvPr id="2" name="Obrázo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238125" y="7753350"/>
          <a:ext cx="16880656" cy="2457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180975</xdr:rowOff>
    </xdr:from>
    <xdr:to>
      <xdr:col>15</xdr:col>
      <xdr:colOff>240521</xdr:colOff>
      <xdr:row>35</xdr:row>
      <xdr:rowOff>47913</xdr:rowOff>
    </xdr:to>
    <xdr:pic>
      <xdr:nvPicPr>
        <xdr:cNvPr id="3" name="Obrázok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0" y="7877175"/>
          <a:ext cx="17166446" cy="20672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11</xdr:col>
      <xdr:colOff>478646</xdr:colOff>
      <xdr:row>39</xdr:row>
      <xdr:rowOff>67103</xdr:rowOff>
    </xdr:to>
    <xdr:pic>
      <xdr:nvPicPr>
        <xdr:cNvPr id="2" name="Obrázok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542925" y="11191875"/>
          <a:ext cx="17166446" cy="3067478"/>
        </a:xfrm>
        <a:prstGeom prst="rect">
          <a:avLst/>
        </a:prstGeom>
      </xdr:spPr>
    </xdr:pic>
    <xdr:clientData/>
  </xdr:twoCellAnchor>
  <xdr:twoCellAnchor editAs="oneCell">
    <xdr:from>
      <xdr:col>1</xdr:col>
      <xdr:colOff>0</xdr:colOff>
      <xdr:row>43</xdr:row>
      <xdr:rowOff>0</xdr:rowOff>
    </xdr:from>
    <xdr:to>
      <xdr:col>11</xdr:col>
      <xdr:colOff>440540</xdr:colOff>
      <xdr:row>60</xdr:row>
      <xdr:rowOff>10001</xdr:rowOff>
    </xdr:to>
    <xdr:pic>
      <xdr:nvPicPr>
        <xdr:cNvPr id="3" name="Obrázok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542925" y="14992350"/>
          <a:ext cx="17128340" cy="34104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tabColor indexed="42"/>
    <pageSetUpPr fitToPage="1"/>
  </sheetPr>
  <dimension ref="A1:E23"/>
  <sheetViews>
    <sheetView zoomScaleNormal="100" workbookViewId="0">
      <pane xSplit="2" ySplit="4" topLeftCell="C5" activePane="bottomRight" state="frozen"/>
      <selection sqref="A1:E1"/>
      <selection pane="topRight" sqref="A1:E1"/>
      <selection pane="bottomLeft" sqref="A1:E1"/>
      <selection pane="bottomRight" activeCell="E14" sqref="E14"/>
    </sheetView>
  </sheetViews>
  <sheetFormatPr defaultColWidth="9.140625" defaultRowHeight="15.75" x14ac:dyDescent="0.2"/>
  <cols>
    <col min="1" max="1" width="9.140625" style="18" customWidth="1"/>
    <col min="2" max="2" width="77.85546875" style="25" customWidth="1"/>
    <col min="3" max="5" width="17.42578125" style="13" customWidth="1"/>
    <col min="6" max="16384" width="9.140625" style="13"/>
  </cols>
  <sheetData>
    <row r="1" spans="1:5" s="252" customFormat="1" ht="87" customHeight="1" thickBot="1" x14ac:dyDescent="0.25">
      <c r="A1" s="786" t="s">
        <v>807</v>
      </c>
      <c r="B1" s="787"/>
      <c r="C1" s="787"/>
      <c r="D1" s="787"/>
      <c r="E1" s="788"/>
    </row>
    <row r="2" spans="1:5" s="252" customFormat="1" ht="35.1" customHeight="1" x14ac:dyDescent="0.2">
      <c r="A2" s="789" t="s">
        <v>1053</v>
      </c>
      <c r="B2" s="790"/>
      <c r="C2" s="790"/>
      <c r="D2" s="790"/>
      <c r="E2" s="791"/>
    </row>
    <row r="3" spans="1:5" s="255" customFormat="1" ht="43.5" customHeight="1" x14ac:dyDescent="0.2">
      <c r="A3" s="253" t="s">
        <v>80</v>
      </c>
      <c r="B3" s="237" t="s">
        <v>79</v>
      </c>
      <c r="C3" s="237" t="s">
        <v>134</v>
      </c>
      <c r="D3" s="237" t="s">
        <v>135</v>
      </c>
      <c r="E3" s="254" t="s">
        <v>84</v>
      </c>
    </row>
    <row r="4" spans="1:5" s="255" customFormat="1" ht="17.25" customHeight="1" x14ac:dyDescent="0.2">
      <c r="A4" s="256"/>
      <c r="B4" s="238"/>
      <c r="C4" s="257" t="s">
        <v>119</v>
      </c>
      <c r="D4" s="257" t="s">
        <v>120</v>
      </c>
      <c r="E4" s="258" t="s">
        <v>8</v>
      </c>
    </row>
    <row r="5" spans="1:5" x14ac:dyDescent="0.2">
      <c r="A5" s="19">
        <v>1</v>
      </c>
      <c r="B5" s="238" t="s">
        <v>169</v>
      </c>
      <c r="C5" s="26">
        <f>C6</f>
        <v>30662329</v>
      </c>
      <c r="D5" s="26">
        <f>D6</f>
        <v>520000</v>
      </c>
      <c r="E5" s="27">
        <f>SUM(C5:D5)</f>
        <v>31182329</v>
      </c>
    </row>
    <row r="6" spans="1:5" x14ac:dyDescent="0.2">
      <c r="A6" s="19">
        <f>A5+1</f>
        <v>2</v>
      </c>
      <c r="B6" s="239" t="s">
        <v>106</v>
      </c>
      <c r="C6" s="71">
        <v>30662329</v>
      </c>
      <c r="D6" s="71">
        <v>520000</v>
      </c>
      <c r="E6" s="27">
        <f>SUM(C6:D6)</f>
        <v>31182329</v>
      </c>
    </row>
    <row r="7" spans="1:5" ht="15.75" customHeight="1" x14ac:dyDescent="0.2">
      <c r="A7" s="19">
        <f>A6+1</f>
        <v>3</v>
      </c>
      <c r="B7" s="238" t="s">
        <v>170</v>
      </c>
      <c r="C7" s="26">
        <f>SUM(C8:C12)</f>
        <v>14500015</v>
      </c>
      <c r="D7" s="26">
        <f>SUM(D8:D12)</f>
        <v>0</v>
      </c>
      <c r="E7" s="27">
        <f>SUM(C7:D7)</f>
        <v>14500015</v>
      </c>
    </row>
    <row r="8" spans="1:5" x14ac:dyDescent="0.2">
      <c r="A8" s="19">
        <f t="shared" ref="A8:A19" si="0">A7+1</f>
        <v>4</v>
      </c>
      <c r="B8" s="239" t="s">
        <v>107</v>
      </c>
      <c r="C8" s="28">
        <v>13274319</v>
      </c>
      <c r="D8" s="153" t="s">
        <v>140</v>
      </c>
      <c r="E8" s="27">
        <f t="shared" ref="E8:E19" si="1">SUM(C8:D8)</f>
        <v>13274319</v>
      </c>
    </row>
    <row r="9" spans="1:5" x14ac:dyDescent="0.2">
      <c r="A9" s="19">
        <f t="shared" si="0"/>
        <v>5</v>
      </c>
      <c r="B9" s="239" t="s">
        <v>108</v>
      </c>
      <c r="C9" s="28">
        <v>1030965</v>
      </c>
      <c r="D9" s="153" t="s">
        <v>140</v>
      </c>
      <c r="E9" s="27">
        <f t="shared" si="1"/>
        <v>1030965</v>
      </c>
    </row>
    <row r="10" spans="1:5" x14ac:dyDescent="0.2">
      <c r="A10" s="19">
        <f t="shared" si="0"/>
        <v>6</v>
      </c>
      <c r="B10" s="239" t="s">
        <v>109</v>
      </c>
      <c r="C10" s="153" t="s">
        <v>140</v>
      </c>
      <c r="D10" s="153" t="s">
        <v>140</v>
      </c>
      <c r="E10" s="27">
        <f t="shared" si="1"/>
        <v>0</v>
      </c>
    </row>
    <row r="11" spans="1:5" x14ac:dyDescent="0.2">
      <c r="A11" s="19">
        <f t="shared" si="0"/>
        <v>7</v>
      </c>
      <c r="B11" s="239" t="s">
        <v>110</v>
      </c>
      <c r="C11" s="153" t="s">
        <v>140</v>
      </c>
      <c r="D11" s="153" t="s">
        <v>140</v>
      </c>
      <c r="E11" s="27">
        <f t="shared" si="1"/>
        <v>0</v>
      </c>
    </row>
    <row r="12" spans="1:5" x14ac:dyDescent="0.2">
      <c r="A12" s="19">
        <f t="shared" si="0"/>
        <v>8</v>
      </c>
      <c r="B12" s="239" t="s">
        <v>52</v>
      </c>
      <c r="C12" s="28">
        <v>194731</v>
      </c>
      <c r="D12" s="153" t="s">
        <v>140</v>
      </c>
      <c r="E12" s="27">
        <f t="shared" si="1"/>
        <v>194731</v>
      </c>
    </row>
    <row r="13" spans="1:5" ht="15.75" customHeight="1" x14ac:dyDescent="0.2">
      <c r="A13" s="19">
        <f t="shared" si="0"/>
        <v>9</v>
      </c>
      <c r="B13" s="238" t="s">
        <v>171</v>
      </c>
      <c r="C13" s="26">
        <f>C14</f>
        <v>299632</v>
      </c>
      <c r="D13" s="26">
        <f>D14</f>
        <v>0</v>
      </c>
      <c r="E13" s="27">
        <f t="shared" si="1"/>
        <v>299632</v>
      </c>
    </row>
    <row r="14" spans="1:5" x14ac:dyDescent="0.2">
      <c r="A14" s="19">
        <f t="shared" si="0"/>
        <v>10</v>
      </c>
      <c r="B14" s="239" t="s">
        <v>53</v>
      </c>
      <c r="C14" s="28">
        <v>299632</v>
      </c>
      <c r="D14" s="28"/>
      <c r="E14" s="27">
        <f t="shared" si="1"/>
        <v>299632</v>
      </c>
    </row>
    <row r="15" spans="1:5" x14ac:dyDescent="0.2">
      <c r="A15" s="19">
        <f t="shared" si="0"/>
        <v>11</v>
      </c>
      <c r="B15" s="238" t="s">
        <v>172</v>
      </c>
      <c r="C15" s="26">
        <f>SUM(C16:C18)</f>
        <v>2708841</v>
      </c>
      <c r="D15" s="26">
        <f>SUM(D16:D18)</f>
        <v>0</v>
      </c>
      <c r="E15" s="27">
        <f t="shared" si="1"/>
        <v>2708841</v>
      </c>
    </row>
    <row r="16" spans="1:5" x14ac:dyDescent="0.2">
      <c r="A16" s="19">
        <f t="shared" si="0"/>
        <v>12</v>
      </c>
      <c r="B16" s="239" t="s">
        <v>621</v>
      </c>
      <c r="C16" s="28">
        <v>364565</v>
      </c>
      <c r="D16" s="153" t="s">
        <v>140</v>
      </c>
      <c r="E16" s="27">
        <f t="shared" si="1"/>
        <v>364565</v>
      </c>
    </row>
    <row r="17" spans="1:5" x14ac:dyDescent="0.2">
      <c r="A17" s="19">
        <f t="shared" si="0"/>
        <v>13</v>
      </c>
      <c r="B17" s="239" t="s">
        <v>54</v>
      </c>
      <c r="C17" s="28">
        <v>471570</v>
      </c>
      <c r="D17" s="153" t="s">
        <v>140</v>
      </c>
      <c r="E17" s="27">
        <f t="shared" si="1"/>
        <v>471570</v>
      </c>
    </row>
    <row r="18" spans="1:5" x14ac:dyDescent="0.2">
      <c r="A18" s="19">
        <f t="shared" si="0"/>
        <v>14</v>
      </c>
      <c r="B18" s="239" t="s">
        <v>55</v>
      </c>
      <c r="C18" s="28">
        <v>1872706</v>
      </c>
      <c r="D18" s="153" t="s">
        <v>140</v>
      </c>
      <c r="E18" s="27">
        <f t="shared" si="1"/>
        <v>1872706</v>
      </c>
    </row>
    <row r="19" spans="1:5" ht="16.5" thickBot="1" x14ac:dyDescent="0.25">
      <c r="A19" s="20">
        <f t="shared" si="0"/>
        <v>15</v>
      </c>
      <c r="B19" s="240" t="s">
        <v>173</v>
      </c>
      <c r="C19" s="69">
        <f>C5+C7+C13+C15</f>
        <v>48170817</v>
      </c>
      <c r="D19" s="69">
        <f>D5+D7+D13+D15</f>
        <v>520000</v>
      </c>
      <c r="E19" s="29">
        <f t="shared" si="1"/>
        <v>48690817</v>
      </c>
    </row>
    <row r="20" spans="1:5" x14ac:dyDescent="0.2">
      <c r="A20" s="228" t="s">
        <v>620</v>
      </c>
      <c r="B20" s="229" t="s">
        <v>644</v>
      </c>
      <c r="C20" s="16"/>
      <c r="D20" s="16"/>
    </row>
    <row r="21" spans="1:5" x14ac:dyDescent="0.2">
      <c r="A21" s="17"/>
      <c r="B21" s="52"/>
      <c r="C21" s="733"/>
    </row>
    <row r="23" spans="1:5" x14ac:dyDescent="0.2">
      <c r="B23" s="25" t="s">
        <v>56</v>
      </c>
      <c r="C23" s="733"/>
    </row>
  </sheetData>
  <sheetProtection selectLockedCells="1"/>
  <protectedRanges>
    <protectedRange sqref="C16 C14:D14 C6:D6 C18 C8:D12 D16:D18" name="Rozsah2_1"/>
    <protectedRange sqref="C19:D19" name="Rozsah1_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tabColor indexed="42"/>
    <pageSetUpPr fitToPage="1"/>
  </sheetPr>
  <dimension ref="A1:I48"/>
  <sheetViews>
    <sheetView zoomScaleNormal="100" workbookViewId="0">
      <pane xSplit="2" ySplit="4" topLeftCell="C32" activePane="bottomRight" state="frozen"/>
      <selection pane="topRight" activeCell="C1" sqref="C1"/>
      <selection pane="bottomLeft" activeCell="A5" sqref="A5"/>
      <selection pane="bottomRight" activeCell="J49" sqref="J49"/>
    </sheetView>
  </sheetViews>
  <sheetFormatPr defaultColWidth="9.140625" defaultRowHeight="15.75" x14ac:dyDescent="0.25"/>
  <cols>
    <col min="1" max="1" width="10.140625" style="3" customWidth="1"/>
    <col min="2" max="2" width="83" style="33" customWidth="1"/>
    <col min="3" max="3" width="15.42578125" style="1" customWidth="1"/>
    <col min="4" max="4" width="14.28515625" style="1" customWidth="1"/>
    <col min="5" max="5" width="14.7109375" style="1" customWidth="1"/>
    <col min="6" max="16384" width="9.140625" style="1"/>
  </cols>
  <sheetData>
    <row r="1" spans="1:9" s="259" customFormat="1" ht="50.1" customHeight="1" thickBot="1" x14ac:dyDescent="0.3">
      <c r="A1" s="792" t="s">
        <v>808</v>
      </c>
      <c r="B1" s="793"/>
      <c r="C1" s="793"/>
      <c r="D1" s="793"/>
      <c r="E1" s="794"/>
      <c r="F1" s="260"/>
      <c r="G1" s="260"/>
      <c r="H1" s="260"/>
      <c r="I1" s="260"/>
    </row>
    <row r="2" spans="1:9" s="252" customFormat="1" ht="38.25" customHeight="1" x14ac:dyDescent="0.2">
      <c r="A2" s="795" t="s">
        <v>1054</v>
      </c>
      <c r="B2" s="796"/>
      <c r="C2" s="796"/>
      <c r="D2" s="796"/>
      <c r="E2" s="797"/>
    </row>
    <row r="3" spans="1:9" s="260" customFormat="1" ht="35.25" customHeight="1" x14ac:dyDescent="0.25">
      <c r="A3" s="253" t="s">
        <v>80</v>
      </c>
      <c r="B3" s="237" t="s">
        <v>153</v>
      </c>
      <c r="C3" s="237" t="s">
        <v>134</v>
      </c>
      <c r="D3" s="237" t="s">
        <v>135</v>
      </c>
      <c r="E3" s="254" t="s">
        <v>84</v>
      </c>
    </row>
    <row r="4" spans="1:9" s="255" customFormat="1" ht="17.25" customHeight="1" x14ac:dyDescent="0.2">
      <c r="A4" s="256"/>
      <c r="B4" s="238"/>
      <c r="C4" s="257" t="s">
        <v>119</v>
      </c>
      <c r="D4" s="257" t="s">
        <v>120</v>
      </c>
      <c r="E4" s="258" t="s">
        <v>8</v>
      </c>
    </row>
    <row r="5" spans="1:9" ht="31.5" x14ac:dyDescent="0.25">
      <c r="A5" s="21">
        <v>1</v>
      </c>
      <c r="B5" s="30" t="s">
        <v>761</v>
      </c>
      <c r="C5" s="34">
        <f>SUM(C6:C10)</f>
        <v>2951360.48</v>
      </c>
      <c r="D5" s="34">
        <f>SUM(D6:D7)</f>
        <v>0</v>
      </c>
      <c r="E5" s="65">
        <f>C5+D5</f>
        <v>2951360.48</v>
      </c>
      <c r="F5" s="110"/>
    </row>
    <row r="6" spans="1:9" x14ac:dyDescent="0.25">
      <c r="A6" s="21" t="s">
        <v>144</v>
      </c>
      <c r="B6" s="31" t="s">
        <v>924</v>
      </c>
      <c r="C6" s="530">
        <v>2629000</v>
      </c>
      <c r="D6" s="530"/>
      <c r="E6" s="531">
        <f t="shared" ref="E6:E10" si="0">C6+D6</f>
        <v>2629000</v>
      </c>
    </row>
    <row r="7" spans="1:9" x14ac:dyDescent="0.25">
      <c r="A7" s="21" t="s">
        <v>186</v>
      </c>
      <c r="B7" s="31" t="s">
        <v>925</v>
      </c>
      <c r="C7" s="530">
        <v>14900</v>
      </c>
      <c r="D7" s="530"/>
      <c r="E7" s="531">
        <f t="shared" si="0"/>
        <v>14900</v>
      </c>
    </row>
    <row r="8" spans="1:9" x14ac:dyDescent="0.25">
      <c r="A8" s="21" t="s">
        <v>926</v>
      </c>
      <c r="B8" s="31" t="s">
        <v>927</v>
      </c>
      <c r="C8" s="530">
        <v>31365.48</v>
      </c>
      <c r="D8" s="530"/>
      <c r="E8" s="531">
        <f t="shared" si="0"/>
        <v>31365.48</v>
      </c>
    </row>
    <row r="9" spans="1:9" x14ac:dyDescent="0.25">
      <c r="A9" s="21" t="s">
        <v>928</v>
      </c>
      <c r="B9" s="31" t="s">
        <v>929</v>
      </c>
      <c r="C9" s="530">
        <v>34000</v>
      </c>
      <c r="D9" s="530"/>
      <c r="E9" s="531">
        <f t="shared" si="0"/>
        <v>34000</v>
      </c>
    </row>
    <row r="10" spans="1:9" x14ac:dyDescent="0.25">
      <c r="A10" s="21" t="s">
        <v>930</v>
      </c>
      <c r="B10" s="31" t="s">
        <v>931</v>
      </c>
      <c r="C10" s="530">
        <v>242095</v>
      </c>
      <c r="D10" s="530"/>
      <c r="E10" s="531">
        <f t="shared" si="0"/>
        <v>242095</v>
      </c>
    </row>
    <row r="11" spans="1:9" x14ac:dyDescent="0.25">
      <c r="A11" s="21"/>
      <c r="B11" s="31"/>
      <c r="C11" s="28"/>
      <c r="D11" s="28"/>
      <c r="E11" s="65"/>
    </row>
    <row r="12" spans="1:9" x14ac:dyDescent="0.25">
      <c r="A12" s="21"/>
      <c r="B12" s="31"/>
      <c r="C12" s="28"/>
      <c r="D12" s="28"/>
      <c r="E12" s="65"/>
    </row>
    <row r="13" spans="1:9" x14ac:dyDescent="0.25">
      <c r="A13" s="21"/>
      <c r="B13" s="31"/>
      <c r="C13" s="28"/>
      <c r="D13" s="28"/>
      <c r="E13" s="65">
        <f t="shared" ref="E13:E45" si="1">C13+D13</f>
        <v>0</v>
      </c>
    </row>
    <row r="14" spans="1:9" ht="31.5" x14ac:dyDescent="0.25">
      <c r="A14" s="21">
        <v>2</v>
      </c>
      <c r="B14" s="30" t="s">
        <v>26</v>
      </c>
      <c r="C14" s="34">
        <f>SUM(C15:C16)</f>
        <v>0</v>
      </c>
      <c r="D14" s="34">
        <f>SUM(D15:D16)</f>
        <v>0</v>
      </c>
      <c r="E14" s="65">
        <f t="shared" si="1"/>
        <v>0</v>
      </c>
    </row>
    <row r="15" spans="1:9" x14ac:dyDescent="0.25">
      <c r="A15" s="21" t="s">
        <v>145</v>
      </c>
      <c r="B15" s="31"/>
      <c r="C15" s="28"/>
      <c r="D15" s="28"/>
      <c r="E15" s="65">
        <f t="shared" si="1"/>
        <v>0</v>
      </c>
    </row>
    <row r="16" spans="1:9" x14ac:dyDescent="0.25">
      <c r="A16" s="21" t="s">
        <v>187</v>
      </c>
      <c r="B16" s="31"/>
      <c r="C16" s="28"/>
      <c r="D16" s="28"/>
      <c r="E16" s="65">
        <f t="shared" si="1"/>
        <v>0</v>
      </c>
    </row>
    <row r="17" spans="1:5" x14ac:dyDescent="0.25">
      <c r="A17" s="21"/>
      <c r="B17" s="31"/>
      <c r="C17" s="28"/>
      <c r="D17" s="28"/>
      <c r="E17" s="65">
        <f t="shared" si="1"/>
        <v>0</v>
      </c>
    </row>
    <row r="18" spans="1:5" x14ac:dyDescent="0.25">
      <c r="A18" s="21">
        <v>3</v>
      </c>
      <c r="B18" s="30" t="s">
        <v>104</v>
      </c>
      <c r="C18" s="532">
        <f>SUM(C19:C27)</f>
        <v>151568.68</v>
      </c>
      <c r="D18" s="34">
        <f>SUM(D27:D28)</f>
        <v>0</v>
      </c>
      <c r="E18" s="65">
        <f t="shared" si="1"/>
        <v>151568.68</v>
      </c>
    </row>
    <row r="19" spans="1:5" x14ac:dyDescent="0.25">
      <c r="A19" s="21" t="s">
        <v>146</v>
      </c>
      <c r="B19" s="64" t="s">
        <v>932</v>
      </c>
      <c r="C19" s="530">
        <v>34660.720000000001</v>
      </c>
      <c r="D19" s="530"/>
      <c r="E19" s="531">
        <f t="shared" si="1"/>
        <v>34660.720000000001</v>
      </c>
    </row>
    <row r="20" spans="1:5" x14ac:dyDescent="0.25">
      <c r="A20" s="21" t="s">
        <v>188</v>
      </c>
      <c r="B20" s="64" t="s">
        <v>933</v>
      </c>
      <c r="C20" s="530">
        <v>3000</v>
      </c>
      <c r="D20" s="530"/>
      <c r="E20" s="531">
        <f t="shared" si="1"/>
        <v>3000</v>
      </c>
    </row>
    <row r="21" spans="1:5" x14ac:dyDescent="0.25">
      <c r="A21" s="21" t="s">
        <v>934</v>
      </c>
      <c r="B21" s="64" t="s">
        <v>935</v>
      </c>
      <c r="C21" s="530">
        <v>1300</v>
      </c>
      <c r="D21" s="530"/>
      <c r="E21" s="531">
        <f t="shared" si="1"/>
        <v>1300</v>
      </c>
    </row>
    <row r="22" spans="1:5" x14ac:dyDescent="0.25">
      <c r="A22" s="21" t="s">
        <v>936</v>
      </c>
      <c r="B22" s="64" t="s">
        <v>937</v>
      </c>
      <c r="C22" s="530">
        <v>6000</v>
      </c>
      <c r="D22" s="530"/>
      <c r="E22" s="531">
        <f t="shared" si="1"/>
        <v>6000</v>
      </c>
    </row>
    <row r="23" spans="1:5" x14ac:dyDescent="0.25">
      <c r="A23" s="21" t="s">
        <v>938</v>
      </c>
      <c r="B23" s="64" t="s">
        <v>939</v>
      </c>
      <c r="C23" s="530">
        <v>68136.45</v>
      </c>
      <c r="D23" s="530"/>
      <c r="E23" s="531">
        <f t="shared" si="1"/>
        <v>68136.45</v>
      </c>
    </row>
    <row r="24" spans="1:5" x14ac:dyDescent="0.25">
      <c r="A24" s="21" t="s">
        <v>940</v>
      </c>
      <c r="B24" s="64" t="s">
        <v>941</v>
      </c>
      <c r="C24" s="530">
        <v>22331.279999999999</v>
      </c>
      <c r="D24" s="530"/>
      <c r="E24" s="531">
        <f t="shared" si="1"/>
        <v>22331.279999999999</v>
      </c>
    </row>
    <row r="25" spans="1:5" x14ac:dyDescent="0.25">
      <c r="A25" s="21" t="s">
        <v>942</v>
      </c>
      <c r="B25" s="64" t="s">
        <v>943</v>
      </c>
      <c r="C25" s="530">
        <v>9697.9</v>
      </c>
      <c r="D25" s="530"/>
      <c r="E25" s="531">
        <f t="shared" si="1"/>
        <v>9697.9</v>
      </c>
    </row>
    <row r="26" spans="1:5" x14ac:dyDescent="0.25">
      <c r="A26" s="21" t="s">
        <v>944</v>
      </c>
      <c r="B26" s="64" t="s">
        <v>945</v>
      </c>
      <c r="C26" s="530">
        <v>3188.5</v>
      </c>
      <c r="D26" s="530"/>
      <c r="E26" s="531">
        <f t="shared" si="1"/>
        <v>3188.5</v>
      </c>
    </row>
    <row r="27" spans="1:5" ht="31.5" x14ac:dyDescent="0.25">
      <c r="A27" s="21" t="s">
        <v>1040</v>
      </c>
      <c r="B27" s="340" t="s">
        <v>1039</v>
      </c>
      <c r="C27" s="530">
        <v>3253.83</v>
      </c>
      <c r="D27" s="530"/>
      <c r="E27" s="531">
        <f t="shared" si="1"/>
        <v>3253.83</v>
      </c>
    </row>
    <row r="28" spans="1:5" x14ac:dyDescent="0.25">
      <c r="A28" s="21"/>
      <c r="B28" s="64"/>
      <c r="C28" s="28"/>
      <c r="D28" s="28"/>
      <c r="E28" s="65">
        <f t="shared" si="1"/>
        <v>0</v>
      </c>
    </row>
    <row r="29" spans="1:5" x14ac:dyDescent="0.25">
      <c r="A29" s="21"/>
      <c r="B29" s="31"/>
      <c r="C29" s="28"/>
      <c r="D29" s="28"/>
      <c r="E29" s="65">
        <f t="shared" si="1"/>
        <v>0</v>
      </c>
    </row>
    <row r="30" spans="1:5" x14ac:dyDescent="0.25">
      <c r="A30" s="21">
        <v>4</v>
      </c>
      <c r="B30" s="30" t="s">
        <v>105</v>
      </c>
      <c r="C30" s="532">
        <f>SUM(C31:C43)</f>
        <v>2208957.2200000002</v>
      </c>
      <c r="D30" s="532">
        <f>SUM(D31:D43)</f>
        <v>34307.550000000003</v>
      </c>
      <c r="E30" s="531">
        <f t="shared" si="1"/>
        <v>2243264.77</v>
      </c>
    </row>
    <row r="31" spans="1:5" x14ac:dyDescent="0.25">
      <c r="A31" s="21" t="s">
        <v>98</v>
      </c>
      <c r="B31" s="31" t="s">
        <v>946</v>
      </c>
      <c r="C31" s="533">
        <v>113859.77</v>
      </c>
      <c r="D31" s="533">
        <v>31780</v>
      </c>
      <c r="E31" s="531">
        <f t="shared" si="1"/>
        <v>145639.77000000002</v>
      </c>
    </row>
    <row r="32" spans="1:5" x14ac:dyDescent="0.25">
      <c r="A32" s="21" t="s">
        <v>189</v>
      </c>
      <c r="B32" s="31" t="s">
        <v>947</v>
      </c>
      <c r="C32" s="533">
        <v>86405.61</v>
      </c>
      <c r="D32" s="533"/>
      <c r="E32" s="531">
        <f t="shared" si="1"/>
        <v>86405.61</v>
      </c>
    </row>
    <row r="33" spans="1:7" x14ac:dyDescent="0.25">
      <c r="A33" s="21" t="s">
        <v>948</v>
      </c>
      <c r="B33" s="31" t="s">
        <v>949</v>
      </c>
      <c r="C33" s="533">
        <v>83537.95</v>
      </c>
      <c r="D33" s="533"/>
      <c r="E33" s="531">
        <f t="shared" si="1"/>
        <v>83537.95</v>
      </c>
    </row>
    <row r="34" spans="1:7" x14ac:dyDescent="0.25">
      <c r="A34" s="21" t="s">
        <v>950</v>
      </c>
      <c r="B34" s="31" t="s">
        <v>951</v>
      </c>
      <c r="C34" s="533">
        <v>28611.11</v>
      </c>
      <c r="D34" s="533"/>
      <c r="E34" s="531">
        <f t="shared" si="1"/>
        <v>28611.11</v>
      </c>
    </row>
    <row r="35" spans="1:7" x14ac:dyDescent="0.25">
      <c r="A35" s="21" t="s">
        <v>952</v>
      </c>
      <c r="B35" s="31" t="s">
        <v>953</v>
      </c>
      <c r="C35" s="533">
        <v>3334.56</v>
      </c>
      <c r="D35" s="533">
        <v>2527.5500000000002</v>
      </c>
      <c r="E35" s="531">
        <f t="shared" si="1"/>
        <v>5862.1100000000006</v>
      </c>
    </row>
    <row r="36" spans="1:7" x14ac:dyDescent="0.25">
      <c r="A36" s="21" t="s">
        <v>954</v>
      </c>
      <c r="B36" s="31" t="s">
        <v>955</v>
      </c>
      <c r="C36" s="533">
        <v>1178051.49</v>
      </c>
      <c r="D36" s="533"/>
      <c r="E36" s="531">
        <f t="shared" si="1"/>
        <v>1178051.49</v>
      </c>
    </row>
    <row r="37" spans="1:7" x14ac:dyDescent="0.25">
      <c r="A37" s="21" t="s">
        <v>956</v>
      </c>
      <c r="B37" s="31" t="s">
        <v>957</v>
      </c>
      <c r="C37" s="533">
        <v>14367.05</v>
      </c>
      <c r="D37" s="533"/>
      <c r="E37" s="531">
        <f t="shared" si="1"/>
        <v>14367.05</v>
      </c>
    </row>
    <row r="38" spans="1:7" x14ac:dyDescent="0.25">
      <c r="A38" s="21" t="s">
        <v>958</v>
      </c>
      <c r="B38" s="31" t="s">
        <v>959</v>
      </c>
      <c r="C38" s="533">
        <v>103431.07</v>
      </c>
      <c r="D38" s="533"/>
      <c r="E38" s="531">
        <f t="shared" si="1"/>
        <v>103431.07</v>
      </c>
    </row>
    <row r="39" spans="1:7" x14ac:dyDescent="0.25">
      <c r="A39" s="21" t="s">
        <v>960</v>
      </c>
      <c r="B39" s="31" t="s">
        <v>961</v>
      </c>
      <c r="C39" s="533">
        <v>8609.27</v>
      </c>
      <c r="D39" s="533"/>
      <c r="E39" s="531">
        <f t="shared" si="1"/>
        <v>8609.27</v>
      </c>
      <c r="G39" s="1" t="s">
        <v>970</v>
      </c>
    </row>
    <row r="40" spans="1:7" x14ac:dyDescent="0.25">
      <c r="A40" s="21" t="s">
        <v>962</v>
      </c>
      <c r="B40" s="31" t="s">
        <v>963</v>
      </c>
      <c r="C40" s="533">
        <v>26794.94</v>
      </c>
      <c r="D40" s="533"/>
      <c r="E40" s="531">
        <f t="shared" si="1"/>
        <v>26794.94</v>
      </c>
    </row>
    <row r="41" spans="1:7" x14ac:dyDescent="0.25">
      <c r="A41" s="21" t="s">
        <v>964</v>
      </c>
      <c r="B41" s="31" t="s">
        <v>965</v>
      </c>
      <c r="C41" s="533">
        <v>20000</v>
      </c>
      <c r="D41" s="533"/>
      <c r="E41" s="531">
        <f t="shared" si="1"/>
        <v>20000</v>
      </c>
    </row>
    <row r="42" spans="1:7" x14ac:dyDescent="0.25">
      <c r="A42" s="21" t="s">
        <v>966</v>
      </c>
      <c r="B42" s="31" t="s">
        <v>967</v>
      </c>
      <c r="C42" s="533">
        <v>298080</v>
      </c>
      <c r="D42" s="533"/>
      <c r="E42" s="531">
        <f t="shared" si="1"/>
        <v>298080</v>
      </c>
    </row>
    <row r="43" spans="1:7" x14ac:dyDescent="0.25">
      <c r="A43" s="21" t="s">
        <v>968</v>
      </c>
      <c r="B43" s="31" t="s">
        <v>969</v>
      </c>
      <c r="C43" s="533">
        <v>243874.4</v>
      </c>
      <c r="D43" s="533"/>
      <c r="E43" s="531">
        <f t="shared" si="1"/>
        <v>243874.4</v>
      </c>
    </row>
    <row r="44" spans="1:7" x14ac:dyDescent="0.25">
      <c r="A44" s="21"/>
      <c r="B44" s="31"/>
      <c r="C44" s="28"/>
      <c r="D44" s="28"/>
      <c r="E44" s="65">
        <f t="shared" si="1"/>
        <v>0</v>
      </c>
    </row>
    <row r="45" spans="1:7" ht="16.5" thickBot="1" x14ac:dyDescent="0.3">
      <c r="A45" s="22">
        <v>5</v>
      </c>
      <c r="B45" s="32" t="s">
        <v>136</v>
      </c>
      <c r="C45" s="534">
        <f>C5+C14+C18+C30</f>
        <v>5311886.3800000008</v>
      </c>
      <c r="D45" s="534">
        <f>D5+D14+D18+D30</f>
        <v>34307.550000000003</v>
      </c>
      <c r="E45" s="535">
        <f t="shared" si="1"/>
        <v>5346193.9300000006</v>
      </c>
    </row>
    <row r="47" spans="1:7" s="116" customFormat="1" ht="31.5" x14ac:dyDescent="0.25">
      <c r="A47" s="115"/>
      <c r="B47" s="432" t="s">
        <v>762</v>
      </c>
      <c r="F47" s="1"/>
    </row>
    <row r="48" spans="1:7" x14ac:dyDescent="0.25">
      <c r="B48" s="234"/>
    </row>
  </sheetData>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86"/>
  <sheetViews>
    <sheetView zoomScaleNormal="100" workbookViewId="0">
      <pane xSplit="2" ySplit="5" topLeftCell="E46" activePane="bottomRight" state="frozen"/>
      <selection sqref="A1:E1"/>
      <selection pane="topRight" sqref="A1:E1"/>
      <selection pane="bottomLeft" sqref="A1:E1"/>
      <selection pane="bottomRight" activeCell="I46" sqref="I46"/>
    </sheetView>
  </sheetViews>
  <sheetFormatPr defaultColWidth="9.140625" defaultRowHeight="15.75" x14ac:dyDescent="0.25"/>
  <cols>
    <col min="1" max="1" width="7.85546875" style="3" customWidth="1"/>
    <col min="2" max="2" width="82.140625" style="59" customWidth="1"/>
    <col min="3" max="3" width="16.42578125" style="60" customWidth="1"/>
    <col min="4" max="4" width="16.5703125" style="60" customWidth="1"/>
    <col min="5" max="5" width="16.42578125" style="60" customWidth="1"/>
    <col min="6" max="6" width="19.140625" style="60" customWidth="1"/>
    <col min="7" max="7" width="16.85546875" style="60" customWidth="1"/>
    <col min="8" max="8" width="20.140625" style="60" customWidth="1"/>
    <col min="9" max="9" width="20.42578125" style="1" bestFit="1" customWidth="1"/>
    <col min="10" max="10" width="27.42578125" style="1" customWidth="1"/>
    <col min="11" max="16384" width="9.140625" style="1"/>
  </cols>
  <sheetData>
    <row r="1" spans="1:9" s="259" customFormat="1" ht="35.1" customHeight="1" thickBot="1" x14ac:dyDescent="0.3">
      <c r="A1" s="804" t="s">
        <v>809</v>
      </c>
      <c r="B1" s="805"/>
      <c r="C1" s="805"/>
      <c r="D1" s="805"/>
      <c r="E1" s="805"/>
      <c r="F1" s="805"/>
      <c r="G1" s="805"/>
      <c r="H1" s="806"/>
    </row>
    <row r="2" spans="1:9" s="259" customFormat="1" ht="31.9" customHeight="1" x14ac:dyDescent="0.25">
      <c r="A2" s="789" t="s">
        <v>1055</v>
      </c>
      <c r="B2" s="790"/>
      <c r="C2" s="790"/>
      <c r="D2" s="790"/>
      <c r="E2" s="790"/>
      <c r="F2" s="790"/>
      <c r="G2" s="790"/>
      <c r="H2" s="791"/>
    </row>
    <row r="3" spans="1:9" s="259" customFormat="1" ht="24" customHeight="1" x14ac:dyDescent="0.25">
      <c r="A3" s="807" t="s">
        <v>80</v>
      </c>
      <c r="B3" s="808" t="s">
        <v>153</v>
      </c>
      <c r="C3" s="810">
        <v>2022</v>
      </c>
      <c r="D3" s="811"/>
      <c r="E3" s="810">
        <v>2023</v>
      </c>
      <c r="F3" s="811"/>
      <c r="G3" s="810" t="s">
        <v>810</v>
      </c>
      <c r="H3" s="812"/>
    </row>
    <row r="4" spans="1:9" s="260" customFormat="1" ht="31.5" x14ac:dyDescent="0.25">
      <c r="A4" s="807"/>
      <c r="B4" s="809"/>
      <c r="C4" s="237" t="s">
        <v>154</v>
      </c>
      <c r="D4" s="237" t="s">
        <v>155</v>
      </c>
      <c r="E4" s="237" t="s">
        <v>154</v>
      </c>
      <c r="F4" s="237" t="s">
        <v>155</v>
      </c>
      <c r="G4" s="237" t="s">
        <v>154</v>
      </c>
      <c r="H4" s="261" t="s">
        <v>155</v>
      </c>
      <c r="I4" s="259"/>
    </row>
    <row r="5" spans="1:9" s="260" customFormat="1" x14ac:dyDescent="0.25">
      <c r="A5" s="253"/>
      <c r="B5" s="238"/>
      <c r="C5" s="237" t="s">
        <v>119</v>
      </c>
      <c r="D5" s="237" t="s">
        <v>120</v>
      </c>
      <c r="E5" s="237" t="s">
        <v>121</v>
      </c>
      <c r="F5" s="237" t="s">
        <v>127</v>
      </c>
      <c r="G5" s="237" t="s">
        <v>9</v>
      </c>
      <c r="H5" s="261" t="s">
        <v>10</v>
      </c>
      <c r="I5" s="262"/>
    </row>
    <row r="6" spans="1:9" x14ac:dyDescent="0.25">
      <c r="A6" s="21">
        <v>1</v>
      </c>
      <c r="B6" s="241" t="s">
        <v>102</v>
      </c>
      <c r="C6" s="532">
        <f>SUM(C7:C10)</f>
        <v>469436.38</v>
      </c>
      <c r="D6" s="532">
        <f>SUM(D7:D10)</f>
        <v>519328.32</v>
      </c>
      <c r="E6" s="532">
        <f>SUM(E7:E10)</f>
        <v>602153.27</v>
      </c>
      <c r="F6" s="532">
        <f>SUM(F7:F10)</f>
        <v>693468.56</v>
      </c>
      <c r="G6" s="540">
        <f>E6-C6</f>
        <v>132716.89000000001</v>
      </c>
      <c r="H6" s="541">
        <f t="shared" ref="G6:H78" si="0">F6-D6</f>
        <v>174140.24000000005</v>
      </c>
    </row>
    <row r="7" spans="1:9" x14ac:dyDescent="0.25">
      <c r="A7" s="21">
        <f>A6+1</f>
        <v>2</v>
      </c>
      <c r="B7" s="242" t="s">
        <v>113</v>
      </c>
      <c r="C7" s="536">
        <v>0</v>
      </c>
      <c r="D7" s="536">
        <v>0</v>
      </c>
      <c r="E7" s="536">
        <v>0</v>
      </c>
      <c r="F7" s="536">
        <v>0</v>
      </c>
      <c r="G7" s="540">
        <f t="shared" si="0"/>
        <v>0</v>
      </c>
      <c r="H7" s="541">
        <f t="shared" si="0"/>
        <v>0</v>
      </c>
      <c r="I7" s="172"/>
    </row>
    <row r="8" spans="1:9" x14ac:dyDescent="0.25">
      <c r="A8" s="21">
        <f t="shared" ref="A8:A69" si="1">A7+1</f>
        <v>3</v>
      </c>
      <c r="B8" s="242" t="s">
        <v>132</v>
      </c>
      <c r="C8" s="536">
        <v>0</v>
      </c>
      <c r="D8" s="536">
        <v>0</v>
      </c>
      <c r="E8" s="536">
        <v>0</v>
      </c>
      <c r="F8" s="536">
        <v>0</v>
      </c>
      <c r="G8" s="540">
        <f t="shared" si="0"/>
        <v>0</v>
      </c>
      <c r="H8" s="541">
        <f t="shared" si="0"/>
        <v>0</v>
      </c>
      <c r="I8" s="172"/>
    </row>
    <row r="9" spans="1:9" x14ac:dyDescent="0.25">
      <c r="A9" s="21">
        <f t="shared" si="1"/>
        <v>4</v>
      </c>
      <c r="B9" s="242" t="s">
        <v>18</v>
      </c>
      <c r="C9" s="536">
        <v>467720.82</v>
      </c>
      <c r="D9" s="536">
        <v>519032.76</v>
      </c>
      <c r="E9" s="536">
        <v>594545.97</v>
      </c>
      <c r="F9" s="536">
        <v>693252</v>
      </c>
      <c r="G9" s="540">
        <f t="shared" si="0"/>
        <v>126825.14999999997</v>
      </c>
      <c r="H9" s="541">
        <f t="shared" si="0"/>
        <v>174219.24</v>
      </c>
      <c r="I9" s="172"/>
    </row>
    <row r="10" spans="1:9" x14ac:dyDescent="0.25">
      <c r="A10" s="21">
        <f t="shared" si="1"/>
        <v>5</v>
      </c>
      <c r="B10" s="242" t="s">
        <v>131</v>
      </c>
      <c r="C10" s="536">
        <v>1715.56</v>
      </c>
      <c r="D10" s="536">
        <v>295.56</v>
      </c>
      <c r="E10" s="536">
        <v>7607.3</v>
      </c>
      <c r="F10" s="536">
        <v>216.56</v>
      </c>
      <c r="G10" s="540">
        <f t="shared" si="0"/>
        <v>5891.74</v>
      </c>
      <c r="H10" s="541">
        <f t="shared" si="0"/>
        <v>-79</v>
      </c>
      <c r="I10" s="172"/>
    </row>
    <row r="11" spans="1:9" x14ac:dyDescent="0.25">
      <c r="A11" s="21">
        <f t="shared" si="1"/>
        <v>6</v>
      </c>
      <c r="B11" s="243" t="s">
        <v>501</v>
      </c>
      <c r="C11" s="532">
        <f>SUM(C12:C15)</f>
        <v>1382111.3900000001</v>
      </c>
      <c r="D11" s="532">
        <f>SUM(D12:D15)</f>
        <v>668115.31000000006</v>
      </c>
      <c r="E11" s="532">
        <f>SUM(E12:E15)</f>
        <v>1906445.19</v>
      </c>
      <c r="F11" s="532">
        <f>SUM(F12:F15)</f>
        <v>996514.35000000009</v>
      </c>
      <c r="G11" s="540">
        <f t="shared" si="0"/>
        <v>524333.79999999981</v>
      </c>
      <c r="H11" s="541">
        <f t="shared" si="0"/>
        <v>328399.04000000004</v>
      </c>
    </row>
    <row r="12" spans="1:9" x14ac:dyDescent="0.25">
      <c r="A12" s="21">
        <f t="shared" si="1"/>
        <v>7</v>
      </c>
      <c r="B12" s="244" t="s">
        <v>32</v>
      </c>
      <c r="C12" s="536">
        <v>848612.5</v>
      </c>
      <c r="D12" s="536">
        <v>0</v>
      </c>
      <c r="E12" s="536">
        <v>996406.56</v>
      </c>
      <c r="F12" s="536">
        <v>0</v>
      </c>
      <c r="G12" s="540">
        <f t="shared" si="0"/>
        <v>147794.06000000006</v>
      </c>
      <c r="H12" s="541">
        <f t="shared" si="0"/>
        <v>0</v>
      </c>
    </row>
    <row r="13" spans="1:9" x14ac:dyDescent="0.25">
      <c r="A13" s="21">
        <f t="shared" si="1"/>
        <v>8</v>
      </c>
      <c r="B13" s="244" t="s">
        <v>33</v>
      </c>
      <c r="C13" s="536"/>
      <c r="D13" s="536"/>
      <c r="E13" s="536"/>
      <c r="F13" s="536"/>
      <c r="G13" s="540">
        <f t="shared" si="0"/>
        <v>0</v>
      </c>
      <c r="H13" s="541">
        <f t="shared" si="0"/>
        <v>0</v>
      </c>
    </row>
    <row r="14" spans="1:9" x14ac:dyDescent="0.25">
      <c r="A14" s="21">
        <f>A13+1</f>
        <v>9</v>
      </c>
      <c r="B14" s="244" t="s">
        <v>655</v>
      </c>
      <c r="C14" s="536">
        <v>6580</v>
      </c>
      <c r="D14" s="536">
        <v>316487.21000000002</v>
      </c>
      <c r="E14" s="536"/>
      <c r="F14" s="536">
        <v>333933.31</v>
      </c>
      <c r="G14" s="540">
        <f t="shared" si="0"/>
        <v>-6580</v>
      </c>
      <c r="H14" s="541">
        <f t="shared" si="0"/>
        <v>17446.099999999977</v>
      </c>
    </row>
    <row r="15" spans="1:9" ht="31.5" x14ac:dyDescent="0.25">
      <c r="A15" s="144">
        <f t="shared" si="1"/>
        <v>10</v>
      </c>
      <c r="B15" s="522" t="s">
        <v>908</v>
      </c>
      <c r="C15" s="536">
        <v>526918.89</v>
      </c>
      <c r="D15" s="536">
        <v>351628.1</v>
      </c>
      <c r="E15" s="536">
        <v>910038.63</v>
      </c>
      <c r="F15" s="536">
        <v>662581.04</v>
      </c>
      <c r="G15" s="540">
        <f t="shared" si="0"/>
        <v>383119.74</v>
      </c>
      <c r="H15" s="541">
        <f t="shared" si="0"/>
        <v>310952.94000000006</v>
      </c>
      <c r="I15" s="206"/>
    </row>
    <row r="16" spans="1:9" x14ac:dyDescent="0.25">
      <c r="A16" s="21">
        <f t="shared" si="1"/>
        <v>11</v>
      </c>
      <c r="B16" s="243" t="s">
        <v>6</v>
      </c>
      <c r="C16" s="536"/>
      <c r="D16" s="536">
        <v>133067.32999999999</v>
      </c>
      <c r="E16" s="536"/>
      <c r="F16" s="536">
        <v>172871.74</v>
      </c>
      <c r="G16" s="540">
        <f t="shared" si="0"/>
        <v>0</v>
      </c>
      <c r="H16" s="541">
        <f t="shared" si="0"/>
        <v>39804.410000000003</v>
      </c>
      <c r="I16" s="206"/>
    </row>
    <row r="17" spans="1:9" x14ac:dyDescent="0.25">
      <c r="A17" s="21">
        <f t="shared" si="1"/>
        <v>12</v>
      </c>
      <c r="B17" s="243" t="s">
        <v>520</v>
      </c>
      <c r="C17" s="536"/>
      <c r="D17" s="536"/>
      <c r="E17" s="536"/>
      <c r="F17" s="536"/>
      <c r="G17" s="540">
        <f t="shared" si="0"/>
        <v>0</v>
      </c>
      <c r="H17" s="541">
        <f t="shared" si="0"/>
        <v>0</v>
      </c>
    </row>
    <row r="18" spans="1:9" x14ac:dyDescent="0.25">
      <c r="A18" s="21">
        <f t="shared" si="1"/>
        <v>13</v>
      </c>
      <c r="B18" s="243" t="s">
        <v>763</v>
      </c>
      <c r="C18" s="536">
        <v>163782.16</v>
      </c>
      <c r="D18" s="536"/>
      <c r="E18" s="536"/>
      <c r="F18" s="536"/>
      <c r="G18" s="540">
        <f t="shared" si="0"/>
        <v>-163782.16</v>
      </c>
      <c r="H18" s="541">
        <f t="shared" si="0"/>
        <v>0</v>
      </c>
    </row>
    <row r="19" spans="1:9" x14ac:dyDescent="0.25">
      <c r="A19" s="21">
        <f t="shared" si="1"/>
        <v>14</v>
      </c>
      <c r="B19" s="243" t="s">
        <v>656</v>
      </c>
      <c r="C19" s="536">
        <v>7984.9</v>
      </c>
      <c r="D19" s="536">
        <v>416.91</v>
      </c>
      <c r="E19" s="536">
        <v>135.97</v>
      </c>
      <c r="F19" s="536">
        <v>1077.4100000000001</v>
      </c>
      <c r="G19" s="540">
        <f t="shared" si="0"/>
        <v>-7848.9299999999994</v>
      </c>
      <c r="H19" s="541">
        <f t="shared" si="0"/>
        <v>660.5</v>
      </c>
    </row>
    <row r="20" spans="1:9" x14ac:dyDescent="0.25">
      <c r="A20" s="21">
        <f t="shared" si="1"/>
        <v>15</v>
      </c>
      <c r="B20" s="243" t="s">
        <v>657</v>
      </c>
      <c r="C20" s="536"/>
      <c r="D20" s="536"/>
      <c r="E20" s="536"/>
      <c r="F20" s="536"/>
      <c r="G20" s="540">
        <f t="shared" si="0"/>
        <v>0</v>
      </c>
      <c r="H20" s="541">
        <f t="shared" si="0"/>
        <v>0</v>
      </c>
    </row>
    <row r="21" spans="1:9" x14ac:dyDescent="0.25">
      <c r="A21" s="21">
        <f t="shared" si="1"/>
        <v>16</v>
      </c>
      <c r="B21" s="243" t="s">
        <v>502</v>
      </c>
      <c r="C21" s="532">
        <f>SUM(C22:C23)</f>
        <v>0</v>
      </c>
      <c r="D21" s="532">
        <f>SUM(D22:D23)</f>
        <v>0</v>
      </c>
      <c r="E21" s="532">
        <f>SUM(E22:E23)</f>
        <v>5931.94</v>
      </c>
      <c r="F21" s="532">
        <f>SUM(F22:F23)</f>
        <v>2585.83</v>
      </c>
      <c r="G21" s="540">
        <f t="shared" si="0"/>
        <v>5931.94</v>
      </c>
      <c r="H21" s="541">
        <f t="shared" si="0"/>
        <v>2585.83</v>
      </c>
    </row>
    <row r="22" spans="1:9" x14ac:dyDescent="0.25">
      <c r="A22" s="21">
        <f t="shared" si="1"/>
        <v>17</v>
      </c>
      <c r="B22" s="244" t="s">
        <v>658</v>
      </c>
      <c r="C22" s="536"/>
      <c r="D22" s="536"/>
      <c r="E22" s="536"/>
      <c r="F22" s="536"/>
      <c r="G22" s="540">
        <f t="shared" si="0"/>
        <v>0</v>
      </c>
      <c r="H22" s="541">
        <f t="shared" si="0"/>
        <v>0</v>
      </c>
    </row>
    <row r="23" spans="1:9" x14ac:dyDescent="0.25">
      <c r="A23" s="21">
        <f t="shared" si="1"/>
        <v>18</v>
      </c>
      <c r="B23" s="244" t="s">
        <v>659</v>
      </c>
      <c r="C23" s="536"/>
      <c r="D23" s="536"/>
      <c r="E23" s="536">
        <v>5931.94</v>
      </c>
      <c r="F23" s="537">
        <v>2585.83</v>
      </c>
      <c r="G23" s="540">
        <f t="shared" si="0"/>
        <v>5931.94</v>
      </c>
      <c r="H23" s="541">
        <f t="shared" si="0"/>
        <v>2585.83</v>
      </c>
    </row>
    <row r="24" spans="1:9" x14ac:dyDescent="0.25">
      <c r="A24" s="21">
        <f t="shared" si="1"/>
        <v>19</v>
      </c>
      <c r="B24" s="243" t="s">
        <v>660</v>
      </c>
      <c r="C24" s="536">
        <v>7694.04</v>
      </c>
      <c r="D24" s="536">
        <v>0.52</v>
      </c>
      <c r="E24" s="536">
        <v>5070.1099999999997</v>
      </c>
      <c r="F24" s="536"/>
      <c r="G24" s="540">
        <f t="shared" si="0"/>
        <v>-2623.9300000000003</v>
      </c>
      <c r="H24" s="541">
        <f t="shared" si="0"/>
        <v>-0.52</v>
      </c>
    </row>
    <row r="25" spans="1:9" x14ac:dyDescent="0.25">
      <c r="A25" s="21">
        <f t="shared" si="1"/>
        <v>20</v>
      </c>
      <c r="B25" s="245" t="s">
        <v>899</v>
      </c>
      <c r="C25" s="542">
        <f>SUM(C26:C36)</f>
        <v>14376031.51</v>
      </c>
      <c r="D25" s="542">
        <f t="shared" ref="D25:F25" si="2">SUM(D26:D36)</f>
        <v>0</v>
      </c>
      <c r="E25" s="542">
        <f t="shared" si="2"/>
        <v>14438759.530000001</v>
      </c>
      <c r="F25" s="542">
        <f t="shared" si="2"/>
        <v>0</v>
      </c>
      <c r="G25" s="540">
        <f t="shared" si="0"/>
        <v>62728.020000001416</v>
      </c>
      <c r="H25" s="541">
        <f t="shared" si="0"/>
        <v>0</v>
      </c>
      <c r="I25" s="201"/>
    </row>
    <row r="26" spans="1:9" x14ac:dyDescent="0.25">
      <c r="A26" s="21">
        <f t="shared" si="1"/>
        <v>21</v>
      </c>
      <c r="B26" s="246" t="s">
        <v>661</v>
      </c>
      <c r="C26" s="536">
        <v>274831.09999999998</v>
      </c>
      <c r="D26" s="536"/>
      <c r="E26" s="536">
        <v>162195</v>
      </c>
      <c r="F26" s="536"/>
      <c r="G26" s="540">
        <f t="shared" si="0"/>
        <v>-112636.09999999998</v>
      </c>
      <c r="H26" s="541">
        <f t="shared" si="0"/>
        <v>0</v>
      </c>
    </row>
    <row r="27" spans="1:9" x14ac:dyDescent="0.25">
      <c r="A27" s="21">
        <f t="shared" si="1"/>
        <v>22</v>
      </c>
      <c r="B27" s="246" t="s">
        <v>665</v>
      </c>
      <c r="C27" s="536">
        <v>13373320</v>
      </c>
      <c r="D27" s="536"/>
      <c r="E27" s="536">
        <v>13595858.66</v>
      </c>
      <c r="F27" s="536"/>
      <c r="G27" s="540">
        <f t="shared" si="0"/>
        <v>222538.66000000015</v>
      </c>
      <c r="H27" s="541">
        <f t="shared" si="0"/>
        <v>0</v>
      </c>
    </row>
    <row r="28" spans="1:9" x14ac:dyDescent="0.25">
      <c r="A28" s="21">
        <f t="shared" si="1"/>
        <v>23</v>
      </c>
      <c r="B28" s="246" t="s">
        <v>662</v>
      </c>
      <c r="C28" s="536"/>
      <c r="D28" s="536"/>
      <c r="E28" s="536"/>
      <c r="F28" s="536"/>
      <c r="G28" s="540">
        <f t="shared" si="0"/>
        <v>0</v>
      </c>
      <c r="H28" s="541">
        <f t="shared" si="0"/>
        <v>0</v>
      </c>
      <c r="I28" s="110"/>
    </row>
    <row r="29" spans="1:9" x14ac:dyDescent="0.25">
      <c r="A29" s="21">
        <f t="shared" si="1"/>
        <v>24</v>
      </c>
      <c r="B29" s="246" t="s">
        <v>663</v>
      </c>
      <c r="C29" s="536">
        <v>329337.25</v>
      </c>
      <c r="D29" s="536"/>
      <c r="E29" s="536">
        <v>307232.39</v>
      </c>
      <c r="F29" s="536"/>
      <c r="G29" s="540">
        <f t="shared" si="0"/>
        <v>-22104.859999999986</v>
      </c>
      <c r="H29" s="541">
        <f t="shared" si="0"/>
        <v>0</v>
      </c>
      <c r="I29" s="110"/>
    </row>
    <row r="30" spans="1:9" x14ac:dyDescent="0.25">
      <c r="A30" s="21">
        <f t="shared" si="1"/>
        <v>25</v>
      </c>
      <c r="B30" s="246" t="s">
        <v>664</v>
      </c>
      <c r="C30" s="536"/>
      <c r="D30" s="536"/>
      <c r="E30" s="536"/>
      <c r="F30" s="536"/>
      <c r="G30" s="540">
        <f t="shared" si="0"/>
        <v>0</v>
      </c>
      <c r="H30" s="541">
        <f t="shared" si="0"/>
        <v>0</v>
      </c>
    </row>
    <row r="31" spans="1:9" x14ac:dyDescent="0.25">
      <c r="A31" s="527">
        <v>26</v>
      </c>
      <c r="B31" s="526" t="s">
        <v>892</v>
      </c>
      <c r="C31" s="536">
        <v>397954.52</v>
      </c>
      <c r="D31" s="536"/>
      <c r="E31" s="536">
        <v>370784.82</v>
      </c>
      <c r="F31" s="536"/>
      <c r="G31" s="543">
        <f t="shared" si="0"/>
        <v>-27169.700000000012</v>
      </c>
      <c r="H31" s="544">
        <f t="shared" si="0"/>
        <v>0</v>
      </c>
      <c r="I31" s="723"/>
    </row>
    <row r="32" spans="1:9" x14ac:dyDescent="0.25">
      <c r="A32" s="527">
        <v>27</v>
      </c>
      <c r="B32" s="526" t="s">
        <v>893</v>
      </c>
      <c r="C32" s="536">
        <v>249</v>
      </c>
      <c r="D32" s="536"/>
      <c r="E32" s="536">
        <v>353</v>
      </c>
      <c r="F32" s="536"/>
      <c r="G32" s="543">
        <f t="shared" si="0"/>
        <v>104</v>
      </c>
      <c r="H32" s="544">
        <f t="shared" si="0"/>
        <v>0</v>
      </c>
    </row>
    <row r="33" spans="1:10" x14ac:dyDescent="0.25">
      <c r="A33" s="527">
        <v>28</v>
      </c>
      <c r="B33" s="526" t="s">
        <v>894</v>
      </c>
      <c r="C33" s="536"/>
      <c r="D33" s="536"/>
      <c r="E33" s="536">
        <v>0.78</v>
      </c>
      <c r="F33" s="536"/>
      <c r="G33" s="543">
        <f t="shared" si="0"/>
        <v>0.78</v>
      </c>
      <c r="H33" s="544">
        <f t="shared" si="0"/>
        <v>0</v>
      </c>
      <c r="I33" s="723"/>
    </row>
    <row r="34" spans="1:10" x14ac:dyDescent="0.25">
      <c r="A34" s="527">
        <v>29</v>
      </c>
      <c r="B34" s="526" t="s">
        <v>895</v>
      </c>
      <c r="C34" s="536"/>
      <c r="D34" s="536"/>
      <c r="E34" s="536">
        <v>1280</v>
      </c>
      <c r="F34" s="536"/>
      <c r="G34" s="543">
        <f t="shared" si="0"/>
        <v>1280</v>
      </c>
      <c r="H34" s="544">
        <f t="shared" si="0"/>
        <v>0</v>
      </c>
    </row>
    <row r="35" spans="1:10" x14ac:dyDescent="0.25">
      <c r="A35" s="527">
        <v>30</v>
      </c>
      <c r="B35" s="526" t="s">
        <v>896</v>
      </c>
      <c r="C35" s="536"/>
      <c r="D35" s="536"/>
      <c r="E35" s="536"/>
      <c r="F35" s="536"/>
      <c r="G35" s="543">
        <f t="shared" si="0"/>
        <v>0</v>
      </c>
      <c r="H35" s="544">
        <f t="shared" si="0"/>
        <v>0</v>
      </c>
    </row>
    <row r="36" spans="1:10" x14ac:dyDescent="0.25">
      <c r="A36" s="527">
        <v>31</v>
      </c>
      <c r="B36" s="526" t="s">
        <v>897</v>
      </c>
      <c r="C36" s="536">
        <v>339.64</v>
      </c>
      <c r="D36" s="536"/>
      <c r="E36" s="536">
        <v>1054.8800000000001</v>
      </c>
      <c r="F36" s="536"/>
      <c r="G36" s="543">
        <f t="shared" si="0"/>
        <v>715.24000000000012</v>
      </c>
      <c r="H36" s="544">
        <f t="shared" si="0"/>
        <v>0</v>
      </c>
    </row>
    <row r="37" spans="1:10" x14ac:dyDescent="0.25">
      <c r="A37" s="21">
        <v>32</v>
      </c>
      <c r="B37" s="238" t="s">
        <v>921</v>
      </c>
      <c r="C37" s="542">
        <f>SUM(C38:C43)</f>
        <v>285564.02</v>
      </c>
      <c r="D37" s="542">
        <f>SUM(D38:D43)</f>
        <v>0</v>
      </c>
      <c r="E37" s="542">
        <f>SUM(E38:E43)</f>
        <v>256669.4</v>
      </c>
      <c r="F37" s="542">
        <f>SUM(F38:F43)</f>
        <v>0</v>
      </c>
      <c r="G37" s="540">
        <f t="shared" si="0"/>
        <v>-28894.620000000024</v>
      </c>
      <c r="H37" s="541">
        <f t="shared" si="0"/>
        <v>0</v>
      </c>
      <c r="I37" s="715" t="s">
        <v>1034</v>
      </c>
    </row>
    <row r="38" spans="1:10" x14ac:dyDescent="0.25">
      <c r="A38" s="21">
        <f t="shared" si="1"/>
        <v>33</v>
      </c>
      <c r="B38" s="235" t="s">
        <v>671</v>
      </c>
      <c r="C38" s="536">
        <v>172191.35999999999</v>
      </c>
      <c r="D38" s="536"/>
      <c r="E38" s="536">
        <v>188962.32</v>
      </c>
      <c r="F38" s="536"/>
      <c r="G38" s="540">
        <f t="shared" si="0"/>
        <v>16770.960000000021</v>
      </c>
      <c r="H38" s="541">
        <f t="shared" si="0"/>
        <v>0</v>
      </c>
    </row>
    <row r="39" spans="1:10" x14ac:dyDescent="0.25">
      <c r="A39" s="21">
        <f t="shared" si="1"/>
        <v>34</v>
      </c>
      <c r="B39" s="235" t="s">
        <v>666</v>
      </c>
      <c r="C39" s="536">
        <v>92136.66</v>
      </c>
      <c r="D39" s="536"/>
      <c r="E39" s="536">
        <v>44061.5</v>
      </c>
      <c r="F39" s="536"/>
      <c r="G39" s="540">
        <f t="shared" si="0"/>
        <v>-48075.16</v>
      </c>
      <c r="H39" s="541">
        <f t="shared" si="0"/>
        <v>0</v>
      </c>
    </row>
    <row r="40" spans="1:10" x14ac:dyDescent="0.25">
      <c r="A40" s="21">
        <f t="shared" si="1"/>
        <v>35</v>
      </c>
      <c r="B40" s="235" t="s">
        <v>667</v>
      </c>
      <c r="C40" s="536">
        <v>6635</v>
      </c>
      <c r="D40" s="536"/>
      <c r="E40" s="536">
        <v>9654</v>
      </c>
      <c r="F40" s="536"/>
      <c r="G40" s="540">
        <f t="shared" si="0"/>
        <v>3019</v>
      </c>
      <c r="H40" s="541">
        <f t="shared" si="0"/>
        <v>0</v>
      </c>
    </row>
    <row r="41" spans="1:10" x14ac:dyDescent="0.25">
      <c r="A41" s="21">
        <f t="shared" si="1"/>
        <v>36</v>
      </c>
      <c r="B41" s="235" t="s">
        <v>668</v>
      </c>
      <c r="C41" s="536">
        <v>12744</v>
      </c>
      <c r="D41" s="536"/>
      <c r="E41" s="536">
        <v>13086.58</v>
      </c>
      <c r="F41" s="536"/>
      <c r="G41" s="540">
        <f t="shared" si="0"/>
        <v>342.57999999999993</v>
      </c>
      <c r="H41" s="541">
        <f t="shared" si="0"/>
        <v>0</v>
      </c>
    </row>
    <row r="42" spans="1:10" x14ac:dyDescent="0.25">
      <c r="A42" s="21">
        <f t="shared" si="1"/>
        <v>37</v>
      </c>
      <c r="B42" s="235" t="s">
        <v>669</v>
      </c>
      <c r="C42" s="536">
        <v>1857</v>
      </c>
      <c r="D42" s="536"/>
      <c r="E42" s="536">
        <v>905</v>
      </c>
      <c r="F42" s="536"/>
      <c r="G42" s="540">
        <f t="shared" si="0"/>
        <v>-952</v>
      </c>
      <c r="H42" s="541">
        <f t="shared" si="0"/>
        <v>0</v>
      </c>
    </row>
    <row r="43" spans="1:10" ht="15.75" customHeight="1" x14ac:dyDescent="0.25">
      <c r="A43" s="21">
        <f t="shared" si="1"/>
        <v>38</v>
      </c>
      <c r="B43" s="235" t="s">
        <v>670</v>
      </c>
      <c r="C43" s="536">
        <v>0</v>
      </c>
      <c r="D43" s="536"/>
      <c r="E43" s="536">
        <v>0</v>
      </c>
      <c r="F43" s="536"/>
      <c r="G43" s="540">
        <f t="shared" si="0"/>
        <v>0</v>
      </c>
      <c r="H43" s="541">
        <f t="shared" si="0"/>
        <v>0</v>
      </c>
    </row>
    <row r="44" spans="1:10" ht="15.75" customHeight="1" x14ac:dyDescent="0.25">
      <c r="A44" s="21">
        <f t="shared" si="1"/>
        <v>39</v>
      </c>
      <c r="B44" s="523" t="s">
        <v>922</v>
      </c>
      <c r="C44" s="536">
        <v>12370.53</v>
      </c>
      <c r="D44" s="536"/>
      <c r="E44" s="536">
        <v>1786.13</v>
      </c>
      <c r="F44" s="536"/>
      <c r="G44" s="540">
        <f t="shared" si="0"/>
        <v>-10584.400000000001</v>
      </c>
      <c r="H44" s="541">
        <f t="shared" si="0"/>
        <v>0</v>
      </c>
      <c r="I44" s="207"/>
    </row>
    <row r="45" spans="1:10" ht="15.75" customHeight="1" x14ac:dyDescent="0.25">
      <c r="A45" s="527">
        <v>40</v>
      </c>
      <c r="B45" s="526" t="s">
        <v>891</v>
      </c>
      <c r="C45" s="536">
        <v>0</v>
      </c>
      <c r="D45" s="536"/>
      <c r="E45" s="536">
        <v>0</v>
      </c>
      <c r="F45" s="536"/>
      <c r="G45" s="543">
        <f t="shared" ref="G45" si="3">E45-C45</f>
        <v>0</v>
      </c>
      <c r="H45" s="544">
        <f t="shared" ref="H45" si="4">F45-D45</f>
        <v>0</v>
      </c>
      <c r="I45" s="207"/>
    </row>
    <row r="46" spans="1:10" s="783" customFormat="1" ht="117.75" customHeight="1" x14ac:dyDescent="0.3">
      <c r="A46" s="777">
        <v>41</v>
      </c>
      <c r="B46" s="778" t="s">
        <v>900</v>
      </c>
      <c r="C46" s="779">
        <f>SUM(C47:C56)</f>
        <v>1863577.11</v>
      </c>
      <c r="D46" s="779">
        <f>SUM(D47:D56)</f>
        <v>654.44000000000005</v>
      </c>
      <c r="E46" s="779">
        <f>SUM(E47:E56)</f>
        <v>2461267.6100000003</v>
      </c>
      <c r="F46" s="779">
        <f>SUM(F47:F56)</f>
        <v>7.18</v>
      </c>
      <c r="G46" s="780">
        <f t="shared" si="0"/>
        <v>597690.50000000023</v>
      </c>
      <c r="H46" s="781">
        <f t="shared" si="0"/>
        <v>-647.2600000000001</v>
      </c>
      <c r="I46" s="785" t="s">
        <v>1107</v>
      </c>
      <c r="J46" s="782">
        <f>E75+E46-1825</f>
        <v>8494211.5</v>
      </c>
    </row>
    <row r="47" spans="1:10" x14ac:dyDescent="0.25">
      <c r="A47" s="21">
        <f t="shared" si="1"/>
        <v>42</v>
      </c>
      <c r="B47" s="235" t="s">
        <v>672</v>
      </c>
      <c r="C47" s="536">
        <f>1825+39078.01</f>
        <v>40903.01</v>
      </c>
      <c r="D47" s="536"/>
      <c r="E47" s="536">
        <f>131033.13</f>
        <v>131033.13</v>
      </c>
      <c r="F47" s="536"/>
      <c r="G47" s="540">
        <f t="shared" si="0"/>
        <v>90130.12</v>
      </c>
      <c r="H47" s="541">
        <f t="shared" si="0"/>
        <v>0</v>
      </c>
      <c r="I47" s="1">
        <f>39078.01+1825</f>
        <v>40903.01</v>
      </c>
    </row>
    <row r="48" spans="1:10" x14ac:dyDescent="0.25">
      <c r="A48" s="21">
        <f t="shared" si="1"/>
        <v>43</v>
      </c>
      <c r="B48" s="235" t="s">
        <v>673</v>
      </c>
      <c r="C48" s="536"/>
      <c r="D48" s="536"/>
      <c r="E48" s="536"/>
      <c r="F48" s="536"/>
      <c r="G48" s="540">
        <f t="shared" si="0"/>
        <v>0</v>
      </c>
      <c r="H48" s="541">
        <f t="shared" si="0"/>
        <v>0</v>
      </c>
    </row>
    <row r="49" spans="1:9" x14ac:dyDescent="0.25">
      <c r="A49" s="21">
        <f t="shared" si="1"/>
        <v>44</v>
      </c>
      <c r="B49" s="235" t="s">
        <v>35</v>
      </c>
      <c r="C49" s="536"/>
      <c r="D49" s="536"/>
      <c r="E49" s="536"/>
      <c r="F49" s="536"/>
      <c r="G49" s="540">
        <f t="shared" si="0"/>
        <v>0</v>
      </c>
      <c r="H49" s="541">
        <f t="shared" si="0"/>
        <v>0</v>
      </c>
    </row>
    <row r="50" spans="1:9" x14ac:dyDescent="0.25">
      <c r="A50" s="21">
        <f t="shared" si="1"/>
        <v>45</v>
      </c>
      <c r="B50" s="235" t="s">
        <v>36</v>
      </c>
      <c r="C50" s="536"/>
      <c r="D50" s="536"/>
      <c r="E50" s="536"/>
      <c r="F50" s="536"/>
      <c r="G50" s="540">
        <f t="shared" si="0"/>
        <v>0</v>
      </c>
      <c r="H50" s="541">
        <f t="shared" si="0"/>
        <v>0</v>
      </c>
      <c r="I50" s="723">
        <f>C46-1825</f>
        <v>1861752.11</v>
      </c>
    </row>
    <row r="51" spans="1:9" x14ac:dyDescent="0.25">
      <c r="A51" s="21">
        <f t="shared" si="1"/>
        <v>46</v>
      </c>
      <c r="B51" s="235" t="s">
        <v>37</v>
      </c>
      <c r="C51" s="536"/>
      <c r="D51" s="536"/>
      <c r="E51" s="536"/>
      <c r="F51" s="536"/>
      <c r="G51" s="540">
        <f t="shared" si="0"/>
        <v>0</v>
      </c>
      <c r="H51" s="541">
        <f t="shared" si="0"/>
        <v>0</v>
      </c>
      <c r="I51" s="723">
        <v>-4589104.2300000004</v>
      </c>
    </row>
    <row r="52" spans="1:9" x14ac:dyDescent="0.25">
      <c r="A52" s="21">
        <f t="shared" si="1"/>
        <v>47</v>
      </c>
      <c r="B52" s="235" t="s">
        <v>674</v>
      </c>
      <c r="C52" s="536">
        <v>1604181.56</v>
      </c>
      <c r="D52" s="536"/>
      <c r="E52" s="536">
        <v>2015900.78</v>
      </c>
      <c r="F52" s="536"/>
      <c r="G52" s="540">
        <f t="shared" si="0"/>
        <v>411719.22</v>
      </c>
      <c r="H52" s="541">
        <f t="shared" si="0"/>
        <v>0</v>
      </c>
      <c r="I52" s="723">
        <f>SUM(I50:I51)</f>
        <v>-2727352.12</v>
      </c>
    </row>
    <row r="53" spans="1:9" ht="15.75" customHeight="1" x14ac:dyDescent="0.25">
      <c r="A53" s="21">
        <f t="shared" si="1"/>
        <v>48</v>
      </c>
      <c r="B53" s="248" t="s">
        <v>675</v>
      </c>
      <c r="C53" s="536"/>
      <c r="D53" s="536"/>
      <c r="E53" s="536"/>
      <c r="F53" s="536"/>
      <c r="G53" s="540">
        <f t="shared" si="0"/>
        <v>0</v>
      </c>
      <c r="H53" s="541">
        <f t="shared" si="0"/>
        <v>0</v>
      </c>
    </row>
    <row r="54" spans="1:9" x14ac:dyDescent="0.25">
      <c r="A54" s="21">
        <f t="shared" si="1"/>
        <v>49</v>
      </c>
      <c r="B54" s="235" t="s">
        <v>38</v>
      </c>
      <c r="C54" s="536"/>
      <c r="D54" s="536"/>
      <c r="E54" s="536">
        <v>29.46</v>
      </c>
      <c r="F54" s="536"/>
      <c r="G54" s="540">
        <f t="shared" si="0"/>
        <v>29.46</v>
      </c>
      <c r="H54" s="541">
        <f t="shared" si="0"/>
        <v>0</v>
      </c>
    </row>
    <row r="55" spans="1:9" x14ac:dyDescent="0.25">
      <c r="A55" s="21">
        <f t="shared" si="1"/>
        <v>50</v>
      </c>
      <c r="B55" s="235" t="s">
        <v>676</v>
      </c>
      <c r="C55" s="536">
        <v>795</v>
      </c>
      <c r="D55" s="536"/>
      <c r="E55" s="536">
        <v>3175</v>
      </c>
      <c r="F55" s="536"/>
      <c r="G55" s="540">
        <f t="shared" si="0"/>
        <v>2380</v>
      </c>
      <c r="H55" s="541">
        <f t="shared" si="0"/>
        <v>0</v>
      </c>
    </row>
    <row r="56" spans="1:9" ht="15.75" customHeight="1" x14ac:dyDescent="0.25">
      <c r="A56" s="21">
        <f t="shared" si="1"/>
        <v>51</v>
      </c>
      <c r="B56" s="235" t="s">
        <v>909</v>
      </c>
      <c r="C56" s="536">
        <f>1918+215779.66-0.12</f>
        <v>217697.54</v>
      </c>
      <c r="D56" s="536">
        <v>654.44000000000005</v>
      </c>
      <c r="E56" s="536">
        <v>311129.24</v>
      </c>
      <c r="F56" s="536">
        <v>7.18</v>
      </c>
      <c r="G56" s="540">
        <f t="shared" si="0"/>
        <v>93431.699999999983</v>
      </c>
      <c r="H56" s="541">
        <f t="shared" si="0"/>
        <v>-647.2600000000001</v>
      </c>
      <c r="I56" s="172"/>
    </row>
    <row r="57" spans="1:9" ht="15.75" customHeight="1" x14ac:dyDescent="0.25">
      <c r="A57" s="21">
        <f t="shared" si="1"/>
        <v>52</v>
      </c>
      <c r="B57" s="247" t="s">
        <v>161</v>
      </c>
      <c r="C57" s="536">
        <v>217162.3</v>
      </c>
      <c r="D57" s="536"/>
      <c r="E57" s="536">
        <v>16510</v>
      </c>
      <c r="F57" s="536"/>
      <c r="G57" s="540">
        <f t="shared" si="0"/>
        <v>-200652.3</v>
      </c>
      <c r="H57" s="541">
        <f t="shared" si="0"/>
        <v>0</v>
      </c>
    </row>
    <row r="58" spans="1:9" ht="15.75" customHeight="1" x14ac:dyDescent="0.25">
      <c r="A58" s="21">
        <f t="shared" si="1"/>
        <v>53</v>
      </c>
      <c r="B58" s="247" t="s">
        <v>49</v>
      </c>
      <c r="C58" s="536"/>
      <c r="D58" s="536"/>
      <c r="E58" s="536"/>
      <c r="F58" s="536"/>
      <c r="G58" s="540">
        <f t="shared" si="0"/>
        <v>0</v>
      </c>
      <c r="H58" s="541">
        <f t="shared" si="0"/>
        <v>0</v>
      </c>
    </row>
    <row r="59" spans="1:9" ht="15.75" customHeight="1" x14ac:dyDescent="0.25">
      <c r="A59" s="21">
        <f t="shared" si="1"/>
        <v>54</v>
      </c>
      <c r="B59" s="247" t="s">
        <v>48</v>
      </c>
      <c r="C59" s="536"/>
      <c r="D59" s="536"/>
      <c r="E59" s="536"/>
      <c r="F59" s="536"/>
      <c r="G59" s="540">
        <f t="shared" si="0"/>
        <v>0</v>
      </c>
      <c r="H59" s="541">
        <f t="shared" si="0"/>
        <v>0</v>
      </c>
    </row>
    <row r="60" spans="1:9" ht="15.75" customHeight="1" x14ac:dyDescent="0.25">
      <c r="A60" s="21">
        <f t="shared" si="1"/>
        <v>55</v>
      </c>
      <c r="B60" s="247" t="s">
        <v>149</v>
      </c>
      <c r="C60" s="536"/>
      <c r="D60" s="536"/>
      <c r="E60" s="536">
        <v>86.1</v>
      </c>
      <c r="F60" s="536"/>
      <c r="G60" s="540">
        <f t="shared" si="0"/>
        <v>86.1</v>
      </c>
      <c r="H60" s="541">
        <f t="shared" si="0"/>
        <v>0</v>
      </c>
    </row>
    <row r="61" spans="1:9" ht="15.75" customHeight="1" x14ac:dyDescent="0.25">
      <c r="A61" s="21">
        <f t="shared" si="1"/>
        <v>56</v>
      </c>
      <c r="B61" s="247" t="s">
        <v>677</v>
      </c>
      <c r="C61" s="536"/>
      <c r="D61" s="536"/>
      <c r="E61" s="536"/>
      <c r="F61" s="536"/>
      <c r="G61" s="540">
        <f t="shared" si="0"/>
        <v>0</v>
      </c>
      <c r="H61" s="541">
        <f t="shared" si="0"/>
        <v>0</v>
      </c>
    </row>
    <row r="62" spans="1:9" ht="18.75" customHeight="1" x14ac:dyDescent="0.25">
      <c r="A62" s="21">
        <f t="shared" si="1"/>
        <v>57</v>
      </c>
      <c r="B62" s="245" t="s">
        <v>901</v>
      </c>
      <c r="C62" s="545">
        <f>SUM(C63:C67)</f>
        <v>2259082.88</v>
      </c>
      <c r="D62" s="545">
        <f>SUM(D63:D67)</f>
        <v>10420.65</v>
      </c>
      <c r="E62" s="545">
        <f>SUM(E63:E67)</f>
        <v>3922392.54</v>
      </c>
      <c r="F62" s="545">
        <f>SUM(F63:F67)</f>
        <v>21942.32</v>
      </c>
      <c r="G62" s="540">
        <f t="shared" si="0"/>
        <v>1663309.6600000001</v>
      </c>
      <c r="H62" s="541">
        <f t="shared" si="0"/>
        <v>11521.67</v>
      </c>
      <c r="I62" s="172"/>
    </row>
    <row r="63" spans="1:9" ht="15.75" customHeight="1" x14ac:dyDescent="0.25">
      <c r="A63" s="21">
        <f t="shared" si="1"/>
        <v>58</v>
      </c>
      <c r="B63" s="235" t="s">
        <v>96</v>
      </c>
      <c r="C63" s="536">
        <v>2170009.98</v>
      </c>
      <c r="D63" s="538">
        <v>10420.65</v>
      </c>
      <c r="E63" s="536">
        <v>3858565.54</v>
      </c>
      <c r="F63" s="538">
        <v>21942.32</v>
      </c>
      <c r="G63" s="540">
        <f t="shared" si="0"/>
        <v>1688555.56</v>
      </c>
      <c r="H63" s="541" t="s">
        <v>140</v>
      </c>
    </row>
    <row r="64" spans="1:9" ht="15.75" customHeight="1" x14ac:dyDescent="0.25">
      <c r="A64" s="21">
        <f t="shared" si="1"/>
        <v>59</v>
      </c>
      <c r="B64" s="235" t="s">
        <v>39</v>
      </c>
      <c r="C64" s="536">
        <v>89072.9</v>
      </c>
      <c r="D64" s="538" t="s">
        <v>140</v>
      </c>
      <c r="E64" s="536">
        <v>63827</v>
      </c>
      <c r="F64" s="538" t="s">
        <v>140</v>
      </c>
      <c r="G64" s="540">
        <f t="shared" si="0"/>
        <v>-25245.899999999994</v>
      </c>
      <c r="H64" s="541" t="s">
        <v>140</v>
      </c>
    </row>
    <row r="65" spans="1:9" ht="15.75" customHeight="1" x14ac:dyDescent="0.25">
      <c r="A65" s="21">
        <f t="shared" si="1"/>
        <v>60</v>
      </c>
      <c r="B65" s="235" t="s">
        <v>678</v>
      </c>
      <c r="C65" s="536"/>
      <c r="D65" s="538" t="s">
        <v>140</v>
      </c>
      <c r="E65" s="536"/>
      <c r="F65" s="538" t="s">
        <v>140</v>
      </c>
      <c r="G65" s="540">
        <f t="shared" si="0"/>
        <v>0</v>
      </c>
      <c r="H65" s="541" t="s">
        <v>140</v>
      </c>
    </row>
    <row r="66" spans="1:9" ht="15.75" customHeight="1" x14ac:dyDescent="0.25">
      <c r="A66" s="21">
        <f t="shared" si="1"/>
        <v>61</v>
      </c>
      <c r="B66" s="235" t="s">
        <v>549</v>
      </c>
      <c r="C66" s="536"/>
      <c r="D66" s="538" t="s">
        <v>140</v>
      </c>
      <c r="E66" s="536"/>
      <c r="F66" s="538" t="s">
        <v>140</v>
      </c>
      <c r="G66" s="540">
        <f t="shared" si="0"/>
        <v>0</v>
      </c>
      <c r="H66" s="541" t="s">
        <v>140</v>
      </c>
    </row>
    <row r="67" spans="1:9" ht="15.75" customHeight="1" x14ac:dyDescent="0.25">
      <c r="A67" s="21">
        <f t="shared" si="1"/>
        <v>62</v>
      </c>
      <c r="B67" s="523" t="s">
        <v>910</v>
      </c>
      <c r="C67" s="536"/>
      <c r="D67" s="538" t="s">
        <v>140</v>
      </c>
      <c r="E67" s="536"/>
      <c r="F67" s="538" t="s">
        <v>140</v>
      </c>
      <c r="G67" s="540">
        <f t="shared" si="0"/>
        <v>0</v>
      </c>
      <c r="H67" s="541" t="s">
        <v>140</v>
      </c>
    </row>
    <row r="68" spans="1:9" x14ac:dyDescent="0.25">
      <c r="A68" s="21">
        <f t="shared" si="1"/>
        <v>63</v>
      </c>
      <c r="B68" s="247" t="s">
        <v>162</v>
      </c>
      <c r="C68" s="536"/>
      <c r="D68" s="536"/>
      <c r="E68" s="536"/>
      <c r="F68" s="536"/>
      <c r="G68" s="540">
        <f t="shared" si="0"/>
        <v>0</v>
      </c>
      <c r="H68" s="541">
        <f t="shared" si="0"/>
        <v>0</v>
      </c>
    </row>
    <row r="69" spans="1:9" x14ac:dyDescent="0.25">
      <c r="A69" s="21">
        <f t="shared" si="1"/>
        <v>64</v>
      </c>
      <c r="B69" s="247" t="s">
        <v>679</v>
      </c>
      <c r="C69" s="536"/>
      <c r="D69" s="536">
        <v>120391.09</v>
      </c>
      <c r="E69" s="536"/>
      <c r="F69" s="536">
        <v>138157.54</v>
      </c>
      <c r="G69" s="540">
        <f t="shared" si="0"/>
        <v>0</v>
      </c>
      <c r="H69" s="541">
        <f t="shared" si="0"/>
        <v>17766.450000000012</v>
      </c>
    </row>
    <row r="70" spans="1:9" x14ac:dyDescent="0.25">
      <c r="A70" s="527">
        <v>65</v>
      </c>
      <c r="B70" s="529" t="s">
        <v>887</v>
      </c>
      <c r="C70" s="536"/>
      <c r="D70" s="536"/>
      <c r="E70" s="536"/>
      <c r="F70" s="536"/>
      <c r="G70" s="543">
        <f t="shared" si="0"/>
        <v>0</v>
      </c>
      <c r="H70" s="544">
        <f t="shared" si="0"/>
        <v>0</v>
      </c>
    </row>
    <row r="71" spans="1:9" x14ac:dyDescent="0.25">
      <c r="A71" s="21">
        <v>66</v>
      </c>
      <c r="B71" s="249" t="s">
        <v>50</v>
      </c>
      <c r="C71" s="536">
        <v>60477.62</v>
      </c>
      <c r="D71" s="536"/>
      <c r="E71" s="536">
        <v>28449.06</v>
      </c>
      <c r="F71" s="536"/>
      <c r="G71" s="540">
        <f t="shared" si="0"/>
        <v>-32028.560000000001</v>
      </c>
      <c r="H71" s="541">
        <f t="shared" si="0"/>
        <v>0</v>
      </c>
      <c r="I71" s="110"/>
    </row>
    <row r="72" spans="1:9" x14ac:dyDescent="0.25">
      <c r="A72" s="21">
        <v>67</v>
      </c>
      <c r="B72" s="249" t="s">
        <v>680</v>
      </c>
      <c r="C72" s="536"/>
      <c r="D72" s="536"/>
      <c r="E72" s="536"/>
      <c r="F72" s="536"/>
      <c r="G72" s="540">
        <f t="shared" si="0"/>
        <v>0</v>
      </c>
      <c r="H72" s="541">
        <f t="shared" si="0"/>
        <v>0</v>
      </c>
      <c r="I72" s="110"/>
    </row>
    <row r="73" spans="1:9" x14ac:dyDescent="0.25">
      <c r="A73" s="21">
        <v>68</v>
      </c>
      <c r="B73" s="250" t="s">
        <v>521</v>
      </c>
      <c r="C73" s="536"/>
      <c r="D73" s="536"/>
      <c r="E73" s="536"/>
      <c r="F73" s="536"/>
      <c r="G73" s="540">
        <f>E73-C73</f>
        <v>0</v>
      </c>
      <c r="H73" s="541">
        <f t="shared" si="0"/>
        <v>0</v>
      </c>
      <c r="I73" s="110"/>
    </row>
    <row r="74" spans="1:9" x14ac:dyDescent="0.25">
      <c r="A74" s="21">
        <v>69</v>
      </c>
      <c r="B74" s="250" t="s">
        <v>613</v>
      </c>
      <c r="C74" s="536"/>
      <c r="D74" s="536"/>
      <c r="E74" s="536"/>
      <c r="F74" s="536"/>
      <c r="G74" s="540">
        <f>E74-C74</f>
        <v>0</v>
      </c>
      <c r="H74" s="541">
        <f t="shared" si="0"/>
        <v>0</v>
      </c>
      <c r="I74" s="172"/>
    </row>
    <row r="75" spans="1:9" x14ac:dyDescent="0.25">
      <c r="A75" s="21">
        <v>70</v>
      </c>
      <c r="B75" s="249" t="s">
        <v>614</v>
      </c>
      <c r="C75" s="536">
        <f>4589104.23-14983.85</f>
        <v>4574120.3800000008</v>
      </c>
      <c r="D75" s="536">
        <v>71140.61</v>
      </c>
      <c r="E75" s="536">
        <v>6034768.8899999997</v>
      </c>
      <c r="F75" s="536">
        <v>69715.839999999997</v>
      </c>
      <c r="G75" s="540">
        <f>E75-C75</f>
        <v>1460648.5099999988</v>
      </c>
      <c r="H75" s="541">
        <f t="shared" si="0"/>
        <v>-1424.7700000000041</v>
      </c>
      <c r="I75" s="224"/>
    </row>
    <row r="76" spans="1:9" x14ac:dyDescent="0.25">
      <c r="A76" s="21">
        <v>71</v>
      </c>
      <c r="B76" s="247" t="s">
        <v>51</v>
      </c>
      <c r="C76" s="536">
        <v>52938244.049999997</v>
      </c>
      <c r="D76" s="536">
        <v>0</v>
      </c>
      <c r="E76" s="536">
        <v>60931622.490000002</v>
      </c>
      <c r="F76" s="536"/>
      <c r="G76" s="540">
        <f t="shared" si="0"/>
        <v>7993378.4400000051</v>
      </c>
      <c r="H76" s="541">
        <f t="shared" si="0"/>
        <v>0</v>
      </c>
    </row>
    <row r="77" spans="1:9" x14ac:dyDescent="0.25">
      <c r="A77" s="21">
        <v>72</v>
      </c>
      <c r="B77" s="251" t="s">
        <v>133</v>
      </c>
      <c r="C77" s="546"/>
      <c r="D77" s="546"/>
      <c r="E77" s="546"/>
      <c r="F77" s="546"/>
      <c r="G77" s="540">
        <f t="shared" si="0"/>
        <v>0</v>
      </c>
      <c r="H77" s="541">
        <f t="shared" si="0"/>
        <v>0</v>
      </c>
    </row>
    <row r="78" spans="1:9" x14ac:dyDescent="0.25">
      <c r="A78" s="21">
        <v>73</v>
      </c>
      <c r="B78" s="251" t="s">
        <v>57</v>
      </c>
      <c r="C78" s="539">
        <v>940398.02</v>
      </c>
      <c r="D78" s="539"/>
      <c r="E78" s="539">
        <v>853146.99</v>
      </c>
      <c r="F78" s="539"/>
      <c r="G78" s="540">
        <f t="shared" si="0"/>
        <v>-87251.030000000028</v>
      </c>
      <c r="H78" s="541">
        <f t="shared" si="0"/>
        <v>0</v>
      </c>
      <c r="I78" s="172"/>
    </row>
    <row r="79" spans="1:9" s="57" customFormat="1" ht="49.5" customHeight="1" thickBot="1" x14ac:dyDescent="0.3">
      <c r="A79" s="21">
        <v>74</v>
      </c>
      <c r="B79" s="528" t="s">
        <v>923</v>
      </c>
      <c r="C79" s="174">
        <f t="shared" ref="C79:D79" si="5">C6+C11+C16+C17+C18+C19+C20+C21+C24+C25+C37+C44+C45+C46+C57+C58+C59+C60+C61+C62+C68+C69+C70+C71+C72+C73+C74+C75+C76</f>
        <v>78617639.269999996</v>
      </c>
      <c r="D79" s="174">
        <f t="shared" si="5"/>
        <v>1523535.1800000002</v>
      </c>
      <c r="E79" s="174">
        <f>E6+E11+E16+E17+E18+E19+E20+E21+E24+E25+E37+E44+E45+E46+E57+E58+E59+E60+E61+E62+E68+E69+E70+E71+E72+E73+E74+E75+E76</f>
        <v>90612048.230000004</v>
      </c>
      <c r="F79" s="174">
        <f>F6+F11+F16+F17+F18+F19+F20+F21+F24+F25+F37+F44+F45+F46+F57+F58+F59+F60+F61+F62+F68+F69+F70+F71+F72+F73+F74+F75+F76</f>
        <v>2096340.7700000003</v>
      </c>
      <c r="G79" s="174">
        <f t="shared" ref="G79:H79" si="6">G6+G11+G16+G17+G18+G19+G20+G21+G24+G25+G37+G44+G45+G46+G57+G58+G59+G60+G61+G62+G68+G69+G70+G71+G72+G73+G74+G76</f>
        <v>10533760.450000007</v>
      </c>
      <c r="H79" s="174">
        <f t="shared" si="6"/>
        <v>574230.3600000001</v>
      </c>
    </row>
    <row r="80" spans="1:9" ht="21" customHeight="1" x14ac:dyDescent="0.25">
      <c r="B80" s="3"/>
      <c r="C80" s="547"/>
      <c r="D80" s="548">
        <f>C79+D79</f>
        <v>80141174.450000003</v>
      </c>
      <c r="E80" s="725"/>
      <c r="F80" s="548">
        <f>E79+F79</f>
        <v>92708389</v>
      </c>
      <c r="G80" s="547"/>
      <c r="H80" s="547"/>
      <c r="I80" s="170" t="s">
        <v>515</v>
      </c>
    </row>
    <row r="81" spans="1:9" ht="15.75" customHeight="1" x14ac:dyDescent="0.25">
      <c r="A81" s="798" t="s">
        <v>916</v>
      </c>
      <c r="B81" s="799"/>
      <c r="C81" s="799"/>
      <c r="D81" s="799"/>
      <c r="E81" s="799"/>
      <c r="F81" s="799"/>
      <c r="G81" s="799"/>
      <c r="H81" s="800"/>
      <c r="I81" s="172"/>
    </row>
    <row r="82" spans="1:9" ht="15.75" customHeight="1" x14ac:dyDescent="0.25">
      <c r="A82" s="801" t="s">
        <v>758</v>
      </c>
      <c r="B82" s="802"/>
      <c r="C82" s="802"/>
      <c r="D82" s="802"/>
      <c r="E82" s="802"/>
      <c r="F82" s="802"/>
      <c r="G82" s="802"/>
      <c r="H82" s="803"/>
      <c r="I82" s="110"/>
    </row>
    <row r="84" spans="1:9" x14ac:dyDescent="0.25">
      <c r="C84" s="730"/>
      <c r="D84" s="730"/>
      <c r="H84" s="209" t="s">
        <v>1084</v>
      </c>
      <c r="I84" s="210"/>
    </row>
    <row r="85" spans="1:9" ht="18.75" customHeight="1" x14ac:dyDescent="0.25">
      <c r="C85" s="731"/>
      <c r="D85" s="731"/>
      <c r="F85" s="724"/>
      <c r="H85" s="217" t="s">
        <v>1085</v>
      </c>
      <c r="I85" s="210"/>
    </row>
    <row r="86" spans="1:9" x14ac:dyDescent="0.25">
      <c r="H86" s="730" t="s">
        <v>1104</v>
      </c>
    </row>
  </sheetData>
  <mergeCells count="9">
    <mergeCell ref="A81:H81"/>
    <mergeCell ref="A82:H82"/>
    <mergeCell ref="A1:H1"/>
    <mergeCell ref="A2:H2"/>
    <mergeCell ref="A3:A4"/>
    <mergeCell ref="B3:B4"/>
    <mergeCell ref="C3:D3"/>
    <mergeCell ref="E3:F3"/>
    <mergeCell ref="G3:H3"/>
  </mergeCells>
  <printOptions gridLines="1"/>
  <pageMargins left="0.24" right="0.31496062992125984" top="0.43307086614173229" bottom="0.47244094488188981" header="0.39370078740157483" footer="0.23622047244094491"/>
  <pageSetup paperSize="9" scale="48" fitToWidth="2" fitToHeight="2" orientation="landscape" r:id="rId1"/>
  <headerFooter alignWithMargins="0">
    <oddFooter>&amp;C&amp;P z &amp;N</oddFooter>
  </headerFooter>
  <rowBreaks count="1" manualBreakCount="1">
    <brk id="4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opLeftCell="A7" zoomScaleNormal="100" workbookViewId="0">
      <selection activeCell="G34" sqref="G34"/>
    </sheetView>
  </sheetViews>
  <sheetFormatPr defaultColWidth="9.140625" defaultRowHeight="15.75" x14ac:dyDescent="0.25"/>
  <cols>
    <col min="1" max="1" width="7.85546875" style="3" customWidth="1"/>
    <col min="2" max="2" width="98.28515625" style="5" customWidth="1"/>
    <col min="3" max="3" width="16.85546875" style="1" customWidth="1"/>
    <col min="4" max="4" width="17.28515625" style="1" customWidth="1"/>
    <col min="5" max="6" width="9.140625" style="1"/>
    <col min="7" max="7" width="9.140625" style="1" customWidth="1"/>
    <col min="8" max="16384" width="9.140625" style="1"/>
  </cols>
  <sheetData>
    <row r="1" spans="1:7" s="259" customFormat="1" ht="45.75" customHeight="1" thickBot="1" x14ac:dyDescent="0.3">
      <c r="A1" s="792" t="s">
        <v>811</v>
      </c>
      <c r="B1" s="793"/>
      <c r="C1" s="793"/>
      <c r="D1" s="794"/>
    </row>
    <row r="2" spans="1:7" s="259" customFormat="1" ht="37.5" customHeight="1" x14ac:dyDescent="0.25">
      <c r="A2" s="813" t="s">
        <v>1056</v>
      </c>
      <c r="B2" s="814"/>
      <c r="C2" s="814"/>
      <c r="D2" s="815"/>
    </row>
    <row r="3" spans="1:7" s="260" customFormat="1" ht="31.5" x14ac:dyDescent="0.25">
      <c r="A3" s="520" t="s">
        <v>80</v>
      </c>
      <c r="B3" s="521" t="s">
        <v>153</v>
      </c>
      <c r="C3" s="521">
        <v>2022</v>
      </c>
      <c r="D3" s="263">
        <v>2023</v>
      </c>
    </row>
    <row r="4" spans="1:7" s="260" customFormat="1" x14ac:dyDescent="0.25">
      <c r="A4" s="520"/>
      <c r="B4" s="521"/>
      <c r="C4" s="521" t="s">
        <v>119</v>
      </c>
      <c r="D4" s="263" t="s">
        <v>120</v>
      </c>
      <c r="E4" s="264"/>
    </row>
    <row r="5" spans="1:7" x14ac:dyDescent="0.25">
      <c r="A5" s="21">
        <v>1</v>
      </c>
      <c r="B5" s="243" t="s">
        <v>898</v>
      </c>
      <c r="C5" s="552">
        <f>SUM(C6:C15)</f>
        <v>14376031.51</v>
      </c>
      <c r="D5" s="553">
        <f>SUM(D6:D15)</f>
        <v>14438759.530000001</v>
      </c>
      <c r="E5" s="154"/>
    </row>
    <row r="6" spans="1:7" x14ac:dyDescent="0.25">
      <c r="A6" s="21">
        <v>2</v>
      </c>
      <c r="B6" s="239" t="s">
        <v>681</v>
      </c>
      <c r="C6" s="530"/>
      <c r="D6" s="549"/>
      <c r="E6" s="8"/>
      <c r="G6" s="110"/>
    </row>
    <row r="7" spans="1:7" x14ac:dyDescent="0.25">
      <c r="A7" s="21">
        <v>3</v>
      </c>
      <c r="B7" s="239" t="s">
        <v>682</v>
      </c>
      <c r="C7" s="530">
        <v>274831.09999999998</v>
      </c>
      <c r="D7" s="549">
        <v>162195</v>
      </c>
      <c r="E7" s="8"/>
      <c r="G7" s="110"/>
    </row>
    <row r="8" spans="1:7" x14ac:dyDescent="0.25">
      <c r="A8" s="21">
        <v>4</v>
      </c>
      <c r="B8" s="239" t="s">
        <v>683</v>
      </c>
      <c r="C8" s="530">
        <v>13373320</v>
      </c>
      <c r="D8" s="549">
        <v>13595858.66</v>
      </c>
      <c r="E8" s="8"/>
      <c r="G8" s="110"/>
    </row>
    <row r="9" spans="1:7" x14ac:dyDescent="0.25">
      <c r="A9" s="21">
        <v>5</v>
      </c>
      <c r="B9" s="244" t="s">
        <v>684</v>
      </c>
      <c r="C9" s="530">
        <v>329337.25</v>
      </c>
      <c r="D9" s="549">
        <v>307232.39</v>
      </c>
      <c r="E9" s="8"/>
      <c r="G9" s="110"/>
    </row>
    <row r="10" spans="1:7" x14ac:dyDescent="0.25">
      <c r="A10" s="21">
        <v>6</v>
      </c>
      <c r="B10" s="526" t="s">
        <v>892</v>
      </c>
      <c r="C10" s="530">
        <v>397954.52</v>
      </c>
      <c r="D10" s="549">
        <v>370784.82</v>
      </c>
      <c r="E10" s="8"/>
      <c r="G10" s="110"/>
    </row>
    <row r="11" spans="1:7" x14ac:dyDescent="0.25">
      <c r="A11" s="21">
        <v>7</v>
      </c>
      <c r="B11" s="526" t="s">
        <v>893</v>
      </c>
      <c r="C11" s="530">
        <v>249</v>
      </c>
      <c r="D11" s="549">
        <v>353</v>
      </c>
      <c r="E11" s="8"/>
      <c r="G11" s="110"/>
    </row>
    <row r="12" spans="1:7" x14ac:dyDescent="0.25">
      <c r="A12" s="21">
        <v>8</v>
      </c>
      <c r="B12" s="526" t="s">
        <v>894</v>
      </c>
      <c r="C12" s="530">
        <v>0</v>
      </c>
      <c r="D12" s="549">
        <v>0.78</v>
      </c>
      <c r="E12" s="8"/>
      <c r="G12" s="110"/>
    </row>
    <row r="13" spans="1:7" x14ac:dyDescent="0.25">
      <c r="A13" s="21">
        <v>9</v>
      </c>
      <c r="B13" s="526" t="s">
        <v>895</v>
      </c>
      <c r="C13" s="530">
        <v>0</v>
      </c>
      <c r="D13" s="549">
        <v>1280</v>
      </c>
      <c r="E13" s="8"/>
      <c r="G13" s="110"/>
    </row>
    <row r="14" spans="1:7" x14ac:dyDescent="0.25">
      <c r="A14" s="21">
        <v>10</v>
      </c>
      <c r="B14" s="526" t="s">
        <v>896</v>
      </c>
      <c r="C14" s="530">
        <v>0</v>
      </c>
      <c r="D14" s="549">
        <v>0</v>
      </c>
      <c r="E14" s="8"/>
      <c r="G14" s="110"/>
    </row>
    <row r="15" spans="1:7" x14ac:dyDescent="0.25">
      <c r="A15" s="21">
        <v>11</v>
      </c>
      <c r="B15" s="526" t="s">
        <v>897</v>
      </c>
      <c r="C15" s="530">
        <v>339.64</v>
      </c>
      <c r="D15" s="549">
        <v>1054.8800000000001</v>
      </c>
      <c r="E15" s="8"/>
      <c r="G15" s="110"/>
    </row>
    <row r="16" spans="1:7" x14ac:dyDescent="0.25">
      <c r="A16" s="21">
        <v>12</v>
      </c>
      <c r="B16" s="241" t="s">
        <v>920</v>
      </c>
      <c r="C16" s="532">
        <f>SUM(C17:C22)</f>
        <v>285564.02</v>
      </c>
      <c r="D16" s="532">
        <f>SUM(D17:D22)</f>
        <v>256669.4</v>
      </c>
      <c r="F16" s="1" t="s">
        <v>1033</v>
      </c>
    </row>
    <row r="17" spans="1:5" x14ac:dyDescent="0.25">
      <c r="A17" s="21">
        <v>13</v>
      </c>
      <c r="B17" s="239" t="s">
        <v>537</v>
      </c>
      <c r="C17" s="530">
        <v>172191.35999999999</v>
      </c>
      <c r="D17" s="549">
        <v>188962.32</v>
      </c>
    </row>
    <row r="18" spans="1:5" x14ac:dyDescent="0.25">
      <c r="A18" s="21">
        <v>14</v>
      </c>
      <c r="B18" s="239" t="s">
        <v>538</v>
      </c>
      <c r="C18" s="530">
        <v>92136.66</v>
      </c>
      <c r="D18" s="549">
        <v>44061.5</v>
      </c>
    </row>
    <row r="19" spans="1:5" x14ac:dyDescent="0.25">
      <c r="A19" s="21">
        <v>15</v>
      </c>
      <c r="B19" s="239" t="s">
        <v>685</v>
      </c>
      <c r="C19" s="530">
        <v>6635</v>
      </c>
      <c r="D19" s="549">
        <v>9654</v>
      </c>
    </row>
    <row r="20" spans="1:5" x14ac:dyDescent="0.25">
      <c r="A20" s="21">
        <v>16</v>
      </c>
      <c r="B20" s="239" t="s">
        <v>539</v>
      </c>
      <c r="C20" s="530">
        <v>12744</v>
      </c>
      <c r="D20" s="549">
        <v>13086.58</v>
      </c>
    </row>
    <row r="21" spans="1:5" ht="31.5" x14ac:dyDescent="0.25">
      <c r="A21" s="21">
        <v>17</v>
      </c>
      <c r="B21" s="239" t="s">
        <v>540</v>
      </c>
      <c r="C21" s="530">
        <v>1857</v>
      </c>
      <c r="D21" s="549">
        <v>905</v>
      </c>
    </row>
    <row r="22" spans="1:5" x14ac:dyDescent="0.25">
      <c r="A22" s="21">
        <v>18</v>
      </c>
      <c r="B22" s="239" t="s">
        <v>686</v>
      </c>
      <c r="C22" s="530">
        <v>0</v>
      </c>
      <c r="D22" s="549">
        <v>0</v>
      </c>
    </row>
    <row r="23" spans="1:5" x14ac:dyDescent="0.25">
      <c r="A23" s="21">
        <v>19</v>
      </c>
      <c r="B23" s="526" t="s">
        <v>891</v>
      </c>
      <c r="C23" s="530">
        <v>0</v>
      </c>
      <c r="D23" s="549">
        <v>0</v>
      </c>
    </row>
    <row r="24" spans="1:5" x14ac:dyDescent="0.25">
      <c r="A24" s="21">
        <v>20</v>
      </c>
      <c r="B24" s="241" t="s">
        <v>99</v>
      </c>
      <c r="C24" s="532">
        <f>(C6+C7)*0.2</f>
        <v>54966.22</v>
      </c>
      <c r="D24" s="554">
        <f>(D6+D7)*0.2</f>
        <v>32439</v>
      </c>
    </row>
    <row r="25" spans="1:5" ht="16.5" thickBot="1" x14ac:dyDescent="0.3">
      <c r="A25" s="22">
        <v>21</v>
      </c>
      <c r="B25" s="265" t="s">
        <v>159</v>
      </c>
      <c r="C25" s="550">
        <v>85985.06</v>
      </c>
      <c r="D25" s="551">
        <v>50698.78</v>
      </c>
    </row>
    <row r="26" spans="1:5" x14ac:dyDescent="0.25">
      <c r="B26" s="7"/>
      <c r="E26" s="1" t="s">
        <v>1065</v>
      </c>
    </row>
    <row r="27" spans="1:5" x14ac:dyDescent="0.25">
      <c r="A27" s="145"/>
      <c r="B27" s="161"/>
    </row>
    <row r="28" spans="1:5" x14ac:dyDescent="0.25">
      <c r="B28" s="152"/>
    </row>
    <row r="29" spans="1:5" x14ac:dyDescent="0.25">
      <c r="B29" s="152"/>
    </row>
    <row r="30" spans="1:5" x14ac:dyDescent="0.25">
      <c r="B30" s="7"/>
    </row>
    <row r="31" spans="1:5" x14ac:dyDescent="0.25">
      <c r="B31" s="7"/>
    </row>
    <row r="32" spans="1:5" x14ac:dyDescent="0.25">
      <c r="B32" s="7"/>
    </row>
    <row r="33" spans="2:2" x14ac:dyDescent="0.25">
      <c r="B33" s="7"/>
    </row>
  </sheetData>
  <mergeCells count="2">
    <mergeCell ref="A1:D1"/>
    <mergeCell ref="A2:D2"/>
  </mergeCells>
  <pageMargins left="0.70866141732283472" right="0.2" top="0.74803149606299213" bottom="0.74803149606299213" header="0.31496062992125984" footer="0.31496062992125984"/>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4"/>
  <sheetViews>
    <sheetView zoomScaleNormal="100" zoomScaleSheetLayoutView="80" workbookViewId="0">
      <pane xSplit="2" ySplit="5" topLeftCell="D102" activePane="bottomRight" state="frozen"/>
      <selection sqref="A1:K1"/>
      <selection pane="topRight" sqref="A1:K1"/>
      <selection pane="bottomLeft" sqref="A1:K1"/>
      <selection pane="bottomRight" activeCell="D5" sqref="D5"/>
    </sheetView>
  </sheetViews>
  <sheetFormatPr defaultColWidth="9.140625" defaultRowHeight="15.75" x14ac:dyDescent="0.25"/>
  <cols>
    <col min="1" max="1" width="8.42578125" style="222" customWidth="1"/>
    <col min="2" max="2" width="74.140625" style="223" customWidth="1"/>
    <col min="3" max="3" width="18" style="209" customWidth="1"/>
    <col min="4" max="7" width="17" style="209" customWidth="1"/>
    <col min="8" max="8" width="18" style="209" customWidth="1"/>
    <col min="9" max="9" width="28.85546875" style="210" customWidth="1"/>
    <col min="10" max="10" width="23" style="209" customWidth="1"/>
    <col min="11" max="11" width="13.42578125" style="209" customWidth="1"/>
    <col min="12" max="16384" width="9.140625" style="209"/>
  </cols>
  <sheetData>
    <row r="1" spans="1:9" s="266" customFormat="1" ht="35.1" customHeight="1" thickBot="1" x14ac:dyDescent="0.3">
      <c r="A1" s="816" t="s">
        <v>812</v>
      </c>
      <c r="B1" s="817"/>
      <c r="C1" s="817"/>
      <c r="D1" s="817"/>
      <c r="E1" s="817"/>
      <c r="F1" s="817"/>
      <c r="G1" s="817"/>
      <c r="H1" s="818"/>
      <c r="I1" s="267"/>
    </row>
    <row r="2" spans="1:9" s="266" customFormat="1" ht="32.450000000000003" customHeight="1" x14ac:dyDescent="0.25">
      <c r="A2" s="819" t="s">
        <v>1057</v>
      </c>
      <c r="B2" s="820"/>
      <c r="C2" s="820"/>
      <c r="D2" s="820"/>
      <c r="E2" s="820"/>
      <c r="F2" s="820"/>
      <c r="G2" s="820"/>
      <c r="H2" s="821"/>
      <c r="I2" s="267"/>
    </row>
    <row r="3" spans="1:9" s="269" customFormat="1" ht="31.5" customHeight="1" x14ac:dyDescent="0.25">
      <c r="A3" s="822" t="s">
        <v>80</v>
      </c>
      <c r="B3" s="823" t="s">
        <v>153</v>
      </c>
      <c r="C3" s="825">
        <v>2022</v>
      </c>
      <c r="D3" s="825"/>
      <c r="E3" s="825">
        <v>2023</v>
      </c>
      <c r="F3" s="825"/>
      <c r="G3" s="826" t="s">
        <v>810</v>
      </c>
      <c r="H3" s="827"/>
      <c r="I3" s="268"/>
    </row>
    <row r="4" spans="1:9" s="266" customFormat="1" ht="31.5" customHeight="1" x14ac:dyDescent="0.25">
      <c r="A4" s="822"/>
      <c r="B4" s="824"/>
      <c r="C4" s="270" t="s">
        <v>154</v>
      </c>
      <c r="D4" s="270" t="s">
        <v>155</v>
      </c>
      <c r="E4" s="270" t="s">
        <v>154</v>
      </c>
      <c r="F4" s="270" t="s">
        <v>155</v>
      </c>
      <c r="G4" s="270" t="s">
        <v>154</v>
      </c>
      <c r="H4" s="271" t="s">
        <v>155</v>
      </c>
      <c r="I4" s="267"/>
    </row>
    <row r="5" spans="1:9" s="266" customFormat="1" x14ac:dyDescent="0.25">
      <c r="A5" s="272"/>
      <c r="B5" s="273"/>
      <c r="C5" s="274" t="s">
        <v>119</v>
      </c>
      <c r="D5" s="274" t="s">
        <v>120</v>
      </c>
      <c r="E5" s="274" t="s">
        <v>121</v>
      </c>
      <c r="F5" s="274" t="s">
        <v>127</v>
      </c>
      <c r="G5" s="274" t="s">
        <v>9</v>
      </c>
      <c r="H5" s="275" t="s">
        <v>10</v>
      </c>
      <c r="I5" s="267"/>
    </row>
    <row r="6" spans="1:9" x14ac:dyDescent="0.25">
      <c r="A6" s="211">
        <v>1</v>
      </c>
      <c r="B6" s="276" t="s">
        <v>554</v>
      </c>
      <c r="C6" s="555">
        <f>SUM(C7:C18)</f>
        <v>4341268.76</v>
      </c>
      <c r="D6" s="555">
        <f>SUM(D7:D18)</f>
        <v>434727.86</v>
      </c>
      <c r="E6" s="555">
        <f>SUM(E7:E18)</f>
        <v>5119650.58</v>
      </c>
      <c r="F6" s="555">
        <f>SUM(F7:F18)</f>
        <v>509671.41000000003</v>
      </c>
      <c r="G6" s="555">
        <f>E6-C6</f>
        <v>778381.8200000003</v>
      </c>
      <c r="H6" s="556">
        <f>F6-D6</f>
        <v>74943.550000000047</v>
      </c>
    </row>
    <row r="7" spans="1:9" ht="17.25" customHeight="1" x14ac:dyDescent="0.25">
      <c r="A7" s="211">
        <f>A6+1</f>
        <v>2</v>
      </c>
      <c r="B7" s="277" t="s">
        <v>687</v>
      </c>
      <c r="C7" s="557">
        <v>70104.22</v>
      </c>
      <c r="D7" s="557">
        <v>447.63</v>
      </c>
      <c r="E7" s="557">
        <v>65931.59</v>
      </c>
      <c r="F7" s="557">
        <v>257.23</v>
      </c>
      <c r="G7" s="558">
        <f>E7-C7</f>
        <v>-4172.6300000000047</v>
      </c>
      <c r="H7" s="559">
        <f>F7-D7</f>
        <v>-190.39999999999998</v>
      </c>
    </row>
    <row r="8" spans="1:9" ht="30.6" customHeight="1" x14ac:dyDescent="0.25">
      <c r="A8" s="211">
        <f t="shared" ref="A8:A72" si="0">A7+1</f>
        <v>3</v>
      </c>
      <c r="B8" s="278" t="s">
        <v>688</v>
      </c>
      <c r="C8" s="557">
        <v>1767631.75</v>
      </c>
      <c r="D8" s="557">
        <v>7333.45</v>
      </c>
      <c r="E8" s="557">
        <v>2551761.65</v>
      </c>
      <c r="F8" s="557">
        <v>6515.65</v>
      </c>
      <c r="G8" s="558">
        <f t="shared" ref="G8:H72" si="1">E8-C8</f>
        <v>784129.89999999991</v>
      </c>
      <c r="H8" s="559">
        <f t="shared" si="1"/>
        <v>-817.80000000000018</v>
      </c>
    </row>
    <row r="9" spans="1:9" x14ac:dyDescent="0.25">
      <c r="A9" s="211">
        <f t="shared" si="0"/>
        <v>4</v>
      </c>
      <c r="B9" s="277" t="s">
        <v>689</v>
      </c>
      <c r="C9" s="557">
        <v>181748.58</v>
      </c>
      <c r="D9" s="557">
        <v>1949.01</v>
      </c>
      <c r="E9" s="557">
        <v>246471.74</v>
      </c>
      <c r="F9" s="557">
        <v>2937.58</v>
      </c>
      <c r="G9" s="558">
        <f t="shared" si="1"/>
        <v>64723.16</v>
      </c>
      <c r="H9" s="559">
        <f t="shared" si="1"/>
        <v>988.56999999999994</v>
      </c>
    </row>
    <row r="10" spans="1:9" x14ac:dyDescent="0.25">
      <c r="A10" s="211">
        <f t="shared" si="0"/>
        <v>5</v>
      </c>
      <c r="B10" s="277" t="s">
        <v>690</v>
      </c>
      <c r="C10" s="557">
        <v>18797.63</v>
      </c>
      <c r="D10" s="557">
        <v>1070.08</v>
      </c>
      <c r="E10" s="557">
        <v>28077.56</v>
      </c>
      <c r="F10" s="557">
        <v>3898.59</v>
      </c>
      <c r="G10" s="558">
        <f t="shared" si="1"/>
        <v>9279.93</v>
      </c>
      <c r="H10" s="559">
        <f t="shared" si="1"/>
        <v>2828.51</v>
      </c>
    </row>
    <row r="11" spans="1:9" x14ac:dyDescent="0.25">
      <c r="A11" s="211">
        <f t="shared" si="0"/>
        <v>6</v>
      </c>
      <c r="B11" s="277" t="s">
        <v>691</v>
      </c>
      <c r="C11" s="557">
        <v>32930.89</v>
      </c>
      <c r="D11" s="557">
        <v>4779.7700000000004</v>
      </c>
      <c r="E11" s="557">
        <v>27135.79</v>
      </c>
      <c r="F11" s="557">
        <v>5851.51</v>
      </c>
      <c r="G11" s="558">
        <f t="shared" si="1"/>
        <v>-5795.0999999999985</v>
      </c>
      <c r="H11" s="559">
        <f t="shared" si="1"/>
        <v>1071.7399999999998</v>
      </c>
    </row>
    <row r="12" spans="1:9" x14ac:dyDescent="0.25">
      <c r="A12" s="211">
        <f t="shared" si="0"/>
        <v>7</v>
      </c>
      <c r="B12" s="524" t="s">
        <v>902</v>
      </c>
      <c r="C12" s="557">
        <v>97150.18</v>
      </c>
      <c r="D12" s="557">
        <v>17527.34</v>
      </c>
      <c r="E12" s="557">
        <v>135613.47</v>
      </c>
      <c r="F12" s="557">
        <v>15552.92</v>
      </c>
      <c r="G12" s="558">
        <f t="shared" si="1"/>
        <v>38463.290000000008</v>
      </c>
      <c r="H12" s="559">
        <f t="shared" si="1"/>
        <v>-1974.42</v>
      </c>
    </row>
    <row r="13" spans="1:9" x14ac:dyDescent="0.25">
      <c r="A13" s="211">
        <f t="shared" si="0"/>
        <v>8</v>
      </c>
      <c r="B13" s="277" t="s">
        <v>692</v>
      </c>
      <c r="C13" s="557">
        <v>114910.53</v>
      </c>
      <c r="D13" s="557">
        <v>5318.68</v>
      </c>
      <c r="E13" s="557">
        <v>133830.57999999999</v>
      </c>
      <c r="F13" s="557">
        <v>5851.39</v>
      </c>
      <c r="G13" s="558">
        <f t="shared" si="1"/>
        <v>18920.049999999988</v>
      </c>
      <c r="H13" s="559">
        <f t="shared" si="1"/>
        <v>532.71</v>
      </c>
    </row>
    <row r="14" spans="1:9" x14ac:dyDescent="0.25">
      <c r="A14" s="211">
        <f t="shared" si="0"/>
        <v>9</v>
      </c>
      <c r="B14" s="277" t="s">
        <v>775</v>
      </c>
      <c r="C14" s="557">
        <v>309920.34000000003</v>
      </c>
      <c r="D14" s="557">
        <v>345347.05</v>
      </c>
      <c r="E14" s="557">
        <v>323221.51</v>
      </c>
      <c r="F14" s="557">
        <v>417007.37</v>
      </c>
      <c r="G14" s="558">
        <f t="shared" si="1"/>
        <v>13301.169999999984</v>
      </c>
      <c r="H14" s="559">
        <f t="shared" si="1"/>
        <v>71660.320000000007</v>
      </c>
      <c r="I14" s="172"/>
    </row>
    <row r="15" spans="1:9" x14ac:dyDescent="0.25">
      <c r="A15" s="211">
        <f t="shared" si="0"/>
        <v>10</v>
      </c>
      <c r="B15" s="279" t="s">
        <v>693</v>
      </c>
      <c r="C15" s="557">
        <v>569969.29</v>
      </c>
      <c r="D15" s="557">
        <v>1671.85</v>
      </c>
      <c r="E15" s="557">
        <v>542996.11</v>
      </c>
      <c r="F15" s="557">
        <v>15260</v>
      </c>
      <c r="G15" s="558">
        <f t="shared" si="1"/>
        <v>-26973.180000000051</v>
      </c>
      <c r="H15" s="559">
        <f t="shared" si="1"/>
        <v>13588.15</v>
      </c>
    </row>
    <row r="16" spans="1:9" ht="16.149999999999999" customHeight="1" x14ac:dyDescent="0.25">
      <c r="A16" s="211">
        <f t="shared" si="0"/>
        <v>11</v>
      </c>
      <c r="B16" s="277" t="s">
        <v>40</v>
      </c>
      <c r="C16" s="557">
        <v>467376.27</v>
      </c>
      <c r="D16" s="557">
        <v>1153.1400000000001</v>
      </c>
      <c r="E16" s="557">
        <v>172900.37</v>
      </c>
      <c r="F16" s="557">
        <v>4185.7</v>
      </c>
      <c r="G16" s="558">
        <f t="shared" si="1"/>
        <v>-294475.90000000002</v>
      </c>
      <c r="H16" s="559">
        <f t="shared" si="1"/>
        <v>3032.5599999999995</v>
      </c>
    </row>
    <row r="17" spans="1:9" ht="31.5" x14ac:dyDescent="0.25">
      <c r="A17" s="211">
        <f t="shared" si="0"/>
        <v>12</v>
      </c>
      <c r="B17" s="279" t="s">
        <v>694</v>
      </c>
      <c r="C17" s="557">
        <v>656529.65</v>
      </c>
      <c r="D17" s="557">
        <v>45717.25</v>
      </c>
      <c r="E17" s="557">
        <v>868251.73</v>
      </c>
      <c r="F17" s="557">
        <v>32078.57</v>
      </c>
      <c r="G17" s="558">
        <f t="shared" si="1"/>
        <v>211722.07999999996</v>
      </c>
      <c r="H17" s="559">
        <f t="shared" si="1"/>
        <v>-13638.68</v>
      </c>
      <c r="I17" s="212"/>
    </row>
    <row r="18" spans="1:9" ht="15.75" customHeight="1" x14ac:dyDescent="0.25">
      <c r="A18" s="211">
        <f t="shared" si="0"/>
        <v>13</v>
      </c>
      <c r="B18" s="524" t="s">
        <v>903</v>
      </c>
      <c r="C18" s="557">
        <v>54199.43</v>
      </c>
      <c r="D18" s="557">
        <v>2412.61</v>
      </c>
      <c r="E18" s="557">
        <v>23458.48</v>
      </c>
      <c r="F18" s="557">
        <v>274.89999999999998</v>
      </c>
      <c r="G18" s="558">
        <f t="shared" si="1"/>
        <v>-30740.95</v>
      </c>
      <c r="H18" s="559">
        <f t="shared" si="1"/>
        <v>-2137.71</v>
      </c>
      <c r="I18" s="212"/>
    </row>
    <row r="19" spans="1:9" x14ac:dyDescent="0.25">
      <c r="A19" s="211">
        <f t="shared" si="0"/>
        <v>14</v>
      </c>
      <c r="B19" s="276" t="s">
        <v>555</v>
      </c>
      <c r="C19" s="555">
        <f>SUM(C20:C25)</f>
        <v>2368405.1199999996</v>
      </c>
      <c r="D19" s="555">
        <f>SUM(D20:D25)</f>
        <v>77444.479999999981</v>
      </c>
      <c r="E19" s="555">
        <f>SUM(E20:E25)</f>
        <v>3471012.5</v>
      </c>
      <c r="F19" s="555">
        <f>SUM(F20:F25)</f>
        <v>74649.37</v>
      </c>
      <c r="G19" s="555">
        <f t="shared" si="1"/>
        <v>1102607.3800000004</v>
      </c>
      <c r="H19" s="556">
        <f t="shared" si="1"/>
        <v>-2795.109999999986</v>
      </c>
    </row>
    <row r="20" spans="1:9" x14ac:dyDescent="0.25">
      <c r="A20" s="211">
        <f t="shared" si="0"/>
        <v>15</v>
      </c>
      <c r="B20" s="277" t="s">
        <v>695</v>
      </c>
      <c r="C20" s="557">
        <v>862897.8</v>
      </c>
      <c r="D20" s="557">
        <v>20257.099999999999</v>
      </c>
      <c r="E20" s="557">
        <v>965206.4</v>
      </c>
      <c r="F20" s="557">
        <v>20194.990000000002</v>
      </c>
      <c r="G20" s="558">
        <f t="shared" si="1"/>
        <v>102308.59999999998</v>
      </c>
      <c r="H20" s="559">
        <f t="shared" si="1"/>
        <v>-62.109999999996944</v>
      </c>
    </row>
    <row r="21" spans="1:9" x14ac:dyDescent="0.25">
      <c r="A21" s="211">
        <f t="shared" si="0"/>
        <v>16</v>
      </c>
      <c r="B21" s="277" t="s">
        <v>696</v>
      </c>
      <c r="C21" s="557">
        <v>1118334.8799999999</v>
      </c>
      <c r="D21" s="557">
        <v>24341.52</v>
      </c>
      <c r="E21" s="557">
        <v>2072344.95</v>
      </c>
      <c r="F21" s="557">
        <v>23460.89</v>
      </c>
      <c r="G21" s="558">
        <f t="shared" si="1"/>
        <v>954010.07000000007</v>
      </c>
      <c r="H21" s="559">
        <f t="shared" si="1"/>
        <v>-880.63000000000102</v>
      </c>
    </row>
    <row r="22" spans="1:9" x14ac:dyDescent="0.25">
      <c r="A22" s="211">
        <f t="shared" si="0"/>
        <v>17</v>
      </c>
      <c r="B22" s="277" t="s">
        <v>697</v>
      </c>
      <c r="C22" s="557">
        <v>155326.35</v>
      </c>
      <c r="D22" s="557">
        <v>21508.06</v>
      </c>
      <c r="E22" s="557">
        <v>215441.75</v>
      </c>
      <c r="F22" s="557">
        <v>20294.599999999999</v>
      </c>
      <c r="G22" s="558">
        <f t="shared" si="1"/>
        <v>60115.399999999994</v>
      </c>
      <c r="H22" s="559">
        <f t="shared" si="1"/>
        <v>-1213.4600000000028</v>
      </c>
    </row>
    <row r="23" spans="1:9" x14ac:dyDescent="0.25">
      <c r="A23" s="211">
        <f t="shared" si="0"/>
        <v>18</v>
      </c>
      <c r="B23" s="277" t="s">
        <v>698</v>
      </c>
      <c r="C23" s="557">
        <v>231027.33</v>
      </c>
      <c r="D23" s="557">
        <v>11131.18</v>
      </c>
      <c r="E23" s="557">
        <v>215218.33</v>
      </c>
      <c r="F23" s="557">
        <v>10666.3</v>
      </c>
      <c r="G23" s="558">
        <f t="shared" si="1"/>
        <v>-15809</v>
      </c>
      <c r="H23" s="559">
        <f t="shared" si="1"/>
        <v>-464.88000000000102</v>
      </c>
    </row>
    <row r="24" spans="1:9" x14ac:dyDescent="0.25">
      <c r="A24" s="211">
        <f t="shared" si="0"/>
        <v>19</v>
      </c>
      <c r="B24" s="277" t="s">
        <v>699</v>
      </c>
      <c r="C24" s="557">
        <v>818.76</v>
      </c>
      <c r="D24" s="557">
        <v>206.62</v>
      </c>
      <c r="E24" s="557">
        <v>2801.07</v>
      </c>
      <c r="F24" s="557">
        <v>32.590000000000003</v>
      </c>
      <c r="G24" s="558">
        <f t="shared" si="1"/>
        <v>1982.3100000000002</v>
      </c>
      <c r="H24" s="559">
        <f t="shared" si="1"/>
        <v>-174.03</v>
      </c>
    </row>
    <row r="25" spans="1:9" x14ac:dyDescent="0.25">
      <c r="A25" s="211">
        <f t="shared" si="0"/>
        <v>20</v>
      </c>
      <c r="B25" s="277" t="s">
        <v>700</v>
      </c>
      <c r="C25" s="557"/>
      <c r="D25" s="557"/>
      <c r="E25" s="557"/>
      <c r="F25" s="557"/>
      <c r="G25" s="558">
        <f t="shared" si="1"/>
        <v>0</v>
      </c>
      <c r="H25" s="559">
        <f t="shared" si="1"/>
        <v>0</v>
      </c>
    </row>
    <row r="26" spans="1:9" x14ac:dyDescent="0.25">
      <c r="A26" s="211">
        <f t="shared" si="0"/>
        <v>21</v>
      </c>
      <c r="B26" s="276" t="s">
        <v>150</v>
      </c>
      <c r="C26" s="560" t="s">
        <v>140</v>
      </c>
      <c r="D26" s="560" t="s">
        <v>140</v>
      </c>
      <c r="E26" s="560" t="s">
        <v>140</v>
      </c>
      <c r="F26" s="560" t="s">
        <v>140</v>
      </c>
      <c r="G26" s="561" t="s">
        <v>56</v>
      </c>
      <c r="H26" s="562" t="s">
        <v>56</v>
      </c>
    </row>
    <row r="27" spans="1:9" x14ac:dyDescent="0.25">
      <c r="A27" s="211">
        <f t="shared" si="0"/>
        <v>22</v>
      </c>
      <c r="B27" s="276" t="s">
        <v>556</v>
      </c>
      <c r="C27" s="555">
        <f>SUM(C28:C31)</f>
        <v>2711.31</v>
      </c>
      <c r="D27" s="555">
        <f>SUM(D28:D31)</f>
        <v>68948.039999999994</v>
      </c>
      <c r="E27" s="555">
        <f>SUM(E28:E31)</f>
        <v>2153.2600000000002</v>
      </c>
      <c r="F27" s="555">
        <f>SUM(F28:F31)</f>
        <v>98615.67</v>
      </c>
      <c r="G27" s="555">
        <f t="shared" si="1"/>
        <v>-558.04999999999973</v>
      </c>
      <c r="H27" s="556">
        <f t="shared" si="1"/>
        <v>29667.630000000005</v>
      </c>
    </row>
    <row r="28" spans="1:9" x14ac:dyDescent="0.25">
      <c r="A28" s="211">
        <f t="shared" si="0"/>
        <v>23</v>
      </c>
      <c r="B28" s="280" t="s">
        <v>113</v>
      </c>
      <c r="C28" s="557"/>
      <c r="D28" s="557"/>
      <c r="E28" s="557"/>
      <c r="F28" s="557"/>
      <c r="G28" s="558">
        <f t="shared" si="1"/>
        <v>0</v>
      </c>
      <c r="H28" s="559">
        <f t="shared" si="1"/>
        <v>0</v>
      </c>
    </row>
    <row r="29" spans="1:9" x14ac:dyDescent="0.25">
      <c r="A29" s="211">
        <f t="shared" si="0"/>
        <v>24</v>
      </c>
      <c r="B29" s="281" t="s">
        <v>132</v>
      </c>
      <c r="C29" s="557"/>
      <c r="D29" s="557"/>
      <c r="E29" s="557"/>
      <c r="F29" s="557"/>
      <c r="G29" s="558">
        <f t="shared" si="1"/>
        <v>0</v>
      </c>
      <c r="H29" s="559">
        <f t="shared" si="1"/>
        <v>0</v>
      </c>
    </row>
    <row r="30" spans="1:9" x14ac:dyDescent="0.25">
      <c r="A30" s="211">
        <f t="shared" si="0"/>
        <v>25</v>
      </c>
      <c r="B30" s="281" t="s">
        <v>18</v>
      </c>
      <c r="C30" s="557">
        <v>2711.31</v>
      </c>
      <c r="D30" s="557">
        <v>68948.039999999994</v>
      </c>
      <c r="E30" s="557">
        <v>2153.2600000000002</v>
      </c>
      <c r="F30" s="557">
        <v>98615.67</v>
      </c>
      <c r="G30" s="558">
        <f t="shared" si="1"/>
        <v>-558.04999999999973</v>
      </c>
      <c r="H30" s="559">
        <f t="shared" si="1"/>
        <v>29667.630000000005</v>
      </c>
    </row>
    <row r="31" spans="1:9" x14ac:dyDescent="0.25">
      <c r="A31" s="211">
        <f t="shared" si="0"/>
        <v>26</v>
      </c>
      <c r="B31" s="280" t="s">
        <v>19</v>
      </c>
      <c r="C31" s="557"/>
      <c r="D31" s="557"/>
      <c r="E31" s="557"/>
      <c r="F31" s="557"/>
      <c r="G31" s="558">
        <f t="shared" si="1"/>
        <v>0</v>
      </c>
      <c r="H31" s="559">
        <f t="shared" si="1"/>
        <v>0</v>
      </c>
    </row>
    <row r="32" spans="1:9" x14ac:dyDescent="0.25">
      <c r="A32" s="211">
        <f t="shared" si="0"/>
        <v>27</v>
      </c>
      <c r="B32" s="276" t="s">
        <v>557</v>
      </c>
      <c r="C32" s="555">
        <f>SUM(C33:C39)</f>
        <v>757310.98</v>
      </c>
      <c r="D32" s="555">
        <f>SUM(D33:D39)</f>
        <v>22131.23</v>
      </c>
      <c r="E32" s="555">
        <f>SUM(E33:E39)</f>
        <v>758572.8</v>
      </c>
      <c r="F32" s="555">
        <f>SUM(F33:F39)</f>
        <v>40278.94</v>
      </c>
      <c r="G32" s="555">
        <f t="shared" si="1"/>
        <v>1261.8200000000652</v>
      </c>
      <c r="H32" s="556">
        <f t="shared" si="1"/>
        <v>18147.710000000003</v>
      </c>
    </row>
    <row r="33" spans="1:9" x14ac:dyDescent="0.25">
      <c r="A33" s="211">
        <f t="shared" si="0"/>
        <v>28</v>
      </c>
      <c r="B33" s="277" t="s">
        <v>701</v>
      </c>
      <c r="C33" s="557">
        <v>347051.15</v>
      </c>
      <c r="D33" s="557"/>
      <c r="E33" s="557">
        <v>385636.51</v>
      </c>
      <c r="F33" s="557">
        <v>2812.97</v>
      </c>
      <c r="G33" s="558">
        <f t="shared" si="1"/>
        <v>38585.359999999986</v>
      </c>
      <c r="H33" s="559">
        <f t="shared" si="1"/>
        <v>2812.97</v>
      </c>
    </row>
    <row r="34" spans="1:9" ht="31.5" x14ac:dyDescent="0.25">
      <c r="A34" s="211">
        <f t="shared" si="0"/>
        <v>29</v>
      </c>
      <c r="B34" s="277" t="s">
        <v>702</v>
      </c>
      <c r="C34" s="557">
        <v>236974.11</v>
      </c>
      <c r="D34" s="557">
        <v>9056.2099999999991</v>
      </c>
      <c r="E34" s="557">
        <v>197948.01</v>
      </c>
      <c r="F34" s="557">
        <v>11812.35</v>
      </c>
      <c r="G34" s="558">
        <f t="shared" si="1"/>
        <v>-39026.099999999977</v>
      </c>
      <c r="H34" s="559">
        <f t="shared" si="1"/>
        <v>2756.1400000000012</v>
      </c>
      <c r="I34" s="212"/>
    </row>
    <row r="35" spans="1:9" x14ac:dyDescent="0.25">
      <c r="A35" s="211">
        <f t="shared" si="0"/>
        <v>30</v>
      </c>
      <c r="B35" s="277" t="s">
        <v>703</v>
      </c>
      <c r="C35" s="557">
        <v>23570.71</v>
      </c>
      <c r="D35" s="557">
        <v>3251.36</v>
      </c>
      <c r="E35" s="557">
        <v>23463.95</v>
      </c>
      <c r="F35" s="557">
        <v>7289.58</v>
      </c>
      <c r="G35" s="558">
        <f t="shared" si="1"/>
        <v>-106.7599999999984</v>
      </c>
      <c r="H35" s="559">
        <f t="shared" si="1"/>
        <v>4038.22</v>
      </c>
    </row>
    <row r="36" spans="1:9" x14ac:dyDescent="0.25">
      <c r="A36" s="211">
        <f t="shared" si="0"/>
        <v>31</v>
      </c>
      <c r="B36" s="277" t="s">
        <v>704</v>
      </c>
      <c r="C36" s="557">
        <v>57605.73</v>
      </c>
      <c r="D36" s="557">
        <v>9823.66</v>
      </c>
      <c r="E36" s="557">
        <v>59902.63</v>
      </c>
      <c r="F36" s="557">
        <v>18364.04</v>
      </c>
      <c r="G36" s="558">
        <f t="shared" si="1"/>
        <v>2296.8999999999942</v>
      </c>
      <c r="H36" s="559">
        <f t="shared" si="1"/>
        <v>8540.380000000001</v>
      </c>
    </row>
    <row r="37" spans="1:9" x14ac:dyDescent="0.25">
      <c r="A37" s="211">
        <f t="shared" si="0"/>
        <v>32</v>
      </c>
      <c r="B37" s="279" t="s">
        <v>706</v>
      </c>
      <c r="C37" s="557">
        <v>13184</v>
      </c>
      <c r="D37" s="557"/>
      <c r="E37" s="557">
        <v>51510.29</v>
      </c>
      <c r="F37" s="557"/>
      <c r="G37" s="558">
        <f t="shared" si="1"/>
        <v>38326.29</v>
      </c>
      <c r="H37" s="559">
        <f t="shared" si="1"/>
        <v>0</v>
      </c>
    </row>
    <row r="38" spans="1:9" x14ac:dyDescent="0.25">
      <c r="A38" s="211">
        <f t="shared" si="0"/>
        <v>33</v>
      </c>
      <c r="B38" s="277" t="s">
        <v>705</v>
      </c>
      <c r="C38" s="557">
        <v>44367.64</v>
      </c>
      <c r="D38" s="557"/>
      <c r="E38" s="557">
        <v>24983.35</v>
      </c>
      <c r="F38" s="557"/>
      <c r="G38" s="558">
        <f t="shared" si="1"/>
        <v>-19384.29</v>
      </c>
      <c r="H38" s="559">
        <f t="shared" si="1"/>
        <v>0</v>
      </c>
    </row>
    <row r="39" spans="1:9" x14ac:dyDescent="0.25">
      <c r="A39" s="211">
        <f t="shared" si="0"/>
        <v>34</v>
      </c>
      <c r="B39" s="277" t="s">
        <v>41</v>
      </c>
      <c r="C39" s="557">
        <v>34557.64</v>
      </c>
      <c r="D39" s="557"/>
      <c r="E39" s="557">
        <v>15128.06</v>
      </c>
      <c r="F39" s="557"/>
      <c r="G39" s="558">
        <f t="shared" si="1"/>
        <v>-19429.580000000002</v>
      </c>
      <c r="H39" s="559">
        <f t="shared" si="1"/>
        <v>0</v>
      </c>
    </row>
    <row r="40" spans="1:9" x14ac:dyDescent="0.25">
      <c r="A40" s="211">
        <f t="shared" si="0"/>
        <v>35</v>
      </c>
      <c r="B40" s="276" t="s">
        <v>558</v>
      </c>
      <c r="C40" s="555">
        <f>C41+C42</f>
        <v>1225406.26</v>
      </c>
      <c r="D40" s="555">
        <f>D41+D42</f>
        <v>2978.91</v>
      </c>
      <c r="E40" s="555">
        <f>E41+E42</f>
        <v>1300172.55</v>
      </c>
      <c r="F40" s="555">
        <f>F41+F42</f>
        <v>4437.71</v>
      </c>
      <c r="G40" s="555">
        <f t="shared" si="1"/>
        <v>74766.290000000037</v>
      </c>
      <c r="H40" s="556">
        <f t="shared" si="1"/>
        <v>1458.8000000000002</v>
      </c>
    </row>
    <row r="41" spans="1:9" x14ac:dyDescent="0.25">
      <c r="A41" s="211">
        <f t="shared" si="0"/>
        <v>36</v>
      </c>
      <c r="B41" s="277" t="s">
        <v>707</v>
      </c>
      <c r="C41" s="557">
        <v>110245.01</v>
      </c>
      <c r="D41" s="557">
        <v>2978.91</v>
      </c>
      <c r="E41" s="557">
        <v>109430.32</v>
      </c>
      <c r="F41" s="557">
        <v>4437.71</v>
      </c>
      <c r="G41" s="558">
        <f t="shared" si="1"/>
        <v>-814.68999999998778</v>
      </c>
      <c r="H41" s="559">
        <f t="shared" si="1"/>
        <v>1458.8000000000002</v>
      </c>
    </row>
    <row r="42" spans="1:9" x14ac:dyDescent="0.25">
      <c r="A42" s="211">
        <f t="shared" si="0"/>
        <v>37</v>
      </c>
      <c r="B42" s="277" t="s">
        <v>708</v>
      </c>
      <c r="C42" s="557">
        <v>1115161.25</v>
      </c>
      <c r="D42" s="557">
        <v>0</v>
      </c>
      <c r="E42" s="557">
        <v>1190742.23</v>
      </c>
      <c r="F42" s="557"/>
      <c r="G42" s="558">
        <f t="shared" si="1"/>
        <v>75580.979999999981</v>
      </c>
      <c r="H42" s="559">
        <f t="shared" si="1"/>
        <v>0</v>
      </c>
      <c r="I42" s="212"/>
    </row>
    <row r="43" spans="1:9" x14ac:dyDescent="0.25">
      <c r="A43" s="211">
        <f t="shared" si="0"/>
        <v>38</v>
      </c>
      <c r="B43" s="276" t="s">
        <v>151</v>
      </c>
      <c r="C43" s="563">
        <v>63297.54</v>
      </c>
      <c r="D43" s="563">
        <v>128.88</v>
      </c>
      <c r="E43" s="563">
        <v>178943.23</v>
      </c>
      <c r="F43" s="563">
        <v>1151.8599999999999</v>
      </c>
      <c r="G43" s="558">
        <f t="shared" si="1"/>
        <v>115645.69</v>
      </c>
      <c r="H43" s="559">
        <f t="shared" si="1"/>
        <v>1022.9799999999999</v>
      </c>
    </row>
    <row r="44" spans="1:9" x14ac:dyDescent="0.25">
      <c r="A44" s="211">
        <f t="shared" si="0"/>
        <v>39</v>
      </c>
      <c r="B44" s="276" t="s">
        <v>559</v>
      </c>
      <c r="C44" s="555">
        <f>SUM(C45:C59)</f>
        <v>5789602.3600000003</v>
      </c>
      <c r="D44" s="555">
        <f>SUM(D45:D59)</f>
        <v>116543.38000000003</v>
      </c>
      <c r="E44" s="555">
        <f>SUM(E45:E59)</f>
        <v>9223250.6499999985</v>
      </c>
      <c r="F44" s="555">
        <f>SUM(F45:F59)</f>
        <v>279995.93</v>
      </c>
      <c r="G44" s="555">
        <f t="shared" si="1"/>
        <v>3433648.2899999982</v>
      </c>
      <c r="H44" s="556">
        <f t="shared" si="1"/>
        <v>163452.54999999996</v>
      </c>
    </row>
    <row r="45" spans="1:9" x14ac:dyDescent="0.25">
      <c r="A45" s="211">
        <f t="shared" si="0"/>
        <v>40</v>
      </c>
      <c r="B45" s="277" t="s">
        <v>709</v>
      </c>
      <c r="C45" s="557">
        <v>142616.62</v>
      </c>
      <c r="D45" s="557">
        <v>17500</v>
      </c>
      <c r="E45" s="557">
        <v>174100.26</v>
      </c>
      <c r="F45" s="557">
        <v>44282.54</v>
      </c>
      <c r="G45" s="558">
        <f t="shared" si="1"/>
        <v>31483.640000000014</v>
      </c>
      <c r="H45" s="559">
        <f t="shared" si="1"/>
        <v>26782.54</v>
      </c>
    </row>
    <row r="46" spans="1:9" x14ac:dyDescent="0.25">
      <c r="A46" s="211">
        <f t="shared" si="0"/>
        <v>41</v>
      </c>
      <c r="B46" s="277" t="s">
        <v>42</v>
      </c>
      <c r="C46" s="557">
        <v>15145.83</v>
      </c>
      <c r="D46" s="557">
        <v>411.86</v>
      </c>
      <c r="E46" s="557">
        <v>37898.79</v>
      </c>
      <c r="F46" s="557">
        <v>450</v>
      </c>
      <c r="G46" s="558">
        <f t="shared" si="1"/>
        <v>22752.959999999999</v>
      </c>
      <c r="H46" s="559">
        <f t="shared" si="1"/>
        <v>38.139999999999986</v>
      </c>
    </row>
    <row r="47" spans="1:9" x14ac:dyDescent="0.25">
      <c r="A47" s="211">
        <f t="shared" si="0"/>
        <v>42</v>
      </c>
      <c r="B47" s="277" t="s">
        <v>710</v>
      </c>
      <c r="C47" s="557">
        <v>160949.4</v>
      </c>
      <c r="D47" s="557">
        <v>1645</v>
      </c>
      <c r="E47" s="557">
        <v>215805.55</v>
      </c>
      <c r="F47" s="557">
        <v>0</v>
      </c>
      <c r="G47" s="558">
        <f t="shared" si="1"/>
        <v>54856.149999999994</v>
      </c>
      <c r="H47" s="559">
        <f t="shared" si="1"/>
        <v>-1645</v>
      </c>
    </row>
    <row r="48" spans="1:9" x14ac:dyDescent="0.25">
      <c r="A48" s="211">
        <f t="shared" si="0"/>
        <v>43</v>
      </c>
      <c r="B48" s="277" t="s">
        <v>711</v>
      </c>
      <c r="C48" s="557">
        <v>23171.18</v>
      </c>
      <c r="D48" s="557">
        <v>8614.8700000000008</v>
      </c>
      <c r="E48" s="557">
        <v>29922.2</v>
      </c>
      <c r="F48" s="557">
        <v>0</v>
      </c>
      <c r="G48" s="558">
        <f t="shared" si="1"/>
        <v>6751.02</v>
      </c>
      <c r="H48" s="559">
        <f t="shared" si="1"/>
        <v>-8614.8700000000008</v>
      </c>
    </row>
    <row r="49" spans="1:11" x14ac:dyDescent="0.25">
      <c r="A49" s="211">
        <f t="shared" si="0"/>
        <v>44</v>
      </c>
      <c r="B49" s="277" t="s">
        <v>712</v>
      </c>
      <c r="C49" s="557">
        <v>37049.379999999997</v>
      </c>
      <c r="D49" s="557">
        <v>3297.78</v>
      </c>
      <c r="E49" s="557">
        <f>-76.38+29013.39</f>
        <v>28937.01</v>
      </c>
      <c r="F49" s="557">
        <v>2678.12</v>
      </c>
      <c r="G49" s="558">
        <f t="shared" si="1"/>
        <v>-8112.369999999999</v>
      </c>
      <c r="H49" s="559">
        <f t="shared" si="1"/>
        <v>-619.66000000000031</v>
      </c>
    </row>
    <row r="50" spans="1:11" x14ac:dyDescent="0.25">
      <c r="A50" s="211">
        <f t="shared" si="0"/>
        <v>45</v>
      </c>
      <c r="B50" s="524" t="s">
        <v>918</v>
      </c>
      <c r="C50" s="557">
        <v>2628.59</v>
      </c>
      <c r="D50" s="557">
        <v>166.08</v>
      </c>
      <c r="E50" s="557">
        <v>2180.75</v>
      </c>
      <c r="F50" s="557">
        <v>0</v>
      </c>
      <c r="G50" s="558">
        <f t="shared" si="1"/>
        <v>-447.84000000000015</v>
      </c>
      <c r="H50" s="559">
        <f t="shared" si="1"/>
        <v>-166.08</v>
      </c>
    </row>
    <row r="51" spans="1:11" x14ac:dyDescent="0.25">
      <c r="A51" s="211">
        <f t="shared" si="0"/>
        <v>46</v>
      </c>
      <c r="B51" s="277" t="s">
        <v>713</v>
      </c>
      <c r="C51" s="557">
        <v>59214.58</v>
      </c>
      <c r="D51" s="557">
        <v>3507.79</v>
      </c>
      <c r="E51" s="557">
        <v>63317.75</v>
      </c>
      <c r="F51" s="557">
        <v>3800.01</v>
      </c>
      <c r="G51" s="558">
        <f t="shared" si="1"/>
        <v>4103.1699999999983</v>
      </c>
      <c r="H51" s="559">
        <f t="shared" si="1"/>
        <v>292.22000000000025</v>
      </c>
    </row>
    <row r="52" spans="1:11" x14ac:dyDescent="0.25">
      <c r="A52" s="211">
        <f t="shared" si="0"/>
        <v>47</v>
      </c>
      <c r="B52" s="277" t="s">
        <v>714</v>
      </c>
      <c r="C52" s="557">
        <v>90531.45</v>
      </c>
      <c r="D52" s="557">
        <v>6381.55</v>
      </c>
      <c r="E52" s="557">
        <f>35305.26+0.9</f>
        <v>35306.160000000003</v>
      </c>
      <c r="F52" s="557">
        <v>11000.38</v>
      </c>
      <c r="G52" s="558">
        <f t="shared" si="1"/>
        <v>-55225.289999999994</v>
      </c>
      <c r="H52" s="559">
        <f t="shared" si="1"/>
        <v>4618.829999999999</v>
      </c>
    </row>
    <row r="53" spans="1:11" x14ac:dyDescent="0.25">
      <c r="A53" s="211">
        <f t="shared" si="0"/>
        <v>48</v>
      </c>
      <c r="B53" s="277" t="s">
        <v>43</v>
      </c>
      <c r="C53" s="557">
        <v>89229.74</v>
      </c>
      <c r="D53" s="557">
        <v>2051.62</v>
      </c>
      <c r="E53" s="557">
        <v>153815.85999999999</v>
      </c>
      <c r="F53" s="557">
        <v>2109.1799999999998</v>
      </c>
      <c r="G53" s="558">
        <f t="shared" si="1"/>
        <v>64586.119999999981</v>
      </c>
      <c r="H53" s="559">
        <f t="shared" si="1"/>
        <v>57.559999999999945</v>
      </c>
    </row>
    <row r="54" spans="1:11" x14ac:dyDescent="0.25">
      <c r="A54" s="211">
        <f t="shared" si="0"/>
        <v>49</v>
      </c>
      <c r="B54" s="277" t="s">
        <v>44</v>
      </c>
      <c r="C54" s="557"/>
      <c r="D54" s="557"/>
      <c r="E54" s="557">
        <v>1262.8800000000001</v>
      </c>
      <c r="F54" s="557">
        <v>0</v>
      </c>
      <c r="G54" s="558">
        <f t="shared" si="1"/>
        <v>1262.8800000000001</v>
      </c>
      <c r="H54" s="559">
        <f t="shared" si="1"/>
        <v>0</v>
      </c>
    </row>
    <row r="55" spans="1:11" x14ac:dyDescent="0.25">
      <c r="A55" s="211">
        <f t="shared" si="0"/>
        <v>50</v>
      </c>
      <c r="B55" s="277" t="s">
        <v>715</v>
      </c>
      <c r="C55" s="557">
        <v>15112.24</v>
      </c>
      <c r="D55" s="557">
        <v>40</v>
      </c>
      <c r="E55" s="557">
        <v>12424.81</v>
      </c>
      <c r="F55" s="557">
        <v>182.36</v>
      </c>
      <c r="G55" s="558">
        <f t="shared" si="1"/>
        <v>-2687.4300000000003</v>
      </c>
      <c r="H55" s="559">
        <f t="shared" si="1"/>
        <v>142.36000000000001</v>
      </c>
    </row>
    <row r="56" spans="1:11" x14ac:dyDescent="0.25">
      <c r="A56" s="211">
        <f t="shared" si="0"/>
        <v>51</v>
      </c>
      <c r="B56" s="277" t="s">
        <v>716</v>
      </c>
      <c r="C56" s="557">
        <v>392817.99</v>
      </c>
      <c r="D56" s="557">
        <v>2341.9699999999998</v>
      </c>
      <c r="E56" s="557">
        <v>750528.42</v>
      </c>
      <c r="F56" s="557">
        <v>846.65</v>
      </c>
      <c r="G56" s="558">
        <f t="shared" si="1"/>
        <v>357710.43000000005</v>
      </c>
      <c r="H56" s="559">
        <f t="shared" si="1"/>
        <v>-1495.3199999999997</v>
      </c>
    </row>
    <row r="57" spans="1:11" x14ac:dyDescent="0.25">
      <c r="A57" s="211">
        <f t="shared" si="0"/>
        <v>52</v>
      </c>
      <c r="B57" s="277" t="s">
        <v>34</v>
      </c>
      <c r="C57" s="557"/>
      <c r="D57" s="557"/>
      <c r="E57" s="557">
        <v>0</v>
      </c>
      <c r="F57" s="557">
        <v>0</v>
      </c>
      <c r="G57" s="558">
        <f t="shared" si="1"/>
        <v>0</v>
      </c>
      <c r="H57" s="559">
        <f t="shared" si="1"/>
        <v>0</v>
      </c>
    </row>
    <row r="58" spans="1:11" ht="47.25" x14ac:dyDescent="0.25">
      <c r="A58" s="211">
        <f t="shared" si="0"/>
        <v>53</v>
      </c>
      <c r="B58" s="277" t="s">
        <v>919</v>
      </c>
      <c r="C58" s="557">
        <f>5789602.36-1028767</f>
        <v>4760835.3600000003</v>
      </c>
      <c r="D58" s="557">
        <f>116543.38-45958.52</f>
        <v>70584.860000000015</v>
      </c>
      <c r="E58" s="557">
        <f>9223250.65-1507350.06</f>
        <v>7715900.5899999999</v>
      </c>
      <c r="F58" s="557">
        <v>214646.69</v>
      </c>
      <c r="G58" s="558">
        <f t="shared" si="1"/>
        <v>2955065.2299999995</v>
      </c>
      <c r="H58" s="559">
        <f t="shared" si="1"/>
        <v>144061.82999999999</v>
      </c>
      <c r="J58" s="431"/>
      <c r="K58" s="431"/>
    </row>
    <row r="59" spans="1:11" x14ac:dyDescent="0.25">
      <c r="A59" s="211">
        <f t="shared" si="0"/>
        <v>54</v>
      </c>
      <c r="B59" s="277" t="s">
        <v>717</v>
      </c>
      <c r="C59" s="557">
        <v>300</v>
      </c>
      <c r="D59" s="557"/>
      <c r="E59" s="557">
        <v>1849.62</v>
      </c>
      <c r="F59" s="557"/>
      <c r="G59" s="558">
        <f t="shared" si="1"/>
        <v>1549.62</v>
      </c>
      <c r="H59" s="559">
        <f t="shared" si="1"/>
        <v>0</v>
      </c>
    </row>
    <row r="60" spans="1:11" x14ac:dyDescent="0.25">
      <c r="A60" s="211">
        <f t="shared" si="0"/>
        <v>55</v>
      </c>
      <c r="B60" s="276" t="s">
        <v>718</v>
      </c>
      <c r="C60" s="555">
        <f>C61+C62</f>
        <v>35572027.350000001</v>
      </c>
      <c r="D60" s="555">
        <f>D61+D62</f>
        <v>399476.14999999997</v>
      </c>
      <c r="E60" s="555">
        <f>E61+E62</f>
        <v>39178825.419999994</v>
      </c>
      <c r="F60" s="555">
        <f>F61+F62</f>
        <v>591682.07999999996</v>
      </c>
      <c r="G60" s="555">
        <f t="shared" si="1"/>
        <v>3606798.0699999928</v>
      </c>
      <c r="H60" s="556">
        <f t="shared" si="1"/>
        <v>192205.93</v>
      </c>
    </row>
    <row r="61" spans="1:11" ht="118.5" customHeight="1" x14ac:dyDescent="0.25">
      <c r="A61" s="211">
        <f t="shared" si="0"/>
        <v>56</v>
      </c>
      <c r="B61" s="280" t="s">
        <v>615</v>
      </c>
      <c r="C61" s="557">
        <v>34931354.25</v>
      </c>
      <c r="D61" s="557">
        <v>369814.55</v>
      </c>
      <c r="E61" s="557">
        <v>38446175.159999996</v>
      </c>
      <c r="F61" s="557">
        <v>542887.88</v>
      </c>
      <c r="G61" s="558">
        <f t="shared" si="1"/>
        <v>3514820.9099999964</v>
      </c>
      <c r="H61" s="559">
        <f t="shared" si="1"/>
        <v>173073.33000000002</v>
      </c>
      <c r="I61" s="742" t="s">
        <v>1037</v>
      </c>
      <c r="J61" s="726">
        <f>SUM(E61:F61)</f>
        <v>38989063.039999999</v>
      </c>
    </row>
    <row r="62" spans="1:11" x14ac:dyDescent="0.25">
      <c r="A62" s="211">
        <f t="shared" si="0"/>
        <v>57</v>
      </c>
      <c r="B62" s="276" t="s">
        <v>905</v>
      </c>
      <c r="C62" s="555">
        <f>SUM(C63:C66)</f>
        <v>640673.10000000009</v>
      </c>
      <c r="D62" s="555">
        <f t="shared" ref="D62:F62" si="2">SUM(D63:D66)</f>
        <v>29661.599999999999</v>
      </c>
      <c r="E62" s="555">
        <f t="shared" si="2"/>
        <v>732650.25999999989</v>
      </c>
      <c r="F62" s="555">
        <f t="shared" si="2"/>
        <v>48794.2</v>
      </c>
      <c r="G62" s="555">
        <f t="shared" si="1"/>
        <v>91977.1599999998</v>
      </c>
      <c r="H62" s="556">
        <f t="shared" si="1"/>
        <v>19132.599999999999</v>
      </c>
    </row>
    <row r="63" spans="1:11" s="214" customFormat="1" x14ac:dyDescent="0.2">
      <c r="A63" s="211">
        <f t="shared" si="0"/>
        <v>58</v>
      </c>
      <c r="B63" s="282" t="s">
        <v>1</v>
      </c>
      <c r="C63" s="564">
        <v>85.92</v>
      </c>
      <c r="D63" s="564"/>
      <c r="E63" s="557">
        <v>8.9499999999999993</v>
      </c>
      <c r="F63" s="564"/>
      <c r="G63" s="558">
        <f t="shared" si="1"/>
        <v>-76.97</v>
      </c>
      <c r="H63" s="559">
        <f t="shared" si="1"/>
        <v>0</v>
      </c>
      <c r="I63" s="213"/>
      <c r="J63" s="765"/>
    </row>
    <row r="64" spans="1:11" x14ac:dyDescent="0.25">
      <c r="A64" s="211">
        <f t="shared" si="0"/>
        <v>59</v>
      </c>
      <c r="B64" s="282" t="s">
        <v>719</v>
      </c>
      <c r="C64" s="557">
        <v>535648.17000000004</v>
      </c>
      <c r="D64" s="557">
        <v>23301.599999999999</v>
      </c>
      <c r="E64" s="557">
        <v>589203.09</v>
      </c>
      <c r="F64" s="557">
        <v>42274.2</v>
      </c>
      <c r="G64" s="558">
        <f t="shared" si="1"/>
        <v>53554.919999999925</v>
      </c>
      <c r="H64" s="559">
        <f t="shared" si="1"/>
        <v>18972.599999999999</v>
      </c>
    </row>
    <row r="65" spans="1:9" x14ac:dyDescent="0.25">
      <c r="A65" s="211">
        <f t="shared" si="0"/>
        <v>60</v>
      </c>
      <c r="B65" s="280" t="s">
        <v>97</v>
      </c>
      <c r="C65" s="557">
        <v>104939.01</v>
      </c>
      <c r="D65" s="557">
        <v>6360</v>
      </c>
      <c r="E65" s="557">
        <v>134438.22</v>
      </c>
      <c r="F65" s="557">
        <v>6520</v>
      </c>
      <c r="G65" s="558">
        <f t="shared" si="1"/>
        <v>29499.210000000006</v>
      </c>
      <c r="H65" s="559">
        <f t="shared" si="1"/>
        <v>160</v>
      </c>
    </row>
    <row r="66" spans="1:9" x14ac:dyDescent="0.25">
      <c r="A66" s="211">
        <v>61</v>
      </c>
      <c r="B66" s="280" t="s">
        <v>904</v>
      </c>
      <c r="C66" s="557"/>
      <c r="D66" s="557"/>
      <c r="E66" s="557">
        <v>9000</v>
      </c>
      <c r="F66" s="557"/>
      <c r="G66" s="558">
        <f t="shared" si="1"/>
        <v>9000</v>
      </c>
      <c r="H66" s="559">
        <f t="shared" si="1"/>
        <v>0</v>
      </c>
      <c r="I66" s="728"/>
    </row>
    <row r="67" spans="1:9" x14ac:dyDescent="0.25">
      <c r="A67" s="211">
        <v>62</v>
      </c>
      <c r="B67" s="276" t="s">
        <v>62</v>
      </c>
      <c r="C67" s="563">
        <v>12143865.82</v>
      </c>
      <c r="D67" s="563">
        <v>134754.79999999999</v>
      </c>
      <c r="E67" s="563">
        <v>13394294.949999999</v>
      </c>
      <c r="F67" s="563">
        <v>202858.23</v>
      </c>
      <c r="G67" s="558">
        <f t="shared" si="1"/>
        <v>1250429.129999999</v>
      </c>
      <c r="H67" s="559">
        <f t="shared" si="1"/>
        <v>68103.430000000022</v>
      </c>
    </row>
    <row r="68" spans="1:9" x14ac:dyDescent="0.25">
      <c r="A68" s="211">
        <f t="shared" si="0"/>
        <v>63</v>
      </c>
      <c r="B68" s="276" t="s">
        <v>7</v>
      </c>
      <c r="C68" s="563">
        <v>279310.87</v>
      </c>
      <c r="D68" s="563">
        <v>3684.13</v>
      </c>
      <c r="E68" s="563">
        <v>401183.96</v>
      </c>
      <c r="F68" s="563">
        <v>8855.32</v>
      </c>
      <c r="G68" s="558">
        <f t="shared" si="1"/>
        <v>121873.09000000003</v>
      </c>
      <c r="H68" s="559">
        <f t="shared" si="1"/>
        <v>5171.1899999999996</v>
      </c>
    </row>
    <row r="69" spans="1:9" ht="18.75" customHeight="1" x14ac:dyDescent="0.25">
      <c r="A69" s="211">
        <f t="shared" si="0"/>
        <v>64</v>
      </c>
      <c r="B69" s="276" t="s">
        <v>911</v>
      </c>
      <c r="C69" s="555">
        <f>SUM(C70:C75)</f>
        <v>1313410.5900000001</v>
      </c>
      <c r="D69" s="555">
        <f>SUM(D70:D75)</f>
        <v>9207.3799999999992</v>
      </c>
      <c r="E69" s="555">
        <f>SUM(E70:E75)</f>
        <v>1465405.1300000001</v>
      </c>
      <c r="F69" s="555">
        <f>SUM(F70:F75)</f>
        <v>11909.68</v>
      </c>
      <c r="G69" s="555">
        <f t="shared" si="1"/>
        <v>151994.54000000004</v>
      </c>
      <c r="H69" s="556">
        <f t="shared" si="1"/>
        <v>2702.3000000000011</v>
      </c>
    </row>
    <row r="70" spans="1:9" x14ac:dyDescent="0.25">
      <c r="A70" s="211">
        <f t="shared" si="0"/>
        <v>65</v>
      </c>
      <c r="B70" s="277" t="s">
        <v>720</v>
      </c>
      <c r="C70" s="557">
        <v>377207.57</v>
      </c>
      <c r="D70" s="557">
        <v>4211.12</v>
      </c>
      <c r="E70" s="557">
        <v>435199.35</v>
      </c>
      <c r="F70" s="557">
        <v>6150.71</v>
      </c>
      <c r="G70" s="558">
        <f t="shared" si="1"/>
        <v>57991.77999999997</v>
      </c>
      <c r="H70" s="559">
        <f t="shared" si="1"/>
        <v>1939.5900000000001</v>
      </c>
    </row>
    <row r="71" spans="1:9" x14ac:dyDescent="0.25">
      <c r="A71" s="211">
        <f t="shared" si="0"/>
        <v>66</v>
      </c>
      <c r="B71" s="277" t="s">
        <v>721</v>
      </c>
      <c r="C71" s="557">
        <v>520143.52</v>
      </c>
      <c r="D71" s="557"/>
      <c r="E71" s="557">
        <v>645204.56000000006</v>
      </c>
      <c r="F71" s="557"/>
      <c r="G71" s="558">
        <f t="shared" si="1"/>
        <v>125061.04000000004</v>
      </c>
      <c r="H71" s="559">
        <f t="shared" si="1"/>
        <v>0</v>
      </c>
    </row>
    <row r="72" spans="1:9" x14ac:dyDescent="0.25">
      <c r="A72" s="211">
        <f t="shared" si="0"/>
        <v>67</v>
      </c>
      <c r="B72" s="277" t="s">
        <v>722</v>
      </c>
      <c r="C72" s="557">
        <v>124158</v>
      </c>
      <c r="D72" s="557">
        <v>2967</v>
      </c>
      <c r="E72" s="557">
        <v>106047.46</v>
      </c>
      <c r="F72" s="557"/>
      <c r="G72" s="558">
        <f t="shared" si="1"/>
        <v>-18110.539999999994</v>
      </c>
      <c r="H72" s="559">
        <f t="shared" si="1"/>
        <v>-2967</v>
      </c>
    </row>
    <row r="73" spans="1:9" x14ac:dyDescent="0.25">
      <c r="A73" s="211">
        <f t="shared" ref="A73:A105" si="3">A72+1</f>
        <v>68</v>
      </c>
      <c r="B73" s="277" t="s">
        <v>723</v>
      </c>
      <c r="C73" s="557">
        <v>185780.21</v>
      </c>
      <c r="D73" s="557">
        <v>2029.26</v>
      </c>
      <c r="E73" s="557">
        <v>156026.73000000001</v>
      </c>
      <c r="F73" s="557">
        <v>5758.97</v>
      </c>
      <c r="G73" s="558">
        <f t="shared" ref="G73:H104" si="4">E73-C73</f>
        <v>-29753.479999999981</v>
      </c>
      <c r="H73" s="559">
        <f t="shared" si="4"/>
        <v>3729.71</v>
      </c>
    </row>
    <row r="74" spans="1:9" x14ac:dyDescent="0.25">
      <c r="A74" s="211">
        <f t="shared" si="3"/>
        <v>69</v>
      </c>
      <c r="B74" s="277" t="s">
        <v>724</v>
      </c>
      <c r="C74" s="557"/>
      <c r="D74" s="557"/>
      <c r="E74" s="557"/>
      <c r="F74" s="557"/>
      <c r="G74" s="558">
        <f t="shared" si="4"/>
        <v>0</v>
      </c>
      <c r="H74" s="559">
        <f t="shared" si="4"/>
        <v>0</v>
      </c>
    </row>
    <row r="75" spans="1:9" x14ac:dyDescent="0.25">
      <c r="A75" s="211">
        <f t="shared" si="3"/>
        <v>70</v>
      </c>
      <c r="B75" s="277" t="s">
        <v>776</v>
      </c>
      <c r="C75" s="557">
        <v>106121.29</v>
      </c>
      <c r="D75" s="557"/>
      <c r="E75" s="557">
        <v>122927.03</v>
      </c>
      <c r="F75" s="557"/>
      <c r="G75" s="558">
        <f t="shared" si="4"/>
        <v>16805.740000000005</v>
      </c>
      <c r="H75" s="559">
        <f t="shared" si="4"/>
        <v>0</v>
      </c>
      <c r="I75" s="172"/>
    </row>
    <row r="76" spans="1:9" x14ac:dyDescent="0.25">
      <c r="A76" s="211">
        <f t="shared" si="3"/>
        <v>71</v>
      </c>
      <c r="B76" s="276" t="s">
        <v>14</v>
      </c>
      <c r="C76" s="557"/>
      <c r="D76" s="557"/>
      <c r="E76" s="557"/>
      <c r="F76" s="557"/>
      <c r="G76" s="558">
        <f t="shared" si="4"/>
        <v>0</v>
      </c>
      <c r="H76" s="559">
        <f t="shared" si="4"/>
        <v>0</v>
      </c>
      <c r="I76" s="212"/>
    </row>
    <row r="77" spans="1:9" x14ac:dyDescent="0.25">
      <c r="A77" s="211">
        <f t="shared" si="3"/>
        <v>72</v>
      </c>
      <c r="B77" s="276" t="s">
        <v>179</v>
      </c>
      <c r="C77" s="557"/>
      <c r="D77" s="557">
        <v>889.6</v>
      </c>
      <c r="E77" s="557"/>
      <c r="F77" s="557">
        <v>912.33</v>
      </c>
      <c r="G77" s="558">
        <f t="shared" si="4"/>
        <v>0</v>
      </c>
      <c r="H77" s="559">
        <f t="shared" si="4"/>
        <v>22.730000000000018</v>
      </c>
    </row>
    <row r="78" spans="1:9" x14ac:dyDescent="0.25">
      <c r="A78" s="211">
        <f t="shared" si="3"/>
        <v>73</v>
      </c>
      <c r="B78" s="276" t="s">
        <v>63</v>
      </c>
      <c r="C78" s="557">
        <v>33008.82</v>
      </c>
      <c r="D78" s="557">
        <v>2921.56</v>
      </c>
      <c r="E78" s="557">
        <v>33022.29</v>
      </c>
      <c r="F78" s="557">
        <v>2921.56</v>
      </c>
      <c r="G78" s="558">
        <f t="shared" si="4"/>
        <v>13.470000000001164</v>
      </c>
      <c r="H78" s="559">
        <f t="shared" si="4"/>
        <v>0</v>
      </c>
    </row>
    <row r="79" spans="1:9" x14ac:dyDescent="0.25">
      <c r="A79" s="211">
        <f t="shared" si="3"/>
        <v>74</v>
      </c>
      <c r="B79" s="276" t="s">
        <v>129</v>
      </c>
      <c r="C79" s="557">
        <v>194401.49</v>
      </c>
      <c r="D79" s="557">
        <v>16946.98</v>
      </c>
      <c r="E79" s="563">
        <v>427121.75</v>
      </c>
      <c r="F79" s="563">
        <v>16720.39</v>
      </c>
      <c r="G79" s="558">
        <f t="shared" si="4"/>
        <v>232720.26</v>
      </c>
      <c r="H79" s="559">
        <f t="shared" si="4"/>
        <v>-226.59000000000015</v>
      </c>
    </row>
    <row r="80" spans="1:9" s="775" customFormat="1" x14ac:dyDescent="0.25">
      <c r="A80" s="770">
        <f t="shared" si="3"/>
        <v>75</v>
      </c>
      <c r="B80" s="771" t="s">
        <v>912</v>
      </c>
      <c r="C80" s="772">
        <f>C81+C82</f>
        <v>3461462.7800000003</v>
      </c>
      <c r="D80" s="772">
        <f>D81+D82</f>
        <v>1634.48</v>
      </c>
      <c r="E80" s="772">
        <f>E81+E82</f>
        <v>3876170.61</v>
      </c>
      <c r="F80" s="772">
        <f>F81+F82</f>
        <v>1684.8300000000002</v>
      </c>
      <c r="G80" s="772">
        <f t="shared" si="4"/>
        <v>414707.82999999961</v>
      </c>
      <c r="H80" s="773">
        <f t="shared" si="4"/>
        <v>50.350000000000136</v>
      </c>
      <c r="I80" s="774" t="s">
        <v>1083</v>
      </c>
    </row>
    <row r="81" spans="1:25" ht="16.5" customHeight="1" x14ac:dyDescent="0.25">
      <c r="A81" s="211">
        <f t="shared" si="3"/>
        <v>76</v>
      </c>
      <c r="B81" s="276" t="s">
        <v>616</v>
      </c>
      <c r="C81" s="563">
        <f>10049.1+5723.5+442.49+134.05</f>
        <v>16349.14</v>
      </c>
      <c r="D81" s="563"/>
      <c r="E81" s="563">
        <f>12606.19+6985.29+9.17</f>
        <v>19600.649999999998</v>
      </c>
      <c r="F81" s="563"/>
      <c r="G81" s="558">
        <f t="shared" si="4"/>
        <v>3251.5099999999984</v>
      </c>
      <c r="H81" s="559">
        <f t="shared" si="4"/>
        <v>0</v>
      </c>
      <c r="I81" s="212"/>
    </row>
    <row r="82" spans="1:25" s="775" customFormat="1" ht="81.75" customHeight="1" x14ac:dyDescent="0.25">
      <c r="A82" s="770">
        <f t="shared" si="3"/>
        <v>77</v>
      </c>
      <c r="B82" s="776" t="s">
        <v>913</v>
      </c>
      <c r="C82" s="772">
        <f>SUM(C83:C90)</f>
        <v>3445113.64</v>
      </c>
      <c r="D82" s="772">
        <f>SUM(D83:D90)</f>
        <v>1634.48</v>
      </c>
      <c r="E82" s="772">
        <f>SUM(E83:E90)</f>
        <v>3856569.96</v>
      </c>
      <c r="F82" s="772">
        <f>SUM(F83:F90)</f>
        <v>1684.8300000000002</v>
      </c>
      <c r="G82" s="772">
        <f t="shared" si="4"/>
        <v>411456.31999999983</v>
      </c>
      <c r="H82" s="773">
        <f t="shared" si="4"/>
        <v>50.350000000000136</v>
      </c>
      <c r="I82" s="785" t="s">
        <v>1108</v>
      </c>
      <c r="J82" s="784">
        <f>E82+E103</f>
        <v>9884782.25</v>
      </c>
      <c r="K82" s="784">
        <f>F82+F103</f>
        <v>77957.27</v>
      </c>
    </row>
    <row r="83" spans="1:25" ht="16.5" customHeight="1" x14ac:dyDescent="0.25">
      <c r="A83" s="211">
        <f t="shared" si="3"/>
        <v>78</v>
      </c>
      <c r="B83" s="277" t="s">
        <v>725</v>
      </c>
      <c r="C83" s="557">
        <v>3228887.17</v>
      </c>
      <c r="D83" s="557"/>
      <c r="E83" s="557">
        <v>3653962.56</v>
      </c>
      <c r="F83" s="557"/>
      <c r="G83" s="558">
        <f t="shared" si="4"/>
        <v>425075.39000000013</v>
      </c>
      <c r="H83" s="559">
        <f t="shared" si="4"/>
        <v>0</v>
      </c>
    </row>
    <row r="84" spans="1:25" x14ac:dyDescent="0.25">
      <c r="A84" s="211">
        <f t="shared" si="3"/>
        <v>79</v>
      </c>
      <c r="B84" s="277" t="s">
        <v>45</v>
      </c>
      <c r="C84" s="557">
        <v>12430.77</v>
      </c>
      <c r="D84" s="557">
        <v>493.05</v>
      </c>
      <c r="E84" s="557">
        <v>16218.36</v>
      </c>
      <c r="F84" s="557">
        <v>449.63</v>
      </c>
      <c r="G84" s="558">
        <f t="shared" si="4"/>
        <v>3787.59</v>
      </c>
      <c r="H84" s="559">
        <f t="shared" si="4"/>
        <v>-43.420000000000016</v>
      </c>
    </row>
    <row r="85" spans="1:25" x14ac:dyDescent="0.25">
      <c r="A85" s="211">
        <f t="shared" si="3"/>
        <v>80</v>
      </c>
      <c r="B85" s="277" t="s">
        <v>46</v>
      </c>
      <c r="C85" s="557"/>
      <c r="D85" s="557"/>
      <c r="E85" s="557"/>
      <c r="F85" s="557"/>
      <c r="G85" s="558">
        <f t="shared" si="4"/>
        <v>0</v>
      </c>
      <c r="H85" s="559">
        <f t="shared" si="4"/>
        <v>0</v>
      </c>
    </row>
    <row r="86" spans="1:25" ht="31.5" x14ac:dyDescent="0.25">
      <c r="A86" s="211">
        <f t="shared" si="3"/>
        <v>81</v>
      </c>
      <c r="B86" s="277" t="s">
        <v>726</v>
      </c>
      <c r="C86" s="557">
        <v>108909.2</v>
      </c>
      <c r="D86" s="557">
        <v>1054.51</v>
      </c>
      <c r="E86" s="557">
        <v>100865.32</v>
      </c>
      <c r="F86" s="557">
        <v>1229.75</v>
      </c>
      <c r="G86" s="558">
        <f t="shared" si="4"/>
        <v>-8043.8799999999901</v>
      </c>
      <c r="H86" s="559">
        <f t="shared" si="4"/>
        <v>175.24</v>
      </c>
      <c r="I86" s="215"/>
      <c r="J86" s="216"/>
      <c r="K86" s="216"/>
      <c r="L86" s="216"/>
    </row>
    <row r="87" spans="1:25" ht="31.5" x14ac:dyDescent="0.25">
      <c r="A87" s="211">
        <f t="shared" si="3"/>
        <v>82</v>
      </c>
      <c r="B87" s="277" t="s">
        <v>769</v>
      </c>
      <c r="C87" s="557">
        <v>85735</v>
      </c>
      <c r="D87" s="557"/>
      <c r="E87" s="557">
        <v>63827</v>
      </c>
      <c r="F87" s="557"/>
      <c r="G87" s="558">
        <f t="shared" si="4"/>
        <v>-21908</v>
      </c>
      <c r="H87" s="559">
        <f t="shared" si="4"/>
        <v>0</v>
      </c>
      <c r="J87" s="212"/>
    </row>
    <row r="88" spans="1:25" ht="15.75" customHeight="1" x14ac:dyDescent="0.25">
      <c r="A88" s="211" t="s">
        <v>523</v>
      </c>
      <c r="B88" s="277" t="s">
        <v>727</v>
      </c>
      <c r="C88" s="557"/>
      <c r="D88" s="557"/>
      <c r="E88" s="557"/>
      <c r="F88" s="557"/>
      <c r="G88" s="558">
        <f t="shared" si="4"/>
        <v>0</v>
      </c>
      <c r="H88" s="559">
        <f t="shared" si="4"/>
        <v>0</v>
      </c>
      <c r="I88" s="208"/>
    </row>
    <row r="89" spans="1:25" ht="15.75" customHeight="1" x14ac:dyDescent="0.25">
      <c r="A89" s="211">
        <f>A87+1</f>
        <v>83</v>
      </c>
      <c r="B89" s="277" t="s">
        <v>728</v>
      </c>
      <c r="C89" s="557">
        <v>7230</v>
      </c>
      <c r="D89" s="557"/>
      <c r="E89" s="557">
        <v>11579</v>
      </c>
      <c r="F89" s="557"/>
      <c r="G89" s="558">
        <f t="shared" si="4"/>
        <v>4349</v>
      </c>
      <c r="H89" s="559">
        <f t="shared" si="4"/>
        <v>0</v>
      </c>
      <c r="I89" s="208"/>
    </row>
    <row r="90" spans="1:25" ht="31.5" x14ac:dyDescent="0.25">
      <c r="A90" s="211">
        <f t="shared" si="3"/>
        <v>84</v>
      </c>
      <c r="B90" s="524" t="s">
        <v>906</v>
      </c>
      <c r="C90" s="557">
        <v>1921.5</v>
      </c>
      <c r="D90" s="557">
        <v>86.92</v>
      </c>
      <c r="E90" s="557">
        <v>10117.719999999999</v>
      </c>
      <c r="F90" s="557">
        <v>5.45</v>
      </c>
      <c r="G90" s="558">
        <f t="shared" si="4"/>
        <v>8196.2199999999993</v>
      </c>
      <c r="H90" s="559">
        <f t="shared" si="4"/>
        <v>-81.47</v>
      </c>
      <c r="I90" s="208"/>
      <c r="J90" s="212"/>
    </row>
    <row r="91" spans="1:25" ht="31.5" x14ac:dyDescent="0.25">
      <c r="A91" s="211">
        <f t="shared" si="3"/>
        <v>85</v>
      </c>
      <c r="B91" s="276" t="s">
        <v>914</v>
      </c>
      <c r="C91" s="555">
        <f>SUM(C92:C101)</f>
        <v>4258895.88</v>
      </c>
      <c r="D91" s="555">
        <f>SUM(D92:D101)</f>
        <v>63551.850000000006</v>
      </c>
      <c r="E91" s="555">
        <f>SUM(E92:E101)</f>
        <v>4475496.93</v>
      </c>
      <c r="F91" s="555">
        <f>SUM(F92:F101)</f>
        <v>61445.100000000006</v>
      </c>
      <c r="G91" s="555">
        <f t="shared" si="4"/>
        <v>216601.04999999981</v>
      </c>
      <c r="H91" s="556">
        <f t="shared" si="4"/>
        <v>-2106.75</v>
      </c>
      <c r="I91" s="208"/>
    </row>
    <row r="92" spans="1:25" ht="31.5" customHeight="1" x14ac:dyDescent="0.25">
      <c r="A92" s="436">
        <f t="shared" si="3"/>
        <v>86</v>
      </c>
      <c r="B92" s="437" t="s">
        <v>770</v>
      </c>
      <c r="C92" s="557">
        <v>593140.86</v>
      </c>
      <c r="D92" s="557"/>
      <c r="E92" s="557">
        <f>237923.99+356397</f>
        <v>594320.99</v>
      </c>
      <c r="F92" s="557"/>
      <c r="G92" s="558">
        <f t="shared" si="4"/>
        <v>1180.1300000000047</v>
      </c>
      <c r="H92" s="559">
        <f t="shared" si="4"/>
        <v>0</v>
      </c>
      <c r="I92" s="729"/>
      <c r="J92" s="217"/>
      <c r="K92" s="217"/>
      <c r="L92" s="217"/>
    </row>
    <row r="93" spans="1:25" ht="86.25" x14ac:dyDescent="0.25">
      <c r="A93" s="434">
        <f t="shared" si="3"/>
        <v>87</v>
      </c>
      <c r="B93" s="435" t="s">
        <v>778</v>
      </c>
      <c r="C93" s="557">
        <v>1627009.35</v>
      </c>
      <c r="D93" s="557">
        <v>59870.55</v>
      </c>
      <c r="E93" s="557">
        <f>885145.13+800003.21+7027.49+11</f>
        <v>1692186.8299999998</v>
      </c>
      <c r="F93" s="557">
        <v>59068.3</v>
      </c>
      <c r="G93" s="558">
        <f t="shared" si="4"/>
        <v>65177.479999999749</v>
      </c>
      <c r="H93" s="559">
        <f t="shared" si="4"/>
        <v>-802.25</v>
      </c>
      <c r="I93" s="742" t="s">
        <v>1046</v>
      </c>
      <c r="J93" s="225"/>
      <c r="K93" s="225"/>
      <c r="L93" s="225"/>
      <c r="M93" s="225"/>
      <c r="N93" s="225"/>
      <c r="O93" s="225"/>
      <c r="P93" s="225"/>
      <c r="Q93" s="225"/>
      <c r="R93" s="225"/>
      <c r="S93" s="225"/>
      <c r="T93" s="225"/>
      <c r="U93" s="225"/>
      <c r="V93" s="225"/>
      <c r="W93" s="225"/>
      <c r="X93" s="225"/>
      <c r="Y93" s="225"/>
    </row>
    <row r="94" spans="1:25" ht="31.5" x14ac:dyDescent="0.25">
      <c r="A94" s="436" t="s">
        <v>464</v>
      </c>
      <c r="B94" s="438" t="s">
        <v>771</v>
      </c>
      <c r="C94" s="557">
        <v>1545642.51</v>
      </c>
      <c r="D94" s="557"/>
      <c r="E94" s="557">
        <f>1389257.36+417278</f>
        <v>1806535.36</v>
      </c>
      <c r="F94" s="557"/>
      <c r="G94" s="558">
        <f>E94-C94</f>
        <v>260892.85000000009</v>
      </c>
      <c r="H94" s="559">
        <f>F94-D94</f>
        <v>0</v>
      </c>
      <c r="I94" s="726"/>
      <c r="J94" s="567"/>
    </row>
    <row r="95" spans="1:25" ht="93.75" customHeight="1" x14ac:dyDescent="0.25">
      <c r="A95" s="436" t="s">
        <v>768</v>
      </c>
      <c r="B95" s="438" t="s">
        <v>772</v>
      </c>
      <c r="C95" s="557">
        <v>393425.16</v>
      </c>
      <c r="D95" s="557"/>
      <c r="E95" s="557">
        <f>247150+11676+7119.01+57912.82</f>
        <v>323857.83</v>
      </c>
      <c r="F95" s="557"/>
      <c r="G95" s="558">
        <f>E95-C95</f>
        <v>-69567.329999999958</v>
      </c>
      <c r="H95" s="559">
        <f>F95-D95</f>
        <v>0</v>
      </c>
      <c r="I95" s="741"/>
    </row>
    <row r="96" spans="1:25" ht="15.75" customHeight="1" x14ac:dyDescent="0.25">
      <c r="A96" s="211">
        <f>A93+1</f>
        <v>88</v>
      </c>
      <c r="B96" s="280" t="s">
        <v>522</v>
      </c>
      <c r="C96" s="557">
        <v>220.64</v>
      </c>
      <c r="D96" s="557">
        <v>3681.3</v>
      </c>
      <c r="E96" s="557">
        <f>7884.24+12.9</f>
        <v>7897.1399999999994</v>
      </c>
      <c r="F96" s="557">
        <v>2376.8000000000002</v>
      </c>
      <c r="G96" s="558">
        <f t="shared" si="4"/>
        <v>7676.4999999999991</v>
      </c>
      <c r="H96" s="559">
        <f t="shared" si="4"/>
        <v>-1304.5</v>
      </c>
      <c r="I96" s="212"/>
    </row>
    <row r="97" spans="1:9" ht="15.75" customHeight="1" x14ac:dyDescent="0.25">
      <c r="A97" s="211">
        <f t="shared" si="3"/>
        <v>89</v>
      </c>
      <c r="B97" s="280" t="s">
        <v>58</v>
      </c>
      <c r="C97" s="557"/>
      <c r="D97" s="557"/>
      <c r="E97" s="557"/>
      <c r="F97" s="557"/>
      <c r="G97" s="558">
        <f t="shared" si="4"/>
        <v>0</v>
      </c>
      <c r="H97" s="559">
        <f t="shared" si="4"/>
        <v>0</v>
      </c>
    </row>
    <row r="98" spans="1:9" ht="15.75" customHeight="1" x14ac:dyDescent="0.25">
      <c r="A98" s="211">
        <f t="shared" si="3"/>
        <v>90</v>
      </c>
      <c r="B98" s="280" t="s">
        <v>59</v>
      </c>
      <c r="C98" s="557">
        <v>85985.06</v>
      </c>
      <c r="D98" s="557"/>
      <c r="E98" s="557">
        <v>50698.78</v>
      </c>
      <c r="F98" s="557"/>
      <c r="G98" s="558">
        <f t="shared" si="4"/>
        <v>-35286.28</v>
      </c>
      <c r="H98" s="559">
        <f t="shared" si="4"/>
        <v>0</v>
      </c>
    </row>
    <row r="99" spans="1:9" ht="31.5" x14ac:dyDescent="0.25">
      <c r="A99" s="211">
        <f t="shared" si="3"/>
        <v>91</v>
      </c>
      <c r="B99" s="283" t="s">
        <v>524</v>
      </c>
      <c r="C99" s="557">
        <v>13472.3</v>
      </c>
      <c r="D99" s="557"/>
      <c r="E99" s="557"/>
      <c r="F99" s="557"/>
      <c r="G99" s="558">
        <f t="shared" si="4"/>
        <v>-13472.3</v>
      </c>
      <c r="H99" s="559">
        <f t="shared" si="4"/>
        <v>0</v>
      </c>
      <c r="I99" s="218"/>
    </row>
    <row r="100" spans="1:9" ht="40.5" customHeight="1" x14ac:dyDescent="0.25">
      <c r="A100" s="211">
        <f t="shared" si="3"/>
        <v>92</v>
      </c>
      <c r="B100" s="284" t="s">
        <v>729</v>
      </c>
      <c r="C100" s="557"/>
      <c r="D100" s="557"/>
      <c r="E100" s="557"/>
      <c r="F100" s="557"/>
      <c r="G100" s="558">
        <f t="shared" si="4"/>
        <v>0</v>
      </c>
      <c r="H100" s="559">
        <f t="shared" si="4"/>
        <v>0</v>
      </c>
    </row>
    <row r="101" spans="1:9" ht="16.5" customHeight="1" x14ac:dyDescent="0.25">
      <c r="A101" s="211">
        <f>A100+1</f>
        <v>93</v>
      </c>
      <c r="B101" s="525" t="s">
        <v>907</v>
      </c>
      <c r="C101" s="557"/>
      <c r="D101" s="557"/>
      <c r="E101" s="557"/>
      <c r="F101" s="557"/>
      <c r="G101" s="558">
        <f t="shared" si="4"/>
        <v>0</v>
      </c>
      <c r="H101" s="559">
        <f t="shared" si="4"/>
        <v>0</v>
      </c>
    </row>
    <row r="102" spans="1:9" ht="16.149999999999999" customHeight="1" x14ac:dyDescent="0.25">
      <c r="A102" s="211">
        <f t="shared" si="3"/>
        <v>94</v>
      </c>
      <c r="B102" s="276" t="s">
        <v>533</v>
      </c>
      <c r="C102" s="557">
        <v>1559258.11</v>
      </c>
      <c r="D102" s="557"/>
      <c r="E102" s="557">
        <v>902890.84</v>
      </c>
      <c r="F102" s="557"/>
      <c r="G102" s="558">
        <f t="shared" si="4"/>
        <v>-656367.27000000014</v>
      </c>
      <c r="H102" s="559">
        <f t="shared" si="4"/>
        <v>0</v>
      </c>
    </row>
    <row r="103" spans="1:9" ht="16.149999999999999" customHeight="1" x14ac:dyDescent="0.25">
      <c r="A103" s="211">
        <f t="shared" si="3"/>
        <v>95</v>
      </c>
      <c r="B103" s="276" t="s">
        <v>617</v>
      </c>
      <c r="C103" s="557">
        <f>4580525.21-14983.85</f>
        <v>4565541.3600000003</v>
      </c>
      <c r="D103" s="557">
        <v>79719.63</v>
      </c>
      <c r="E103" s="557">
        <v>6028212.29</v>
      </c>
      <c r="F103" s="557">
        <v>76272.44</v>
      </c>
      <c r="G103" s="558">
        <f t="shared" si="4"/>
        <v>1462670.9299999997</v>
      </c>
      <c r="H103" s="559">
        <f t="shared" si="4"/>
        <v>-3447.1900000000023</v>
      </c>
      <c r="I103" s="224"/>
    </row>
    <row r="104" spans="1:9" x14ac:dyDescent="0.25">
      <c r="A104" s="211">
        <f t="shared" si="3"/>
        <v>96</v>
      </c>
      <c r="B104" s="276" t="s">
        <v>534</v>
      </c>
      <c r="C104" s="557"/>
      <c r="D104" s="557">
        <v>18529.3</v>
      </c>
      <c r="E104" s="557">
        <v>1128.27</v>
      </c>
      <c r="F104" s="557">
        <v>20162.900000000001</v>
      </c>
      <c r="G104" s="558">
        <f t="shared" si="4"/>
        <v>1128.27</v>
      </c>
      <c r="H104" s="559">
        <f t="shared" si="4"/>
        <v>1633.6000000000022</v>
      </c>
    </row>
    <row r="105" spans="1:9" ht="34.5" customHeight="1" thickBot="1" x14ac:dyDescent="0.3">
      <c r="A105" s="236">
        <f t="shared" si="3"/>
        <v>97</v>
      </c>
      <c r="B105" s="285" t="s">
        <v>917</v>
      </c>
      <c r="C105" s="565">
        <f t="shared" ref="C105:D105" si="5">C6+C19+C27+C32+C40+C43+C44+C60+C67+C68+C69+C76+C77+C78+C79+C80+C91+C102+C103+C104</f>
        <v>77929185.399999991</v>
      </c>
      <c r="D105" s="565">
        <f t="shared" si="5"/>
        <v>1454218.64</v>
      </c>
      <c r="E105" s="565">
        <f>E6+E19+E27+E32+E40+E43+E44+E60+E67+E68+E69+E76+E77+E78+E79+E80+E91+E102+E103+E104</f>
        <v>90237508.00999999</v>
      </c>
      <c r="F105" s="565">
        <f>F6+F19+F27+F32+F40+F43+F44+F60+F67+F68+F69+F76+F77+F78+F79+F80+F91+F102+F103+F104</f>
        <v>2004225.7500000002</v>
      </c>
      <c r="G105" s="565">
        <f>E105-C105</f>
        <v>12308322.609999999</v>
      </c>
      <c r="H105" s="566">
        <f>F105-D105</f>
        <v>550007.11000000034</v>
      </c>
    </row>
    <row r="106" spans="1:9" x14ac:dyDescent="0.25">
      <c r="A106" s="219"/>
      <c r="B106" s="286"/>
      <c r="C106" s="727"/>
      <c r="D106" s="568">
        <f>C105+D105-C104-D104</f>
        <v>79364874.739999995</v>
      </c>
      <c r="E106" s="727"/>
      <c r="F106" s="568">
        <f>E105+F105-E104-F104</f>
        <v>92220442.589999989</v>
      </c>
      <c r="G106" s="567"/>
      <c r="H106" s="567"/>
      <c r="I106" s="220" t="s">
        <v>516</v>
      </c>
    </row>
    <row r="107" spans="1:9" ht="31.5" x14ac:dyDescent="0.25">
      <c r="A107" s="221" t="s">
        <v>500</v>
      </c>
      <c r="B107" s="287" t="s">
        <v>915</v>
      </c>
      <c r="C107" s="727"/>
      <c r="D107" s="727"/>
      <c r="E107" s="727"/>
      <c r="F107" s="727"/>
      <c r="H107" s="209" t="s">
        <v>1084</v>
      </c>
    </row>
    <row r="108" spans="1:9" x14ac:dyDescent="0.25">
      <c r="B108" s="287" t="s">
        <v>777</v>
      </c>
      <c r="D108" s="217"/>
      <c r="E108" s="727"/>
      <c r="F108" s="727"/>
      <c r="H108" s="217" t="s">
        <v>1085</v>
      </c>
    </row>
    <row r="109" spans="1:9" x14ac:dyDescent="0.25">
      <c r="D109" s="727"/>
      <c r="E109" s="217"/>
      <c r="F109" s="727"/>
      <c r="H109" s="209" t="s">
        <v>1086</v>
      </c>
    </row>
    <row r="110" spans="1:9" x14ac:dyDescent="0.25">
      <c r="F110" s="217"/>
      <c r="H110" s="217" t="s">
        <v>1104</v>
      </c>
    </row>
    <row r="975" spans="6:6" x14ac:dyDescent="0.25">
      <c r="F975" s="209" t="s">
        <v>182</v>
      </c>
    </row>
    <row r="994" spans="4:4" x14ac:dyDescent="0.25">
      <c r="D994" s="209" t="s">
        <v>181</v>
      </c>
    </row>
  </sheetData>
  <mergeCells count="7">
    <mergeCell ref="A1:H1"/>
    <mergeCell ref="A2:H2"/>
    <mergeCell ref="A3:A4"/>
    <mergeCell ref="B3:B4"/>
    <mergeCell ref="C3:D3"/>
    <mergeCell ref="E3:F3"/>
    <mergeCell ref="G3:H3"/>
  </mergeCells>
  <printOptions horizontalCentered="1" verticalCentered="1" gridLines="1"/>
  <pageMargins left="0.19685039370078741" right="0.19685039370078741" top="0.19685039370078741" bottom="0.19685039370078741" header="0.39370078740157483" footer="0.23622047244094491"/>
  <pageSetup paperSize="9" scale="54" fitToHeight="0" orientation="portrait" r:id="rId1"/>
  <headerFooter alignWithMargins="0">
    <oddFooter xml:space="preserve">&amp;C &amp;P z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indexed="42"/>
    <pageSetUpPr fitToPage="1"/>
  </sheetPr>
  <dimension ref="A1:O38"/>
  <sheetViews>
    <sheetView zoomScaleNormal="100" workbookViewId="0">
      <pane xSplit="2" ySplit="6" topLeftCell="F23" activePane="bottomRight" state="frozen"/>
      <selection pane="topRight" activeCell="C1" sqref="C1"/>
      <selection pane="bottomLeft" activeCell="A7" sqref="A7"/>
      <selection pane="bottomRight" activeCell="J30" sqref="J30"/>
    </sheetView>
  </sheetViews>
  <sheetFormatPr defaultColWidth="9.140625" defaultRowHeight="15.75" x14ac:dyDescent="0.2"/>
  <cols>
    <col min="1" max="1" width="5.5703125" style="18" customWidth="1"/>
    <col min="2" max="2" width="65.42578125" style="25" customWidth="1"/>
    <col min="3" max="3" width="14.7109375" style="13" customWidth="1"/>
    <col min="4" max="4" width="14" style="13" customWidth="1"/>
    <col min="5" max="5" width="15.85546875" style="13" customWidth="1"/>
    <col min="6" max="6" width="15.7109375" style="13" customWidth="1"/>
    <col min="7" max="7" width="19.140625" style="13" customWidth="1"/>
    <col min="8" max="8" width="18.7109375" style="13" customWidth="1"/>
    <col min="9" max="9" width="16.28515625" style="13" customWidth="1"/>
    <col min="10" max="10" width="17.7109375" style="13" bestFit="1" customWidth="1"/>
    <col min="11" max="11" width="13.28515625" style="13" customWidth="1"/>
    <col min="12" max="13" width="9.85546875" style="13" customWidth="1"/>
    <col min="14" max="14" width="9.140625" style="13" customWidth="1"/>
    <col min="15" max="15" width="32.42578125" style="13" customWidth="1"/>
    <col min="16" max="16384" width="9.140625" style="13"/>
  </cols>
  <sheetData>
    <row r="1" spans="1:15" s="255" customFormat="1" ht="35.1" customHeight="1" thickBot="1" x14ac:dyDescent="0.25">
      <c r="A1" s="837" t="s">
        <v>813</v>
      </c>
      <c r="B1" s="838"/>
      <c r="C1" s="838"/>
      <c r="D1" s="838"/>
      <c r="E1" s="838"/>
      <c r="F1" s="838"/>
      <c r="G1" s="838"/>
      <c r="H1" s="838"/>
      <c r="I1" s="838"/>
      <c r="J1" s="838"/>
      <c r="K1" s="838"/>
    </row>
    <row r="2" spans="1:15" s="255" customFormat="1" ht="35.450000000000003" customHeight="1" thickBot="1" x14ac:dyDescent="0.25">
      <c r="A2" s="813" t="s">
        <v>1057</v>
      </c>
      <c r="B2" s="814"/>
      <c r="C2" s="814"/>
      <c r="D2" s="814"/>
      <c r="E2" s="814"/>
      <c r="F2" s="814"/>
      <c r="G2" s="814"/>
      <c r="H2" s="814"/>
      <c r="I2" s="814"/>
      <c r="J2" s="814"/>
      <c r="K2" s="815"/>
      <c r="L2" s="288"/>
      <c r="M2" s="288"/>
      <c r="N2" s="288"/>
    </row>
    <row r="3" spans="1:15" s="255" customFormat="1" ht="32.25" customHeight="1" x14ac:dyDescent="0.2">
      <c r="A3" s="853" t="s">
        <v>80</v>
      </c>
      <c r="B3" s="809" t="s">
        <v>90</v>
      </c>
      <c r="C3" s="809" t="s">
        <v>814</v>
      </c>
      <c r="D3" s="809"/>
      <c r="E3" s="809"/>
      <c r="F3" s="809"/>
      <c r="G3" s="809" t="s">
        <v>479</v>
      </c>
      <c r="H3" s="844" t="s">
        <v>133</v>
      </c>
      <c r="I3" s="809" t="s">
        <v>481</v>
      </c>
      <c r="J3" s="839" t="s">
        <v>482</v>
      </c>
      <c r="K3" s="846" t="s">
        <v>503</v>
      </c>
      <c r="L3" s="828" t="s">
        <v>541</v>
      </c>
      <c r="M3" s="831" t="s">
        <v>553</v>
      </c>
      <c r="N3" s="834" t="s">
        <v>542</v>
      </c>
      <c r="O3" s="289"/>
    </row>
    <row r="4" spans="1:15" s="255" customFormat="1" ht="34.5" customHeight="1" x14ac:dyDescent="0.2">
      <c r="A4" s="854"/>
      <c r="B4" s="849"/>
      <c r="C4" s="849" t="s">
        <v>88</v>
      </c>
      <c r="D4" s="237" t="s">
        <v>133</v>
      </c>
      <c r="E4" s="849" t="s">
        <v>89</v>
      </c>
      <c r="F4" s="849" t="s">
        <v>67</v>
      </c>
      <c r="G4" s="849"/>
      <c r="H4" s="845"/>
      <c r="I4" s="849"/>
      <c r="J4" s="840"/>
      <c r="K4" s="846"/>
      <c r="L4" s="829"/>
      <c r="M4" s="832"/>
      <c r="N4" s="835"/>
      <c r="O4" s="289"/>
    </row>
    <row r="5" spans="1:15" s="291" customFormat="1" ht="79.5" thickBot="1" x14ac:dyDescent="0.25">
      <c r="A5" s="854"/>
      <c r="B5" s="849"/>
      <c r="C5" s="849"/>
      <c r="D5" s="237" t="s">
        <v>463</v>
      </c>
      <c r="E5" s="849"/>
      <c r="F5" s="849"/>
      <c r="G5" s="849"/>
      <c r="H5" s="237" t="s">
        <v>480</v>
      </c>
      <c r="I5" s="849"/>
      <c r="J5" s="840"/>
      <c r="K5" s="847"/>
      <c r="L5" s="830"/>
      <c r="M5" s="833"/>
      <c r="N5" s="836"/>
      <c r="O5" s="290"/>
    </row>
    <row r="6" spans="1:15" s="295" customFormat="1" ht="15.75" customHeight="1" thickBot="1" x14ac:dyDescent="0.25">
      <c r="A6" s="292"/>
      <c r="B6" s="241"/>
      <c r="C6" s="257" t="s">
        <v>119</v>
      </c>
      <c r="D6" s="257" t="s">
        <v>120</v>
      </c>
      <c r="E6" s="257" t="s">
        <v>121</v>
      </c>
      <c r="F6" s="257" t="s">
        <v>68</v>
      </c>
      <c r="G6" s="257" t="s">
        <v>122</v>
      </c>
      <c r="H6" s="257" t="s">
        <v>123</v>
      </c>
      <c r="I6" s="257" t="s">
        <v>124</v>
      </c>
      <c r="J6" s="293" t="s">
        <v>69</v>
      </c>
      <c r="K6" s="294" t="s">
        <v>504</v>
      </c>
    </row>
    <row r="7" spans="1:15" s="16" customFormat="1" x14ac:dyDescent="0.2">
      <c r="A7" s="19">
        <v>1</v>
      </c>
      <c r="B7" s="238" t="s">
        <v>116</v>
      </c>
      <c r="C7" s="532">
        <f>SUM(C8:C12)</f>
        <v>639.34</v>
      </c>
      <c r="D7" s="532">
        <f>SUM(D8:D12)</f>
        <v>638.77</v>
      </c>
      <c r="E7" s="532">
        <f>SUM(E8:E12)</f>
        <v>93.83</v>
      </c>
      <c r="F7" s="532">
        <f t="shared" ref="F7:F13" si="0">C7+E7</f>
        <v>733.17000000000007</v>
      </c>
      <c r="G7" s="532">
        <f>SUM(G8:G12)</f>
        <v>16383965.84</v>
      </c>
      <c r="H7" s="532">
        <f>SUM(H8:H12)</f>
        <v>16202561.490000002</v>
      </c>
      <c r="I7" s="532">
        <f>SUM(I8:I12)</f>
        <v>6437551.2100000009</v>
      </c>
      <c r="J7" s="587">
        <f t="shared" ref="J7:J13" si="1">G7+I7</f>
        <v>22821517.050000001</v>
      </c>
      <c r="K7" s="588">
        <f>IF(F7=0,0,J7/F7/12)</f>
        <v>2593.9319496160506</v>
      </c>
      <c r="L7" s="578">
        <v>1759.52</v>
      </c>
      <c r="M7" s="579">
        <v>2142</v>
      </c>
      <c r="N7" s="580">
        <v>2841.02</v>
      </c>
    </row>
    <row r="8" spans="1:15" x14ac:dyDescent="0.2">
      <c r="A8" s="19">
        <v>2</v>
      </c>
      <c r="B8" s="239" t="s">
        <v>730</v>
      </c>
      <c r="C8" s="569">
        <v>88.66</v>
      </c>
      <c r="D8" s="569">
        <v>88.2</v>
      </c>
      <c r="E8" s="569">
        <v>19.79</v>
      </c>
      <c r="F8" s="532">
        <f t="shared" si="0"/>
        <v>108.44999999999999</v>
      </c>
      <c r="G8" s="569">
        <v>3609824.06</v>
      </c>
      <c r="H8" s="569">
        <v>3552453.56</v>
      </c>
      <c r="I8" s="569">
        <v>1662129.1099999999</v>
      </c>
      <c r="J8" s="587">
        <f t="shared" si="1"/>
        <v>5271953.17</v>
      </c>
      <c r="K8" s="588">
        <f t="shared" ref="K8:K30" si="2">IF(F8=0,0,J8/F8/12)</f>
        <v>4050.9859920086069</v>
      </c>
      <c r="L8" s="581">
        <v>2607.11</v>
      </c>
      <c r="M8" s="582">
        <v>3639.81</v>
      </c>
      <c r="N8" s="583">
        <v>4962.55</v>
      </c>
    </row>
    <row r="9" spans="1:15" x14ac:dyDescent="0.2">
      <c r="A9" s="19">
        <v>3</v>
      </c>
      <c r="B9" s="239" t="s">
        <v>91</v>
      </c>
      <c r="C9" s="569">
        <v>182.71</v>
      </c>
      <c r="D9" s="569">
        <v>182.64</v>
      </c>
      <c r="E9" s="569">
        <v>21.58</v>
      </c>
      <c r="F9" s="532">
        <f t="shared" si="0"/>
        <v>204.29000000000002</v>
      </c>
      <c r="G9" s="569">
        <v>5618417.5099999998</v>
      </c>
      <c r="H9" s="569">
        <v>5534191.0800000001</v>
      </c>
      <c r="I9" s="569">
        <v>1474101.7300000004</v>
      </c>
      <c r="J9" s="587">
        <f t="shared" si="1"/>
        <v>7092519.2400000002</v>
      </c>
      <c r="K9" s="588">
        <f t="shared" si="2"/>
        <v>2893.1581085711482</v>
      </c>
      <c r="L9" s="581">
        <v>2120.4299999999998</v>
      </c>
      <c r="M9" s="582">
        <v>2545.85</v>
      </c>
      <c r="N9" s="583">
        <v>3632.78</v>
      </c>
    </row>
    <row r="10" spans="1:15" x14ac:dyDescent="0.2">
      <c r="A10" s="19">
        <v>4</v>
      </c>
      <c r="B10" s="239" t="s">
        <v>92</v>
      </c>
      <c r="C10" s="569">
        <v>281.89</v>
      </c>
      <c r="D10" s="569">
        <v>281.89</v>
      </c>
      <c r="E10" s="569">
        <v>39.409999999999997</v>
      </c>
      <c r="F10" s="532">
        <f t="shared" si="0"/>
        <v>321.29999999999995</v>
      </c>
      <c r="G10" s="569">
        <v>5752518.0199999996</v>
      </c>
      <c r="H10" s="569">
        <v>5715201.0499999998</v>
      </c>
      <c r="I10" s="569">
        <v>2518452.6400000006</v>
      </c>
      <c r="J10" s="587">
        <f t="shared" si="1"/>
        <v>8270970.6600000001</v>
      </c>
      <c r="K10" s="588">
        <f t="shared" si="2"/>
        <v>2145.1838001867418</v>
      </c>
      <c r="L10" s="581">
        <v>1643.72</v>
      </c>
      <c r="M10" s="582">
        <v>2007.59</v>
      </c>
      <c r="N10" s="583">
        <v>2434.98</v>
      </c>
    </row>
    <row r="11" spans="1:15" x14ac:dyDescent="0.2">
      <c r="A11" s="19">
        <v>5</v>
      </c>
      <c r="B11" s="239" t="s">
        <v>93</v>
      </c>
      <c r="C11" s="569">
        <v>16.88</v>
      </c>
      <c r="D11" s="569">
        <v>16.87</v>
      </c>
      <c r="E11" s="569">
        <v>3.58</v>
      </c>
      <c r="F11" s="532">
        <f t="shared" si="0"/>
        <v>20.46</v>
      </c>
      <c r="G11" s="569">
        <v>269558.21999999997</v>
      </c>
      <c r="H11" s="569">
        <v>269058.21000000002</v>
      </c>
      <c r="I11" s="569">
        <v>157234.24000000005</v>
      </c>
      <c r="J11" s="587">
        <f t="shared" si="1"/>
        <v>426792.46</v>
      </c>
      <c r="K11" s="588">
        <f t="shared" si="2"/>
        <v>1738.3205441511893</v>
      </c>
      <c r="L11" s="581">
        <v>1450.96</v>
      </c>
      <c r="M11" s="582">
        <v>1742.77</v>
      </c>
      <c r="N11" s="583">
        <v>2008.94</v>
      </c>
    </row>
    <row r="12" spans="1:15" x14ac:dyDescent="0.2">
      <c r="A12" s="19">
        <v>6</v>
      </c>
      <c r="B12" s="239" t="s">
        <v>94</v>
      </c>
      <c r="C12" s="569">
        <v>69.2</v>
      </c>
      <c r="D12" s="569">
        <v>69.17</v>
      </c>
      <c r="E12" s="569">
        <v>9.4700000000000006</v>
      </c>
      <c r="F12" s="532">
        <f t="shared" si="0"/>
        <v>78.67</v>
      </c>
      <c r="G12" s="569">
        <v>1133648.03</v>
      </c>
      <c r="H12" s="569">
        <v>1131657.5900000001</v>
      </c>
      <c r="I12" s="569">
        <v>625633.49</v>
      </c>
      <c r="J12" s="587">
        <f t="shared" si="1"/>
        <v>1759281.52</v>
      </c>
      <c r="K12" s="588">
        <f t="shared" si="2"/>
        <v>1863.5667132748613</v>
      </c>
      <c r="L12" s="581">
        <v>1543.35</v>
      </c>
      <c r="M12" s="582">
        <v>1761.99</v>
      </c>
      <c r="N12" s="583">
        <v>2124.13</v>
      </c>
    </row>
    <row r="13" spans="1:15" x14ac:dyDescent="0.2">
      <c r="A13" s="19">
        <v>7</v>
      </c>
      <c r="B13" s="238" t="s">
        <v>20</v>
      </c>
      <c r="C13" s="569">
        <v>180.9</v>
      </c>
      <c r="D13" s="569">
        <v>180.62</v>
      </c>
      <c r="E13" s="569">
        <v>48.98</v>
      </c>
      <c r="F13" s="532">
        <f t="shared" si="0"/>
        <v>229.88</v>
      </c>
      <c r="G13" s="569">
        <v>2807195.26</v>
      </c>
      <c r="H13" s="569">
        <v>2776910.65</v>
      </c>
      <c r="I13" s="569">
        <v>1149196.9700000002</v>
      </c>
      <c r="J13" s="587">
        <f t="shared" si="1"/>
        <v>3956392.23</v>
      </c>
      <c r="K13" s="588">
        <f t="shared" si="2"/>
        <v>1434.2237362971985</v>
      </c>
      <c r="L13" s="581">
        <v>1040.31</v>
      </c>
      <c r="M13" s="582">
        <v>1260.77</v>
      </c>
      <c r="N13" s="583">
        <v>1741.98</v>
      </c>
    </row>
    <row r="14" spans="1:15" x14ac:dyDescent="0.2">
      <c r="A14" s="19"/>
      <c r="B14" s="239" t="s">
        <v>133</v>
      </c>
      <c r="C14" s="570"/>
      <c r="D14" s="570"/>
      <c r="E14" s="570"/>
      <c r="F14" s="589"/>
      <c r="G14" s="570"/>
      <c r="H14" s="570"/>
      <c r="I14" s="570"/>
      <c r="J14" s="590"/>
      <c r="K14" s="588"/>
      <c r="L14" s="581"/>
      <c r="M14" s="582"/>
      <c r="N14" s="583"/>
    </row>
    <row r="15" spans="1:15" x14ac:dyDescent="0.2">
      <c r="A15" s="19">
        <v>8</v>
      </c>
      <c r="B15" s="239" t="s">
        <v>24</v>
      </c>
      <c r="C15" s="569">
        <v>48.33</v>
      </c>
      <c r="D15" s="569">
        <v>48.33</v>
      </c>
      <c r="E15" s="569">
        <v>6.92</v>
      </c>
      <c r="F15" s="532">
        <f t="shared" ref="F15:F21" si="3">C15+E15</f>
        <v>55.25</v>
      </c>
      <c r="G15" s="569">
        <v>928064.95</v>
      </c>
      <c r="H15" s="569">
        <v>928064.95</v>
      </c>
      <c r="I15" s="569">
        <v>193529.27000000002</v>
      </c>
      <c r="J15" s="587">
        <f t="shared" ref="J15:J21" si="4">G15+I15</f>
        <v>1121594.22</v>
      </c>
      <c r="K15" s="588">
        <f t="shared" si="2"/>
        <v>1691.6956561085972</v>
      </c>
      <c r="L15" s="581">
        <v>1218.94</v>
      </c>
      <c r="M15" s="582">
        <v>1580.76</v>
      </c>
      <c r="N15" s="583">
        <v>2041.85</v>
      </c>
    </row>
    <row r="16" spans="1:15" x14ac:dyDescent="0.2">
      <c r="A16" s="19">
        <v>9</v>
      </c>
      <c r="B16" s="238" t="s">
        <v>117</v>
      </c>
      <c r="C16" s="532">
        <f>SUM(C17:C19)</f>
        <v>212.7</v>
      </c>
      <c r="D16" s="532">
        <f>SUM(D17:D19)</f>
        <v>212.45</v>
      </c>
      <c r="E16" s="532">
        <f>SUM(E17:E19)</f>
        <v>38.82</v>
      </c>
      <c r="F16" s="532">
        <f t="shared" si="3"/>
        <v>251.51999999999998</v>
      </c>
      <c r="G16" s="532">
        <f>SUM(G17:G19)</f>
        <v>3441713.78</v>
      </c>
      <c r="H16" s="532">
        <f>SUM(H17:H19)</f>
        <v>3418453.08</v>
      </c>
      <c r="I16" s="532">
        <f>SUM(I17:I19)</f>
        <v>1076843.48</v>
      </c>
      <c r="J16" s="587">
        <f t="shared" si="4"/>
        <v>4518557.26</v>
      </c>
      <c r="K16" s="588">
        <f t="shared" si="2"/>
        <v>1497.0834857400339</v>
      </c>
      <c r="L16" s="581">
        <v>1125.55</v>
      </c>
      <c r="M16" s="582">
        <v>1300.1600000000001</v>
      </c>
      <c r="N16" s="583">
        <v>1613.86</v>
      </c>
    </row>
    <row r="17" spans="1:15" x14ac:dyDescent="0.2">
      <c r="A17" s="19">
        <v>10</v>
      </c>
      <c r="B17" s="239" t="s">
        <v>95</v>
      </c>
      <c r="C17" s="569">
        <v>76.489999999999995</v>
      </c>
      <c r="D17" s="569">
        <v>76.489999999999995</v>
      </c>
      <c r="E17" s="569">
        <v>5.45</v>
      </c>
      <c r="F17" s="532">
        <f t="shared" si="3"/>
        <v>81.94</v>
      </c>
      <c r="G17" s="569">
        <v>1324632.3999999999</v>
      </c>
      <c r="H17" s="569">
        <v>1316940.8999999999</v>
      </c>
      <c r="I17" s="569">
        <v>232473.65000000014</v>
      </c>
      <c r="J17" s="587">
        <f t="shared" si="4"/>
        <v>1557106.05</v>
      </c>
      <c r="K17" s="588">
        <f t="shared" si="2"/>
        <v>1583.5835672443252</v>
      </c>
      <c r="L17" s="581">
        <v>1187.17</v>
      </c>
      <c r="M17" s="582">
        <v>1430.15</v>
      </c>
      <c r="N17" s="583">
        <v>1613.86</v>
      </c>
    </row>
    <row r="18" spans="1:15" x14ac:dyDescent="0.2">
      <c r="A18" s="19">
        <v>11</v>
      </c>
      <c r="B18" s="239" t="s">
        <v>70</v>
      </c>
      <c r="C18" s="569">
        <v>74.63</v>
      </c>
      <c r="D18" s="569">
        <v>74.53</v>
      </c>
      <c r="E18" s="569">
        <v>21.59</v>
      </c>
      <c r="F18" s="532">
        <f t="shared" si="3"/>
        <v>96.22</v>
      </c>
      <c r="G18" s="569">
        <v>1165745.04</v>
      </c>
      <c r="H18" s="569">
        <v>1158015.8400000001</v>
      </c>
      <c r="I18" s="569">
        <v>574019.02</v>
      </c>
      <c r="J18" s="587">
        <f t="shared" si="4"/>
        <v>1739764.06</v>
      </c>
      <c r="K18" s="588">
        <f t="shared" si="2"/>
        <v>1506.7588685650937</v>
      </c>
      <c r="L18" s="581">
        <v>1106.99</v>
      </c>
      <c r="M18" s="582">
        <v>1308.51</v>
      </c>
      <c r="N18" s="583">
        <v>1688.38</v>
      </c>
    </row>
    <row r="19" spans="1:15" x14ac:dyDescent="0.2">
      <c r="A19" s="19">
        <v>12</v>
      </c>
      <c r="B19" s="239" t="s">
        <v>61</v>
      </c>
      <c r="C19" s="569">
        <v>61.58</v>
      </c>
      <c r="D19" s="569">
        <v>61.43</v>
      </c>
      <c r="E19" s="569">
        <v>11.78</v>
      </c>
      <c r="F19" s="532">
        <f t="shared" si="3"/>
        <v>73.36</v>
      </c>
      <c r="G19" s="569">
        <v>951336.34</v>
      </c>
      <c r="H19" s="569">
        <v>943496.34</v>
      </c>
      <c r="I19" s="569">
        <v>270350.80999999994</v>
      </c>
      <c r="J19" s="587">
        <f t="shared" si="4"/>
        <v>1221687.1499999999</v>
      </c>
      <c r="K19" s="588">
        <f t="shared" si="2"/>
        <v>1387.7762063794983</v>
      </c>
      <c r="L19" s="581">
        <v>1100.54</v>
      </c>
      <c r="M19" s="582">
        <v>1219.82</v>
      </c>
      <c r="N19" s="583">
        <v>1366.14</v>
      </c>
    </row>
    <row r="20" spans="1:15" x14ac:dyDescent="0.2">
      <c r="A20" s="19">
        <v>13</v>
      </c>
      <c r="B20" s="238" t="s">
        <v>114</v>
      </c>
      <c r="C20" s="569">
        <v>116.8</v>
      </c>
      <c r="D20" s="569">
        <v>98.1</v>
      </c>
      <c r="E20" s="569">
        <v>38.479999999999997</v>
      </c>
      <c r="F20" s="532">
        <f t="shared" si="3"/>
        <v>155.28</v>
      </c>
      <c r="G20" s="569">
        <v>2836053.45</v>
      </c>
      <c r="H20" s="569">
        <v>2468376.02</v>
      </c>
      <c r="I20" s="569">
        <v>1269741.7199999997</v>
      </c>
      <c r="J20" s="587">
        <f t="shared" si="4"/>
        <v>4105795.17</v>
      </c>
      <c r="K20" s="588">
        <f t="shared" si="2"/>
        <v>2203.4363569036577</v>
      </c>
      <c r="L20" s="581">
        <v>1484.23</v>
      </c>
      <c r="M20" s="582">
        <v>1881.59</v>
      </c>
      <c r="N20" s="583">
        <v>2508.85</v>
      </c>
    </row>
    <row r="21" spans="1:15" ht="31.5" x14ac:dyDescent="0.2">
      <c r="A21" s="19">
        <v>14</v>
      </c>
      <c r="B21" s="238" t="s">
        <v>21</v>
      </c>
      <c r="C21" s="569">
        <v>132.69999999999999</v>
      </c>
      <c r="D21" s="569">
        <v>132.69999999999999</v>
      </c>
      <c r="E21" s="569">
        <v>23.01</v>
      </c>
      <c r="F21" s="532">
        <f t="shared" si="3"/>
        <v>155.70999999999998</v>
      </c>
      <c r="G21" s="569">
        <v>1434431.31</v>
      </c>
      <c r="H21" s="569">
        <v>1434301.31</v>
      </c>
      <c r="I21" s="569">
        <v>440077.11999999988</v>
      </c>
      <c r="J21" s="587">
        <f t="shared" si="4"/>
        <v>1874508.43</v>
      </c>
      <c r="K21" s="588">
        <f t="shared" si="2"/>
        <v>1003.2049054866953</v>
      </c>
      <c r="L21" s="581">
        <v>797.34</v>
      </c>
      <c r="M21" s="582">
        <v>913.38</v>
      </c>
      <c r="N21" s="583">
        <v>1156.5</v>
      </c>
    </row>
    <row r="22" spans="1:15" ht="47.25" x14ac:dyDescent="0.2">
      <c r="A22" s="19">
        <v>15</v>
      </c>
      <c r="B22" s="238" t="s">
        <v>147</v>
      </c>
      <c r="C22" s="532">
        <f>SUM(C23:C26)</f>
        <v>31.6</v>
      </c>
      <c r="D22" s="532">
        <f>SUM(D23:D26)</f>
        <v>31.6</v>
      </c>
      <c r="E22" s="532">
        <f>SUM(E23:E26)</f>
        <v>10.33</v>
      </c>
      <c r="F22" s="532">
        <f>SUM(F27:F27)</f>
        <v>0</v>
      </c>
      <c r="G22" s="532">
        <f>SUM(G23:G26)</f>
        <v>426303.35000000003</v>
      </c>
      <c r="H22" s="532">
        <f>SUM(H23:H26)</f>
        <v>426303.35000000003</v>
      </c>
      <c r="I22" s="532">
        <f>SUM(I23:I26)</f>
        <v>227749.48</v>
      </c>
      <c r="J22" s="587">
        <f>SUM(J23:J26)</f>
        <v>654052.82999999996</v>
      </c>
      <c r="K22" s="588">
        <f t="shared" si="2"/>
        <v>0</v>
      </c>
      <c r="L22" s="591" t="s">
        <v>140</v>
      </c>
      <c r="M22" s="571" t="s">
        <v>140</v>
      </c>
      <c r="N22" s="592" t="s">
        <v>140</v>
      </c>
    </row>
    <row r="23" spans="1:15" x14ac:dyDescent="0.2">
      <c r="A23" s="19" t="s">
        <v>115</v>
      </c>
      <c r="B23" s="296" t="s">
        <v>971</v>
      </c>
      <c r="C23" s="569">
        <v>31.1</v>
      </c>
      <c r="D23" s="569">
        <v>31.1</v>
      </c>
      <c r="E23" s="569">
        <v>10.33</v>
      </c>
      <c r="F23" s="532">
        <f t="shared" ref="F23:F29" si="5">C23+E23</f>
        <v>41.43</v>
      </c>
      <c r="G23" s="569">
        <v>418086.26</v>
      </c>
      <c r="H23" s="569">
        <v>418086.26</v>
      </c>
      <c r="I23" s="569">
        <v>227749.48</v>
      </c>
      <c r="J23" s="587">
        <f>G23+I23</f>
        <v>645835.74</v>
      </c>
      <c r="K23" s="588">
        <f t="shared" si="2"/>
        <v>1299.0500844798455</v>
      </c>
      <c r="L23" s="591" t="s">
        <v>140</v>
      </c>
      <c r="M23" s="571" t="s">
        <v>140</v>
      </c>
      <c r="N23" s="592" t="s">
        <v>140</v>
      </c>
    </row>
    <row r="24" spans="1:15" x14ac:dyDescent="0.2">
      <c r="A24" s="19" t="s">
        <v>190</v>
      </c>
      <c r="B24" s="296" t="s">
        <v>972</v>
      </c>
      <c r="C24" s="569">
        <v>0.5</v>
      </c>
      <c r="D24" s="569">
        <v>0.5</v>
      </c>
      <c r="E24" s="569"/>
      <c r="F24" s="532">
        <f t="shared" si="5"/>
        <v>0.5</v>
      </c>
      <c r="G24" s="569">
        <v>8217.09</v>
      </c>
      <c r="H24" s="569">
        <v>8217.09</v>
      </c>
      <c r="I24" s="569"/>
      <c r="J24" s="587">
        <f>G24+I24</f>
        <v>8217.09</v>
      </c>
      <c r="K24" s="588">
        <f t="shared" si="2"/>
        <v>1369.5150000000001</v>
      </c>
      <c r="L24" s="591" t="s">
        <v>140</v>
      </c>
      <c r="M24" s="571" t="s">
        <v>140</v>
      </c>
      <c r="N24" s="592" t="s">
        <v>140</v>
      </c>
    </row>
    <row r="25" spans="1:15" x14ac:dyDescent="0.2">
      <c r="A25" s="19" t="s">
        <v>191</v>
      </c>
      <c r="B25" s="296"/>
      <c r="C25" s="569"/>
      <c r="D25" s="569"/>
      <c r="E25" s="569"/>
      <c r="F25" s="532">
        <f t="shared" si="5"/>
        <v>0</v>
      </c>
      <c r="G25" s="569"/>
      <c r="H25" s="569"/>
      <c r="I25" s="569"/>
      <c r="J25" s="587">
        <f>G25+I25</f>
        <v>0</v>
      </c>
      <c r="K25" s="588">
        <f t="shared" si="2"/>
        <v>0</v>
      </c>
      <c r="L25" s="591" t="s">
        <v>140</v>
      </c>
      <c r="M25" s="571" t="s">
        <v>140</v>
      </c>
      <c r="N25" s="592" t="s">
        <v>140</v>
      </c>
    </row>
    <row r="26" spans="1:15" ht="16.5" customHeight="1" x14ac:dyDescent="0.2">
      <c r="A26" s="19" t="s">
        <v>192</v>
      </c>
      <c r="B26" s="296"/>
      <c r="C26" s="569"/>
      <c r="D26" s="569"/>
      <c r="E26" s="569"/>
      <c r="F26" s="532">
        <f t="shared" si="5"/>
        <v>0</v>
      </c>
      <c r="G26" s="569"/>
      <c r="H26" s="569"/>
      <c r="I26" s="569"/>
      <c r="J26" s="587">
        <f>G26+I26</f>
        <v>0</v>
      </c>
      <c r="K26" s="588">
        <f t="shared" si="2"/>
        <v>0</v>
      </c>
      <c r="L26" s="591" t="s">
        <v>140</v>
      </c>
      <c r="M26" s="571" t="s">
        <v>140</v>
      </c>
      <c r="N26" s="592" t="s">
        <v>140</v>
      </c>
    </row>
    <row r="27" spans="1:15" x14ac:dyDescent="0.2">
      <c r="A27" s="19"/>
      <c r="B27" s="239"/>
      <c r="C27" s="570"/>
      <c r="D27" s="570"/>
      <c r="E27" s="570"/>
      <c r="F27" s="589">
        <f t="shared" si="5"/>
        <v>0</v>
      </c>
      <c r="G27" s="570"/>
      <c r="H27" s="570"/>
      <c r="I27" s="570"/>
      <c r="J27" s="590"/>
      <c r="K27" s="588"/>
      <c r="L27" s="593"/>
      <c r="M27" s="582"/>
      <c r="N27" s="594"/>
    </row>
    <row r="28" spans="1:15" x14ac:dyDescent="0.2">
      <c r="A28" s="19">
        <v>16</v>
      </c>
      <c r="B28" s="238" t="s">
        <v>22</v>
      </c>
      <c r="C28" s="569">
        <v>44.69</v>
      </c>
      <c r="D28" s="569">
        <v>44.69</v>
      </c>
      <c r="E28" s="569">
        <v>14.44</v>
      </c>
      <c r="F28" s="532">
        <f t="shared" si="5"/>
        <v>59.129999999999995</v>
      </c>
      <c r="G28" s="569">
        <v>525430.80000000005</v>
      </c>
      <c r="H28" s="569">
        <v>525430.80000000005</v>
      </c>
      <c r="I28" s="569">
        <v>267036.98</v>
      </c>
      <c r="J28" s="587">
        <f>G28+I28</f>
        <v>792467.78</v>
      </c>
      <c r="K28" s="588">
        <f t="shared" si="2"/>
        <v>1116.8439314504765</v>
      </c>
      <c r="L28" s="581">
        <v>864.01</v>
      </c>
      <c r="M28" s="582">
        <v>1012.02</v>
      </c>
      <c r="N28" s="583">
        <v>1349.98</v>
      </c>
    </row>
    <row r="29" spans="1:15" x14ac:dyDescent="0.2">
      <c r="A29" s="19">
        <v>17</v>
      </c>
      <c r="B29" s="238" t="s">
        <v>23</v>
      </c>
      <c r="C29" s="569"/>
      <c r="D29" s="569"/>
      <c r="E29" s="569">
        <v>50.79</v>
      </c>
      <c r="F29" s="532">
        <f t="shared" si="5"/>
        <v>50.79</v>
      </c>
      <c r="G29" s="569"/>
      <c r="H29" s="569"/>
      <c r="I29" s="569">
        <v>649376.54</v>
      </c>
      <c r="J29" s="587">
        <f>G29+I29</f>
        <v>649376.54</v>
      </c>
      <c r="K29" s="588">
        <f t="shared" si="2"/>
        <v>1065.4599658725472</v>
      </c>
      <c r="L29" s="581">
        <v>798.89</v>
      </c>
      <c r="M29" s="582">
        <v>967.3</v>
      </c>
      <c r="N29" s="583">
        <v>1124.76</v>
      </c>
    </row>
    <row r="30" spans="1:15" ht="132" customHeight="1" thickBot="1" x14ac:dyDescent="0.3">
      <c r="A30" s="20">
        <v>18</v>
      </c>
      <c r="B30" s="240" t="s">
        <v>148</v>
      </c>
      <c r="C30" s="174">
        <f t="shared" ref="C30:J30" si="6">C7+C13+C16+C20+C21+C28+C29</f>
        <v>1327.13</v>
      </c>
      <c r="D30" s="174">
        <f t="shared" si="6"/>
        <v>1307.33</v>
      </c>
      <c r="E30" s="174">
        <f t="shared" si="6"/>
        <v>308.35000000000002</v>
      </c>
      <c r="F30" s="174">
        <f t="shared" si="6"/>
        <v>1635.48</v>
      </c>
      <c r="G30" s="174">
        <f t="shared" si="6"/>
        <v>27428790.440000001</v>
      </c>
      <c r="H30" s="174">
        <f t="shared" si="6"/>
        <v>26826033.349999998</v>
      </c>
      <c r="I30" s="174">
        <f t="shared" si="6"/>
        <v>11289824.020000003</v>
      </c>
      <c r="J30" s="595">
        <f t="shared" si="6"/>
        <v>38718614.460000001</v>
      </c>
      <c r="K30" s="596">
        <f t="shared" si="2"/>
        <v>1972.8466291241714</v>
      </c>
      <c r="L30" s="584">
        <v>1312.61</v>
      </c>
      <c r="M30" s="585">
        <v>1798.76</v>
      </c>
      <c r="N30" s="586">
        <v>2396.89</v>
      </c>
      <c r="O30" s="739" t="s">
        <v>1037</v>
      </c>
    </row>
    <row r="31" spans="1:15" ht="16.5" thickBot="1" x14ac:dyDescent="0.25">
      <c r="A31" s="12"/>
      <c r="B31" s="12"/>
      <c r="C31" s="15"/>
      <c r="D31" s="12"/>
      <c r="E31" s="12"/>
      <c r="F31" s="15"/>
      <c r="G31" s="15"/>
      <c r="H31" s="15"/>
      <c r="I31" s="15"/>
      <c r="J31" s="717"/>
    </row>
    <row r="32" spans="1:15" ht="16.5" thickBot="1" x14ac:dyDescent="0.3">
      <c r="A32" s="841" t="s">
        <v>0</v>
      </c>
      <c r="B32" s="842"/>
      <c r="C32" s="842"/>
      <c r="D32" s="842"/>
      <c r="E32" s="842"/>
      <c r="F32" s="842"/>
      <c r="G32" s="842"/>
      <c r="H32" s="842"/>
      <c r="I32" s="842"/>
      <c r="J32" s="843"/>
      <c r="L32" s="198" t="s">
        <v>543</v>
      </c>
      <c r="M32" s="199"/>
      <c r="N32" s="200"/>
      <c r="O32" s="732"/>
    </row>
    <row r="33" spans="1:15" x14ac:dyDescent="0.25">
      <c r="A33" s="850" t="s">
        <v>505</v>
      </c>
      <c r="B33" s="851"/>
      <c r="C33" s="851"/>
      <c r="D33" s="851"/>
      <c r="E33" s="851"/>
      <c r="F33" s="851"/>
      <c r="G33" s="851"/>
      <c r="H33" s="851"/>
      <c r="I33" s="851"/>
      <c r="J33" s="852"/>
    </row>
    <row r="34" spans="1:15" ht="50.25" customHeight="1" x14ac:dyDescent="0.2">
      <c r="B34" s="848" t="s">
        <v>759</v>
      </c>
      <c r="C34" s="848"/>
      <c r="D34" s="848"/>
      <c r="E34" s="848"/>
      <c r="F34" s="848"/>
      <c r="G34" s="848"/>
      <c r="H34" s="848"/>
      <c r="I34" s="848"/>
      <c r="J34" s="848"/>
      <c r="K34" s="754" t="s">
        <v>1073</v>
      </c>
      <c r="M34" s="754" t="s">
        <v>1073</v>
      </c>
      <c r="O34" s="732"/>
    </row>
    <row r="35" spans="1:15" x14ac:dyDescent="0.2">
      <c r="B35" s="202" t="s">
        <v>475</v>
      </c>
      <c r="C35" s="203"/>
      <c r="D35" s="203"/>
      <c r="E35" s="203"/>
      <c r="F35" s="203"/>
      <c r="G35" s="203"/>
      <c r="H35" s="203"/>
      <c r="I35" s="203"/>
      <c r="J35" s="203"/>
    </row>
    <row r="36" spans="1:15" x14ac:dyDescent="0.2">
      <c r="B36" s="202" t="s">
        <v>476</v>
      </c>
      <c r="C36" s="203"/>
      <c r="D36" s="203"/>
      <c r="E36" s="203"/>
      <c r="F36" s="203"/>
      <c r="G36" s="203"/>
      <c r="H36" s="203"/>
      <c r="I36" s="203"/>
      <c r="J36" s="203"/>
    </row>
    <row r="37" spans="1:15" x14ac:dyDescent="0.2">
      <c r="B37" s="202" t="s">
        <v>477</v>
      </c>
      <c r="C37" s="203"/>
      <c r="D37" s="203"/>
      <c r="E37" s="203"/>
      <c r="F37" s="203"/>
      <c r="G37" s="203"/>
      <c r="H37" s="203"/>
      <c r="I37" s="203"/>
      <c r="J37" s="203"/>
    </row>
    <row r="38" spans="1:15" x14ac:dyDescent="0.2">
      <c r="B38" s="204"/>
      <c r="C38" s="203"/>
      <c r="D38" s="203"/>
      <c r="E38" s="203"/>
      <c r="F38" s="203"/>
      <c r="G38" s="203"/>
      <c r="H38" s="203"/>
      <c r="I38" s="203"/>
      <c r="J38" s="203"/>
    </row>
  </sheetData>
  <mergeCells count="19">
    <mergeCell ref="A32:J32"/>
    <mergeCell ref="C3:F3"/>
    <mergeCell ref="H3:H4"/>
    <mergeCell ref="K3:K5"/>
    <mergeCell ref="B34:J34"/>
    <mergeCell ref="G3:G5"/>
    <mergeCell ref="I3:I5"/>
    <mergeCell ref="C4:C5"/>
    <mergeCell ref="A33:J33"/>
    <mergeCell ref="E4:E5"/>
    <mergeCell ref="F4:F5"/>
    <mergeCell ref="B3:B5"/>
    <mergeCell ref="A3:A5"/>
    <mergeCell ref="L3:L5"/>
    <mergeCell ref="M3:M5"/>
    <mergeCell ref="N3:N5"/>
    <mergeCell ref="A1:K1"/>
    <mergeCell ref="A2:K2"/>
    <mergeCell ref="J3:J5"/>
  </mergeCells>
  <phoneticPr fontId="0" type="noConversion"/>
  <printOptions gridLines="1"/>
  <pageMargins left="0.47244094488188981" right="0.31496062992125984" top="0.74803149606299213" bottom="0.39370078740157483" header="0.51181102362204722" footer="0.27559055118110237"/>
  <pageSetup paperSize="9" scale="57" orientation="landscape" r:id="rId1"/>
  <headerFooter alignWithMargins="0"/>
  <ignoredErrors>
    <ignoredError sqref="F7:F30 J22:J3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Normal="100" workbookViewId="0">
      <pane xSplit="2" ySplit="6" topLeftCell="C22" activePane="bottomRight" state="frozen"/>
      <selection pane="topRight" activeCell="C1" sqref="C1"/>
      <selection pane="bottomLeft" activeCell="A7" sqref="A7"/>
      <selection pane="bottomRight" activeCell="N34" sqref="N34"/>
    </sheetView>
  </sheetViews>
  <sheetFormatPr defaultColWidth="9.140625" defaultRowHeight="15.75" x14ac:dyDescent="0.2"/>
  <cols>
    <col min="1" max="1" width="5.5703125" style="18" customWidth="1"/>
    <col min="2" max="2" width="60.28515625" style="25" customWidth="1"/>
    <col min="3" max="3" width="14.7109375" style="13" customWidth="1"/>
    <col min="4" max="4" width="14" style="13" customWidth="1"/>
    <col min="5" max="5" width="15.85546875" style="13" customWidth="1"/>
    <col min="6" max="6" width="15.7109375" style="13" customWidth="1"/>
    <col min="7" max="7" width="19.140625" style="13" customWidth="1"/>
    <col min="8" max="8" width="18.7109375" style="13" customWidth="1"/>
    <col min="9" max="9" width="16.28515625" style="13" customWidth="1"/>
    <col min="10" max="10" width="17.7109375" style="13" bestFit="1" customWidth="1"/>
    <col min="11" max="11" width="13.28515625" style="13" customWidth="1"/>
    <col min="12" max="12" width="12.42578125" style="13" customWidth="1"/>
    <col min="13" max="13" width="9.7109375" style="13" customWidth="1"/>
    <col min="14" max="14" width="9" style="13" customWidth="1"/>
    <col min="15" max="15" width="8.7109375" style="13" customWidth="1"/>
    <col min="16" max="16384" width="9.140625" style="13"/>
  </cols>
  <sheetData>
    <row r="1" spans="1:15" s="255" customFormat="1" ht="35.1" customHeight="1" thickBot="1" x14ac:dyDescent="0.25">
      <c r="A1" s="856" t="s">
        <v>815</v>
      </c>
      <c r="B1" s="857"/>
      <c r="C1" s="857"/>
      <c r="D1" s="857"/>
      <c r="E1" s="857"/>
      <c r="F1" s="857"/>
      <c r="G1" s="857"/>
      <c r="H1" s="857"/>
      <c r="I1" s="857"/>
      <c r="J1" s="857"/>
      <c r="K1" s="857"/>
    </row>
    <row r="2" spans="1:15" s="255" customFormat="1" ht="35.450000000000003" customHeight="1" thickBot="1" x14ac:dyDescent="0.25">
      <c r="A2" s="813" t="s">
        <v>1058</v>
      </c>
      <c r="B2" s="814"/>
      <c r="C2" s="814"/>
      <c r="D2" s="814"/>
      <c r="E2" s="814"/>
      <c r="F2" s="814"/>
      <c r="G2" s="814"/>
      <c r="H2" s="814"/>
      <c r="I2" s="814"/>
      <c r="J2" s="814"/>
      <c r="K2" s="814"/>
      <c r="L2" s="297" t="s">
        <v>509</v>
      </c>
      <c r="M2" s="298"/>
      <c r="N2" s="298"/>
      <c r="O2" s="298"/>
    </row>
    <row r="3" spans="1:15" s="255" customFormat="1" ht="21" customHeight="1" x14ac:dyDescent="0.2">
      <c r="A3" s="853" t="s">
        <v>80</v>
      </c>
      <c r="B3" s="858" t="s">
        <v>552</v>
      </c>
      <c r="C3" s="809" t="s">
        <v>816</v>
      </c>
      <c r="D3" s="809"/>
      <c r="E3" s="809"/>
      <c r="F3" s="809"/>
      <c r="G3" s="809" t="s">
        <v>479</v>
      </c>
      <c r="H3" s="844" t="s">
        <v>133</v>
      </c>
      <c r="I3" s="809" t="s">
        <v>481</v>
      </c>
      <c r="J3" s="839" t="s">
        <v>482</v>
      </c>
      <c r="K3" s="860" t="s">
        <v>510</v>
      </c>
      <c r="L3" s="868" t="s">
        <v>572</v>
      </c>
      <c r="M3" s="828" t="s">
        <v>541</v>
      </c>
      <c r="N3" s="831" t="s">
        <v>553</v>
      </c>
      <c r="O3" s="834" t="s">
        <v>542</v>
      </c>
    </row>
    <row r="4" spans="1:15" s="255" customFormat="1" ht="34.5" customHeight="1" x14ac:dyDescent="0.2">
      <c r="A4" s="854"/>
      <c r="B4" s="859"/>
      <c r="C4" s="849" t="s">
        <v>511</v>
      </c>
      <c r="D4" s="237" t="s">
        <v>133</v>
      </c>
      <c r="E4" s="849" t="s">
        <v>513</v>
      </c>
      <c r="F4" s="849" t="s">
        <v>514</v>
      </c>
      <c r="G4" s="849"/>
      <c r="H4" s="845"/>
      <c r="I4" s="849"/>
      <c r="J4" s="840"/>
      <c r="K4" s="860"/>
      <c r="L4" s="868"/>
      <c r="M4" s="829"/>
      <c r="N4" s="832"/>
      <c r="O4" s="835"/>
    </row>
    <row r="5" spans="1:15" s="291" customFormat="1" ht="63.75" thickBot="1" x14ac:dyDescent="0.25">
      <c r="A5" s="854"/>
      <c r="B5" s="859"/>
      <c r="C5" s="849"/>
      <c r="D5" s="299" t="s">
        <v>512</v>
      </c>
      <c r="E5" s="849"/>
      <c r="F5" s="849"/>
      <c r="G5" s="849"/>
      <c r="H5" s="237" t="s">
        <v>480</v>
      </c>
      <c r="I5" s="849"/>
      <c r="J5" s="840"/>
      <c r="K5" s="861"/>
      <c r="L5" s="869"/>
      <c r="M5" s="830"/>
      <c r="N5" s="833"/>
      <c r="O5" s="836"/>
    </row>
    <row r="6" spans="1:15" s="295" customFormat="1" ht="18" customHeight="1" thickBot="1" x14ac:dyDescent="0.25">
      <c r="A6" s="292"/>
      <c r="B6" s="241"/>
      <c r="C6" s="257" t="s">
        <v>119</v>
      </c>
      <c r="D6" s="257" t="s">
        <v>120</v>
      </c>
      <c r="E6" s="257" t="s">
        <v>121</v>
      </c>
      <c r="F6" s="257" t="s">
        <v>68</v>
      </c>
      <c r="G6" s="257" t="s">
        <v>122</v>
      </c>
      <c r="H6" s="257" t="s">
        <v>123</v>
      </c>
      <c r="I6" s="257" t="s">
        <v>124</v>
      </c>
      <c r="J6" s="293" t="s">
        <v>69</v>
      </c>
      <c r="K6" s="300" t="s">
        <v>504</v>
      </c>
      <c r="L6" s="301" t="s">
        <v>467</v>
      </c>
      <c r="M6" s="302"/>
      <c r="N6" s="302"/>
      <c r="O6" s="302"/>
    </row>
    <row r="7" spans="1:15" s="16" customFormat="1" x14ac:dyDescent="0.2">
      <c r="A7" s="19">
        <v>1</v>
      </c>
      <c r="B7" s="238" t="s">
        <v>116</v>
      </c>
      <c r="C7" s="532">
        <f>SUM(C8:C12)</f>
        <v>334.18999999999994</v>
      </c>
      <c r="D7" s="532">
        <f>SUM(D8:D12)</f>
        <v>332.07</v>
      </c>
      <c r="E7" s="532">
        <f>SUM(E8:E12)</f>
        <v>53.129999999999995</v>
      </c>
      <c r="F7" s="532">
        <f t="shared" ref="F7:F13" si="0">C7+E7</f>
        <v>387.31999999999994</v>
      </c>
      <c r="G7" s="532">
        <f>SUM(G8:G12)</f>
        <v>7870203.2600000007</v>
      </c>
      <c r="H7" s="532">
        <f>SUM(H8:H12)</f>
        <v>7825723.3799999999</v>
      </c>
      <c r="I7" s="532">
        <f>SUM(I8:I12)</f>
        <v>3341278.42</v>
      </c>
      <c r="J7" s="587">
        <f t="shared" ref="J7:J13" si="1">G7+I7</f>
        <v>11211481.68</v>
      </c>
      <c r="K7" s="588">
        <f>IF(F7=0,0,J7/F7/12)</f>
        <v>2412.1918310440983</v>
      </c>
      <c r="L7" s="597">
        <f>IF('T6-Zamestnanci_a_mzdy'!F7-'T6a-Zamestnanci_a_mzdy (ženy)'!F7=0,0,('T6-Zamestnanci_a_mzdy'!J7-'T6a-Zamestnanci_a_mzdy (ženy)'!J7)/('T6-Zamestnanci_a_mzdy'!F7-'T6a-Zamestnanci_a_mzdy (ženy)'!F7)/12)</f>
        <v>2797.4640667919612</v>
      </c>
      <c r="M7" s="598">
        <v>1712.7059999999999</v>
      </c>
      <c r="N7" s="599">
        <v>2086.87</v>
      </c>
      <c r="O7" s="600">
        <v>2621.85</v>
      </c>
    </row>
    <row r="8" spans="1:15" x14ac:dyDescent="0.2">
      <c r="A8" s="19">
        <v>2</v>
      </c>
      <c r="B8" s="239" t="s">
        <v>730</v>
      </c>
      <c r="C8" s="569">
        <v>24.71</v>
      </c>
      <c r="D8" s="569">
        <v>24.71</v>
      </c>
      <c r="E8" s="569">
        <v>7.43</v>
      </c>
      <c r="F8" s="532">
        <f t="shared" si="0"/>
        <v>32.14</v>
      </c>
      <c r="G8" s="569">
        <v>1015199.36</v>
      </c>
      <c r="H8" s="569">
        <v>1015199.36</v>
      </c>
      <c r="I8" s="569">
        <v>604192.30000000005</v>
      </c>
      <c r="J8" s="587">
        <f t="shared" si="1"/>
        <v>1619391.6600000001</v>
      </c>
      <c r="K8" s="588">
        <f t="shared" ref="K8:K30" si="2">IF(F8=0,0,J8/F8/12)</f>
        <v>4198.7960485376479</v>
      </c>
      <c r="L8" s="597">
        <f>IF('T6-Zamestnanci_a_mzdy'!F8-'T6a-Zamestnanci_a_mzdy (ženy)'!F8=0,0,('T6-Zamestnanci_a_mzdy'!J8-'T6a-Zamestnanci_a_mzdy (ženy)'!J8)/('T6-Zamestnanci_a_mzdy'!F8-'T6a-Zamestnanci_a_mzdy (ženy)'!F8)/12)</f>
        <v>3988.7318285065307</v>
      </c>
      <c r="M8" s="601">
        <v>2917.41</v>
      </c>
      <c r="N8" s="602">
        <v>4156.79</v>
      </c>
      <c r="O8" s="603">
        <v>4962.55</v>
      </c>
    </row>
    <row r="9" spans="1:15" x14ac:dyDescent="0.2">
      <c r="A9" s="19">
        <v>3</v>
      </c>
      <c r="B9" s="239" t="s">
        <v>91</v>
      </c>
      <c r="C9" s="569">
        <v>90.97</v>
      </c>
      <c r="D9" s="569">
        <v>90.97</v>
      </c>
      <c r="E9" s="569">
        <v>11.33</v>
      </c>
      <c r="F9" s="532">
        <f t="shared" si="0"/>
        <v>102.3</v>
      </c>
      <c r="G9" s="569">
        <v>2629475.6800000002</v>
      </c>
      <c r="H9" s="569">
        <v>2629475.6800000002</v>
      </c>
      <c r="I9" s="569">
        <v>719697.76</v>
      </c>
      <c r="J9" s="587">
        <f t="shared" si="1"/>
        <v>3349173.4400000004</v>
      </c>
      <c r="K9" s="588">
        <f t="shared" si="2"/>
        <v>2728.2286086673189</v>
      </c>
      <c r="L9" s="597">
        <f>IF('T6-Zamestnanci_a_mzdy'!F9-'T6a-Zamestnanci_a_mzdy (ženy)'!F9=0,0,('T6-Zamestnanci_a_mzdy'!J9-'T6a-Zamestnanci_a_mzdy (ženy)'!J9)/('T6-Zamestnanci_a_mzdy'!F9-'T6a-Zamestnanci_a_mzdy (ženy)'!F9)/12)</f>
        <v>3058.5889139458109</v>
      </c>
      <c r="M9" s="601">
        <v>2114.1799999999998</v>
      </c>
      <c r="N9" s="602">
        <v>2502.35</v>
      </c>
      <c r="O9" s="603">
        <v>3251.69</v>
      </c>
    </row>
    <row r="10" spans="1:15" ht="31.5" x14ac:dyDescent="0.2">
      <c r="A10" s="19">
        <v>4</v>
      </c>
      <c r="B10" s="239" t="s">
        <v>92</v>
      </c>
      <c r="C10" s="569">
        <v>165.08</v>
      </c>
      <c r="D10" s="569">
        <v>164.29</v>
      </c>
      <c r="E10" s="569">
        <v>25.08</v>
      </c>
      <c r="F10" s="532">
        <f t="shared" si="0"/>
        <v>190.16000000000003</v>
      </c>
      <c r="G10" s="569">
        <v>3359676.69</v>
      </c>
      <c r="H10" s="569">
        <v>3342574.05</v>
      </c>
      <c r="I10" s="569">
        <v>1509060.61</v>
      </c>
      <c r="J10" s="587">
        <f t="shared" si="1"/>
        <v>4868737.3</v>
      </c>
      <c r="K10" s="588">
        <f t="shared" si="2"/>
        <v>2133.6143686018791</v>
      </c>
      <c r="L10" s="597">
        <f>IF('T6-Zamestnanci_a_mzdy'!F10-'T6a-Zamestnanci_a_mzdy (ženy)'!F10=0,0,('T6-Zamestnanci_a_mzdy'!J10-'T6a-Zamestnanci_a_mzdy (ženy)'!J10)/('T6-Zamestnanci_a_mzdy'!F10-'T6a-Zamestnanci_a_mzdy (ženy)'!F10)/12)</f>
        <v>2161.960093538713</v>
      </c>
      <c r="M10" s="601">
        <v>1605.89</v>
      </c>
      <c r="N10" s="602">
        <v>1970.51</v>
      </c>
      <c r="O10" s="603">
        <v>2415.84</v>
      </c>
    </row>
    <row r="11" spans="1:15" x14ac:dyDescent="0.2">
      <c r="A11" s="19">
        <v>5</v>
      </c>
      <c r="B11" s="239" t="s">
        <v>93</v>
      </c>
      <c r="C11" s="569">
        <v>9.09</v>
      </c>
      <c r="D11" s="569">
        <v>9.09</v>
      </c>
      <c r="E11" s="569">
        <v>3.19</v>
      </c>
      <c r="F11" s="532">
        <f t="shared" si="0"/>
        <v>12.28</v>
      </c>
      <c r="G11" s="569">
        <v>144983.21</v>
      </c>
      <c r="H11" s="569">
        <v>144983.21</v>
      </c>
      <c r="I11" s="569">
        <v>112315.12</v>
      </c>
      <c r="J11" s="587">
        <f t="shared" si="1"/>
        <v>257298.33</v>
      </c>
      <c r="K11" s="588">
        <f t="shared" si="2"/>
        <v>1746.0527280130293</v>
      </c>
      <c r="L11" s="597">
        <f>IF('T6-Zamestnanci_a_mzdy'!F11-'T6a-Zamestnanci_a_mzdy (ženy)'!F11=0,0,('T6-Zamestnanci_a_mzdy'!J11-'T6a-Zamestnanci_a_mzdy (ženy)'!J11)/('T6-Zamestnanci_a_mzdy'!F11-'T6a-Zamestnanci_a_mzdy (ženy)'!F11)/12)</f>
        <v>1726.712815810921</v>
      </c>
      <c r="M11" s="601">
        <v>1421.26</v>
      </c>
      <c r="N11" s="602">
        <v>1718.19</v>
      </c>
      <c r="O11" s="603">
        <v>2067.8000000000002</v>
      </c>
    </row>
    <row r="12" spans="1:15" x14ac:dyDescent="0.2">
      <c r="A12" s="19">
        <v>6</v>
      </c>
      <c r="B12" s="239" t="s">
        <v>94</v>
      </c>
      <c r="C12" s="569">
        <v>44.34</v>
      </c>
      <c r="D12" s="569">
        <v>43.01</v>
      </c>
      <c r="E12" s="569">
        <v>6.1</v>
      </c>
      <c r="F12" s="532">
        <f t="shared" si="0"/>
        <v>50.440000000000005</v>
      </c>
      <c r="G12" s="569">
        <v>720868.32</v>
      </c>
      <c r="H12" s="569">
        <v>693491.08</v>
      </c>
      <c r="I12" s="569">
        <v>396012.63</v>
      </c>
      <c r="J12" s="587">
        <f t="shared" si="1"/>
        <v>1116880.95</v>
      </c>
      <c r="K12" s="588">
        <f t="shared" si="2"/>
        <v>1845.2302240285487</v>
      </c>
      <c r="L12" s="597">
        <f>IF('T6-Zamestnanci_a_mzdy'!F12-'T6a-Zamestnanci_a_mzdy (ženy)'!F12=0,0,('T6-Zamestnanci_a_mzdy'!J12-'T6a-Zamestnanci_a_mzdy (ženy)'!J12)/('T6-Zamestnanci_a_mzdy'!F12-'T6a-Zamestnanci_a_mzdy (ženy)'!F12)/12)</f>
        <v>1896.3294662888184</v>
      </c>
      <c r="M12" s="601">
        <v>1543.35</v>
      </c>
      <c r="N12" s="602">
        <v>1752.12</v>
      </c>
      <c r="O12" s="603">
        <v>2118.5700000000002</v>
      </c>
    </row>
    <row r="13" spans="1:15" x14ac:dyDescent="0.2">
      <c r="A13" s="19">
        <v>7</v>
      </c>
      <c r="B13" s="238" t="s">
        <v>20</v>
      </c>
      <c r="C13" s="569">
        <v>130.88999999999999</v>
      </c>
      <c r="D13" s="569">
        <v>125.95</v>
      </c>
      <c r="E13" s="569">
        <v>28.13</v>
      </c>
      <c r="F13" s="532">
        <f t="shared" si="0"/>
        <v>159.01999999999998</v>
      </c>
      <c r="G13" s="569">
        <v>1840278.29</v>
      </c>
      <c r="H13" s="569">
        <v>1736194.08</v>
      </c>
      <c r="I13" s="569">
        <v>653711.43999999994</v>
      </c>
      <c r="J13" s="587">
        <f t="shared" si="1"/>
        <v>2493989.73</v>
      </c>
      <c r="K13" s="588">
        <f t="shared" si="2"/>
        <v>1306.9581027543707</v>
      </c>
      <c r="L13" s="597">
        <f>IF('T6-Zamestnanci_a_mzdy'!F13-'T6a-Zamestnanci_a_mzdy (ženy)'!F13=0,0,('T6-Zamestnanci_a_mzdy'!J13-'T6a-Zamestnanci_a_mzdy (ženy)'!J13)/('T6-Zamestnanci_a_mzdy'!F13-'T6a-Zamestnanci_a_mzdy (ženy)'!F13)/12)</f>
        <v>1719.8260654812302</v>
      </c>
      <c r="M13" s="601">
        <v>1029.6600000000001</v>
      </c>
      <c r="N13" s="602">
        <v>1204.31</v>
      </c>
      <c r="O13" s="603">
        <v>1675.3</v>
      </c>
    </row>
    <row r="14" spans="1:15" x14ac:dyDescent="0.2">
      <c r="A14" s="19"/>
      <c r="B14" s="239" t="s">
        <v>133</v>
      </c>
      <c r="C14" s="570"/>
      <c r="D14" s="570"/>
      <c r="E14" s="570"/>
      <c r="F14" s="589"/>
      <c r="G14" s="570"/>
      <c r="H14" s="570"/>
      <c r="I14" s="570"/>
      <c r="J14" s="590"/>
      <c r="K14" s="590"/>
      <c r="L14" s="597"/>
      <c r="M14" s="601"/>
      <c r="N14" s="602"/>
      <c r="O14" s="603"/>
    </row>
    <row r="15" spans="1:15" x14ac:dyDescent="0.2">
      <c r="A15" s="19">
        <v>8</v>
      </c>
      <c r="B15" s="239" t="s">
        <v>24</v>
      </c>
      <c r="C15" s="569">
        <v>16.510000000000002</v>
      </c>
      <c r="D15" s="569">
        <v>16.510000000000002</v>
      </c>
      <c r="E15" s="569">
        <v>2.57</v>
      </c>
      <c r="F15" s="532">
        <f t="shared" ref="F15:F21" si="3">C15+E15</f>
        <v>19.080000000000002</v>
      </c>
      <c r="G15" s="569">
        <v>244961.37</v>
      </c>
      <c r="H15" s="569">
        <v>244961.37</v>
      </c>
      <c r="I15" s="569">
        <v>60131.61</v>
      </c>
      <c r="J15" s="587">
        <f t="shared" ref="J15:J21" si="4">G15+I15</f>
        <v>305092.98</v>
      </c>
      <c r="K15" s="588">
        <f t="shared" si="2"/>
        <v>1332.516509433962</v>
      </c>
      <c r="L15" s="597">
        <f>IF('T6-Zamestnanci_a_mzdy'!F15-'T6a-Zamestnanci_a_mzdy (ženy)'!F15=0,0,('T6-Zamestnanci_a_mzdy'!J15-'T6a-Zamestnanci_a_mzdy (ženy)'!J15)/('T6-Zamestnanci_a_mzdy'!F15-'T6a-Zamestnanci_a_mzdy (ženy)'!F15)/12)</f>
        <v>1881.1658833287254</v>
      </c>
      <c r="M15" s="601">
        <v>1106.22</v>
      </c>
      <c r="N15" s="602">
        <v>1162.8599999999999</v>
      </c>
      <c r="O15" s="603">
        <v>1420.85</v>
      </c>
    </row>
    <row r="16" spans="1:15" x14ac:dyDescent="0.2">
      <c r="A16" s="19">
        <v>9</v>
      </c>
      <c r="B16" s="238" t="s">
        <v>117</v>
      </c>
      <c r="C16" s="532">
        <f>SUM(C17:C19)</f>
        <v>194.38</v>
      </c>
      <c r="D16" s="532">
        <f>SUM(D17:D19)</f>
        <v>194.38</v>
      </c>
      <c r="E16" s="532">
        <f>SUM(E17:E19)</f>
        <v>37.309999999999995</v>
      </c>
      <c r="F16" s="532">
        <f t="shared" si="3"/>
        <v>231.69</v>
      </c>
      <c r="G16" s="532">
        <f>SUM(G17:G19)</f>
        <v>3045269.58</v>
      </c>
      <c r="H16" s="532">
        <f>SUM(H17:H19)</f>
        <v>3045108.08</v>
      </c>
      <c r="I16" s="532">
        <f>SUM(I17:I19)</f>
        <v>1019629.87</v>
      </c>
      <c r="J16" s="587">
        <f t="shared" si="4"/>
        <v>4064899.45</v>
      </c>
      <c r="K16" s="588">
        <f t="shared" si="2"/>
        <v>1462.0467902513417</v>
      </c>
      <c r="L16" s="597">
        <f>IF('T6-Zamestnanci_a_mzdy'!F16-'T6a-Zamestnanci_a_mzdy (ženy)'!F16=0,0,('T6-Zamestnanci_a_mzdy'!J16-'T6a-Zamestnanci_a_mzdy (ženy)'!J16)/('T6-Zamestnanci_a_mzdy'!F16-'T6a-Zamestnanci_a_mzdy (ženy)'!F16)/12)</f>
        <v>1906.4456631366613</v>
      </c>
      <c r="M16" s="601">
        <v>1118.79</v>
      </c>
      <c r="N16" s="602">
        <v>1285.96</v>
      </c>
      <c r="O16" s="603">
        <v>1553.68</v>
      </c>
    </row>
    <row r="17" spans="1:15" x14ac:dyDescent="0.2">
      <c r="A17" s="19">
        <v>10</v>
      </c>
      <c r="B17" s="239" t="s">
        <v>95</v>
      </c>
      <c r="C17" s="569">
        <v>63.88</v>
      </c>
      <c r="D17" s="569">
        <v>63.88</v>
      </c>
      <c r="E17" s="569">
        <v>4.51</v>
      </c>
      <c r="F17" s="532">
        <f t="shared" si="3"/>
        <v>68.39</v>
      </c>
      <c r="G17" s="569">
        <v>1093468.3999999999</v>
      </c>
      <c r="H17" s="569">
        <v>1093306.8999999999</v>
      </c>
      <c r="I17" s="569">
        <v>187274.68</v>
      </c>
      <c r="J17" s="587">
        <f t="shared" si="4"/>
        <v>1280743.0799999998</v>
      </c>
      <c r="K17" s="588">
        <f t="shared" si="2"/>
        <v>1560.5876590144755</v>
      </c>
      <c r="L17" s="597">
        <f>IF('T6-Zamestnanci_a_mzdy'!F17-'T6a-Zamestnanci_a_mzdy (ženy)'!F17=0,0,('T6-Zamestnanci_a_mzdy'!J17-'T6a-Zamestnanci_a_mzdy (ženy)'!J17)/('T6-Zamestnanci_a_mzdy'!F17-'T6a-Zamestnanci_a_mzdy (ženy)'!F17)/12)</f>
        <v>1699.6492619926214</v>
      </c>
      <c r="M17" s="601">
        <v>1183.6500000000001</v>
      </c>
      <c r="N17" s="602">
        <v>1430.15</v>
      </c>
      <c r="O17" s="603">
        <v>1562.42</v>
      </c>
    </row>
    <row r="18" spans="1:15" x14ac:dyDescent="0.2">
      <c r="A18" s="19">
        <v>11</v>
      </c>
      <c r="B18" s="239" t="s">
        <v>70</v>
      </c>
      <c r="C18" s="569">
        <v>71.709999999999994</v>
      </c>
      <c r="D18" s="569">
        <v>71.709999999999994</v>
      </c>
      <c r="E18" s="569">
        <v>21.18</v>
      </c>
      <c r="F18" s="532">
        <f t="shared" si="3"/>
        <v>92.889999999999986</v>
      </c>
      <c r="G18" s="569">
        <v>1119492.1200000001</v>
      </c>
      <c r="H18" s="569">
        <v>1119492.1200000001</v>
      </c>
      <c r="I18" s="569">
        <v>565991.04</v>
      </c>
      <c r="J18" s="587">
        <f t="shared" si="4"/>
        <v>1685483.1600000001</v>
      </c>
      <c r="K18" s="588">
        <f t="shared" si="2"/>
        <v>1512.0780493056307</v>
      </c>
      <c r="L18" s="597">
        <f>IF('T6-Zamestnanci_a_mzdy'!F18-'T6a-Zamestnanci_a_mzdy (ženy)'!F18=0,0,('T6-Zamestnanci_a_mzdy'!J18-'T6a-Zamestnanci_a_mzdy (ženy)'!J18)/('T6-Zamestnanci_a_mzdy'!F18-'T6a-Zamestnanci_a_mzdy (ženy)'!F18)/12)</f>
        <v>1358.3808808808735</v>
      </c>
      <c r="M18" s="601">
        <v>1106.99</v>
      </c>
      <c r="N18" s="602">
        <v>1302.68</v>
      </c>
      <c r="O18" s="603">
        <v>1688.38</v>
      </c>
    </row>
    <row r="19" spans="1:15" x14ac:dyDescent="0.2">
      <c r="A19" s="19">
        <v>12</v>
      </c>
      <c r="B19" s="239" t="s">
        <v>61</v>
      </c>
      <c r="C19" s="569">
        <v>58.79</v>
      </c>
      <c r="D19" s="569">
        <v>58.79</v>
      </c>
      <c r="E19" s="569">
        <v>11.62</v>
      </c>
      <c r="F19" s="532">
        <f t="shared" si="3"/>
        <v>70.41</v>
      </c>
      <c r="G19" s="569">
        <v>832309.06</v>
      </c>
      <c r="H19" s="569">
        <v>832309.06</v>
      </c>
      <c r="I19" s="569">
        <v>266364.15000000002</v>
      </c>
      <c r="J19" s="587">
        <f t="shared" si="4"/>
        <v>1098673.21</v>
      </c>
      <c r="K19" s="588">
        <f t="shared" si="2"/>
        <v>1300.328090233395</v>
      </c>
      <c r="L19" s="597">
        <f>IF('T6-Zamestnanci_a_mzdy'!F19-'T6a-Zamestnanci_a_mzdy (ženy)'!F19=0,0,('T6-Zamestnanci_a_mzdy'!J19-'T6a-Zamestnanci_a_mzdy (ženy)'!J19)/('T6-Zamestnanci_a_mzdy'!F19-'T6a-Zamestnanci_a_mzdy (ženy)'!F19)/12)</f>
        <v>3474.9700564971699</v>
      </c>
      <c r="M19" s="601">
        <v>1092.01</v>
      </c>
      <c r="N19" s="602">
        <v>1209.3499999999999</v>
      </c>
      <c r="O19" s="603">
        <v>1355.12</v>
      </c>
    </row>
    <row r="20" spans="1:15" x14ac:dyDescent="0.2">
      <c r="A20" s="19">
        <v>13</v>
      </c>
      <c r="B20" s="238" t="s">
        <v>114</v>
      </c>
      <c r="C20" s="569">
        <v>58.42</v>
      </c>
      <c r="D20" s="569">
        <v>56.5</v>
      </c>
      <c r="E20" s="569">
        <v>22.033000000000001</v>
      </c>
      <c r="F20" s="532">
        <f t="shared" si="3"/>
        <v>80.453000000000003</v>
      </c>
      <c r="G20" s="569">
        <v>1301025.8999999999</v>
      </c>
      <c r="H20" s="569">
        <v>1271050.08</v>
      </c>
      <c r="I20" s="569">
        <v>676148.61</v>
      </c>
      <c r="J20" s="587">
        <f t="shared" si="4"/>
        <v>1977174.5099999998</v>
      </c>
      <c r="K20" s="588">
        <f t="shared" si="2"/>
        <v>2047.9602065802392</v>
      </c>
      <c r="L20" s="597">
        <f>IF('T6-Zamestnanci_a_mzdy'!F20-'T6a-Zamestnanci_a_mzdy (ženy)'!F20=0,0,('T6-Zamestnanci_a_mzdy'!J20-'T6a-Zamestnanci_a_mzdy (ženy)'!J20)/('T6-Zamestnanci_a_mzdy'!F20-'T6a-Zamestnanci_a_mzdy (ženy)'!F20)/12)</f>
        <v>2370.6022558702075</v>
      </c>
      <c r="M20" s="601">
        <v>1457.52</v>
      </c>
      <c r="N20" s="602">
        <v>1720.79</v>
      </c>
      <c r="O20" s="603">
        <v>2234.3200000000002</v>
      </c>
    </row>
    <row r="21" spans="1:15" ht="31.5" x14ac:dyDescent="0.2">
      <c r="A21" s="19">
        <v>14</v>
      </c>
      <c r="B21" s="238" t="s">
        <v>21</v>
      </c>
      <c r="C21" s="569">
        <v>75.81</v>
      </c>
      <c r="D21" s="569">
        <v>75.8</v>
      </c>
      <c r="E21" s="569">
        <v>16.059999999999999</v>
      </c>
      <c r="F21" s="532">
        <f t="shared" si="3"/>
        <v>91.87</v>
      </c>
      <c r="G21" s="569">
        <v>714022.7</v>
      </c>
      <c r="H21" s="569">
        <v>714022.7</v>
      </c>
      <c r="I21" s="569">
        <v>267988.15999999997</v>
      </c>
      <c r="J21" s="587">
        <f t="shared" si="4"/>
        <v>982010.85999999987</v>
      </c>
      <c r="K21" s="588">
        <f t="shared" si="2"/>
        <v>890.76127499002189</v>
      </c>
      <c r="L21" s="597">
        <f>IF('T6-Zamestnanci_a_mzdy'!F21-'T6a-Zamestnanci_a_mzdy (ženy)'!F21=0,0,('T6-Zamestnanci_a_mzdy'!J21-'T6a-Zamestnanci_a_mzdy (ženy)'!J21)/('T6-Zamestnanci_a_mzdy'!F21-'T6a-Zamestnanci_a_mzdy (ženy)'!F21)/12)</f>
        <v>1165.0187578320808</v>
      </c>
      <c r="M21" s="601">
        <v>778.6</v>
      </c>
      <c r="N21" s="602">
        <v>835.11</v>
      </c>
      <c r="O21" s="603">
        <v>975.02</v>
      </c>
    </row>
    <row r="22" spans="1:15" ht="47.25" x14ac:dyDescent="0.2">
      <c r="A22" s="19">
        <v>15</v>
      </c>
      <c r="B22" s="238" t="s">
        <v>147</v>
      </c>
      <c r="C22" s="532">
        <f>SUM(C23:C26)</f>
        <v>15.99</v>
      </c>
      <c r="D22" s="532">
        <f>SUM(D23:D26)</f>
        <v>15.99</v>
      </c>
      <c r="E22" s="532">
        <f>SUM(E23:E26)</f>
        <v>5.5</v>
      </c>
      <c r="F22" s="532">
        <f>SUM(F27:F27)</f>
        <v>0</v>
      </c>
      <c r="G22" s="532">
        <f>SUM(G23:G26)</f>
        <v>193823.63</v>
      </c>
      <c r="H22" s="532">
        <f>SUM(H23:H26)</f>
        <v>193823.63</v>
      </c>
      <c r="I22" s="532">
        <f>SUM(I23:I26)</f>
        <v>112512.71</v>
      </c>
      <c r="J22" s="587">
        <f>SUM(J23:J26)</f>
        <v>306336.34000000003</v>
      </c>
      <c r="K22" s="588">
        <f t="shared" si="2"/>
        <v>0</v>
      </c>
      <c r="L22" s="597">
        <f>IF('T6-Zamestnanci_a_mzdy'!F22-'T6a-Zamestnanci_a_mzdy (ženy)'!F22=0,0,('T6-Zamestnanci_a_mzdy'!J22-'T6a-Zamestnanci_a_mzdy (ženy)'!J22)/('T6-Zamestnanci_a_mzdy'!F22-'T6a-Zamestnanci_a_mzdy (ženy)'!F22)/12)</f>
        <v>0</v>
      </c>
      <c r="M22" s="604" t="s">
        <v>140</v>
      </c>
      <c r="N22" s="605" t="s">
        <v>140</v>
      </c>
      <c r="O22" s="606" t="s">
        <v>140</v>
      </c>
    </row>
    <row r="23" spans="1:15" x14ac:dyDescent="0.2">
      <c r="A23" s="19" t="s">
        <v>115</v>
      </c>
      <c r="B23" s="296" t="s">
        <v>971</v>
      </c>
      <c r="C23" s="569">
        <v>15.49</v>
      </c>
      <c r="D23" s="569">
        <v>15.49</v>
      </c>
      <c r="E23" s="569">
        <v>5.5</v>
      </c>
      <c r="F23" s="532">
        <f t="shared" ref="F23:F29" si="5">C23+E23</f>
        <v>20.990000000000002</v>
      </c>
      <c r="G23" s="569">
        <v>185606.54</v>
      </c>
      <c r="H23" s="569">
        <v>185606.54</v>
      </c>
      <c r="I23" s="569">
        <v>112512.71</v>
      </c>
      <c r="J23" s="587">
        <f>G23+I23</f>
        <v>298119.25</v>
      </c>
      <c r="K23" s="588">
        <f t="shared" si="2"/>
        <v>1183.5765046847703</v>
      </c>
      <c r="L23" s="597">
        <f>IF('T6-Zamestnanci_a_mzdy'!F23-'T6a-Zamestnanci_a_mzdy (ženy)'!F23=0,0,('T6-Zamestnanci_a_mzdy'!J23-'T6a-Zamestnanci_a_mzdy (ženy)'!J23)/('T6-Zamestnanci_a_mzdy'!F23-'T6a-Zamestnanci_a_mzdy (ženy)'!F23)/12)</f>
        <v>1417.6308300717549</v>
      </c>
      <c r="M23" s="604" t="s">
        <v>140</v>
      </c>
      <c r="N23" s="605" t="s">
        <v>140</v>
      </c>
      <c r="O23" s="606" t="s">
        <v>140</v>
      </c>
    </row>
    <row r="24" spans="1:15" x14ac:dyDescent="0.2">
      <c r="A24" s="19" t="s">
        <v>190</v>
      </c>
      <c r="B24" s="296" t="s">
        <v>972</v>
      </c>
      <c r="C24" s="569">
        <v>0.5</v>
      </c>
      <c r="D24" s="569">
        <v>0.5</v>
      </c>
      <c r="E24" s="569"/>
      <c r="F24" s="532">
        <f t="shared" si="5"/>
        <v>0.5</v>
      </c>
      <c r="G24" s="569">
        <v>8217.09</v>
      </c>
      <c r="H24" s="569">
        <v>8217.09</v>
      </c>
      <c r="I24" s="569"/>
      <c r="J24" s="587">
        <f>G24+I24</f>
        <v>8217.09</v>
      </c>
      <c r="K24" s="588">
        <f t="shared" si="2"/>
        <v>1369.5150000000001</v>
      </c>
      <c r="L24" s="597">
        <f>IF('T6-Zamestnanci_a_mzdy'!F24-'T6a-Zamestnanci_a_mzdy (ženy)'!F24=0,0,('T6-Zamestnanci_a_mzdy'!J24-'T6a-Zamestnanci_a_mzdy (ženy)'!J24)/('T6-Zamestnanci_a_mzdy'!F24-'T6a-Zamestnanci_a_mzdy (ženy)'!F24)/12)</f>
        <v>0</v>
      </c>
      <c r="M24" s="604" t="s">
        <v>140</v>
      </c>
      <c r="N24" s="605" t="s">
        <v>140</v>
      </c>
      <c r="O24" s="606" t="s">
        <v>140</v>
      </c>
    </row>
    <row r="25" spans="1:15" x14ac:dyDescent="0.2">
      <c r="A25" s="19" t="s">
        <v>191</v>
      </c>
      <c r="B25" s="296"/>
      <c r="C25" s="569"/>
      <c r="D25" s="569"/>
      <c r="E25" s="569"/>
      <c r="F25" s="532">
        <f t="shared" si="5"/>
        <v>0</v>
      </c>
      <c r="G25" s="569"/>
      <c r="H25" s="569"/>
      <c r="I25" s="569"/>
      <c r="J25" s="587">
        <f>G25+I25</f>
        <v>0</v>
      </c>
      <c r="K25" s="588">
        <f t="shared" si="2"/>
        <v>0</v>
      </c>
      <c r="L25" s="597">
        <f>IF('T6-Zamestnanci_a_mzdy'!F25-'T6a-Zamestnanci_a_mzdy (ženy)'!F25=0,0,('T6-Zamestnanci_a_mzdy'!J25-'T6a-Zamestnanci_a_mzdy (ženy)'!J25)/('T6-Zamestnanci_a_mzdy'!F25-'T6a-Zamestnanci_a_mzdy (ženy)'!F25)/12)</f>
        <v>0</v>
      </c>
      <c r="M25" s="604" t="s">
        <v>140</v>
      </c>
      <c r="N25" s="605" t="s">
        <v>140</v>
      </c>
      <c r="O25" s="606" t="s">
        <v>140</v>
      </c>
    </row>
    <row r="26" spans="1:15" ht="16.5" customHeight="1" x14ac:dyDescent="0.2">
      <c r="A26" s="19" t="s">
        <v>192</v>
      </c>
      <c r="B26" s="296"/>
      <c r="C26" s="569"/>
      <c r="D26" s="569"/>
      <c r="E26" s="569"/>
      <c r="F26" s="532">
        <f t="shared" si="5"/>
        <v>0</v>
      </c>
      <c r="G26" s="569"/>
      <c r="H26" s="569"/>
      <c r="I26" s="569"/>
      <c r="J26" s="587">
        <f>G26+I26</f>
        <v>0</v>
      </c>
      <c r="K26" s="588">
        <f t="shared" si="2"/>
        <v>0</v>
      </c>
      <c r="L26" s="597">
        <f>IF('T6-Zamestnanci_a_mzdy'!F26-'T6a-Zamestnanci_a_mzdy (ženy)'!F26=0,0,('T6-Zamestnanci_a_mzdy'!J26-'T6a-Zamestnanci_a_mzdy (ženy)'!J26)/('T6-Zamestnanci_a_mzdy'!F26-'T6a-Zamestnanci_a_mzdy (ženy)'!F26)/12)</f>
        <v>0</v>
      </c>
      <c r="M26" s="604" t="s">
        <v>140</v>
      </c>
      <c r="N26" s="605" t="s">
        <v>140</v>
      </c>
      <c r="O26" s="606" t="s">
        <v>140</v>
      </c>
    </row>
    <row r="27" spans="1:15" x14ac:dyDescent="0.2">
      <c r="A27" s="19"/>
      <c r="B27" s="239"/>
      <c r="C27" s="570"/>
      <c r="D27" s="570"/>
      <c r="E27" s="570"/>
      <c r="F27" s="589">
        <f t="shared" si="5"/>
        <v>0</v>
      </c>
      <c r="G27" s="570"/>
      <c r="H27" s="570"/>
      <c r="I27" s="570"/>
      <c r="J27" s="590"/>
      <c r="K27" s="590"/>
      <c r="L27" s="597"/>
      <c r="M27" s="607"/>
      <c r="N27" s="602"/>
      <c r="O27" s="608"/>
    </row>
    <row r="28" spans="1:15" x14ac:dyDescent="0.2">
      <c r="A28" s="19">
        <v>16</v>
      </c>
      <c r="B28" s="238" t="s">
        <v>22</v>
      </c>
      <c r="C28" s="569">
        <v>28.84</v>
      </c>
      <c r="D28" s="569">
        <v>28.84</v>
      </c>
      <c r="E28" s="569">
        <v>9.98</v>
      </c>
      <c r="F28" s="532">
        <f t="shared" si="5"/>
        <v>38.82</v>
      </c>
      <c r="G28" s="569">
        <v>323575.8</v>
      </c>
      <c r="H28" s="569">
        <v>323575.8</v>
      </c>
      <c r="I28" s="569">
        <v>179474.42</v>
      </c>
      <c r="J28" s="587">
        <f>G28+I28</f>
        <v>503050.22</v>
      </c>
      <c r="K28" s="588">
        <f t="shared" si="2"/>
        <v>1079.8776833247466</v>
      </c>
      <c r="L28" s="597">
        <f>IF('T6-Zamestnanci_a_mzdy'!F28-'T6a-Zamestnanci_a_mzdy (ženy)'!F28=0,0,('T6-Zamestnanci_a_mzdy'!J28-'T6a-Zamestnanci_a_mzdy (ženy)'!J28)/('T6-Zamestnanci_a_mzdy'!F28-'T6a-Zamestnanci_a_mzdy (ženy)'!F28)/12)</f>
        <v>1187.5002461841461</v>
      </c>
      <c r="M28" s="601">
        <v>870.62</v>
      </c>
      <c r="N28" s="602">
        <v>947.7</v>
      </c>
      <c r="O28" s="603">
        <v>1347.17</v>
      </c>
    </row>
    <row r="29" spans="1:15" x14ac:dyDescent="0.2">
      <c r="A29" s="19">
        <v>17</v>
      </c>
      <c r="B29" s="238" t="s">
        <v>23</v>
      </c>
      <c r="C29" s="569"/>
      <c r="D29" s="569"/>
      <c r="E29" s="569">
        <v>47.1</v>
      </c>
      <c r="F29" s="532">
        <f t="shared" si="5"/>
        <v>47.1</v>
      </c>
      <c r="G29" s="569"/>
      <c r="H29" s="569"/>
      <c r="I29" s="569">
        <v>600676.28</v>
      </c>
      <c r="J29" s="587">
        <f>G29+I29</f>
        <v>600676.28</v>
      </c>
      <c r="K29" s="588">
        <f t="shared" si="2"/>
        <v>1062.7676574663835</v>
      </c>
      <c r="L29" s="597">
        <f>IF('T6-Zamestnanci_a_mzdy'!F29-'T6a-Zamestnanci_a_mzdy (ženy)'!F29=0,0,('T6-Zamestnanci_a_mzdy'!J29-'T6a-Zamestnanci_a_mzdy (ženy)'!J29)/('T6-Zamestnanci_a_mzdy'!F29-'T6a-Zamestnanci_a_mzdy (ženy)'!F29)/12)</f>
        <v>1099.8252032520334</v>
      </c>
      <c r="M29" s="601">
        <v>805.69</v>
      </c>
      <c r="N29" s="602">
        <v>967.3</v>
      </c>
      <c r="O29" s="603">
        <v>1086.3699999999999</v>
      </c>
    </row>
    <row r="30" spans="1:15" ht="16.5" thickBot="1" x14ac:dyDescent="0.25">
      <c r="A30" s="20">
        <v>18</v>
      </c>
      <c r="B30" s="240" t="s">
        <v>148</v>
      </c>
      <c r="C30" s="174">
        <f t="shared" ref="C30:J30" si="6">C7+C13+C16+C20+C21+C28+C29</f>
        <v>822.52999999999986</v>
      </c>
      <c r="D30" s="174">
        <f t="shared" si="6"/>
        <v>813.54</v>
      </c>
      <c r="E30" s="174">
        <f t="shared" si="6"/>
        <v>213.74299999999999</v>
      </c>
      <c r="F30" s="174">
        <f t="shared" si="6"/>
        <v>1036.2729999999999</v>
      </c>
      <c r="G30" s="174">
        <f t="shared" si="6"/>
        <v>15094375.530000001</v>
      </c>
      <c r="H30" s="174">
        <f t="shared" si="6"/>
        <v>14915674.120000001</v>
      </c>
      <c r="I30" s="174">
        <f t="shared" si="6"/>
        <v>6738907.2000000002</v>
      </c>
      <c r="J30" s="595">
        <f t="shared" si="6"/>
        <v>21833282.729999997</v>
      </c>
      <c r="K30" s="596">
        <f t="shared" si="2"/>
        <v>1755.753770965759</v>
      </c>
      <c r="L30" s="609">
        <f>IF('T6-Zamestnanci_a_mzdy'!F30-'T6a-Zamestnanci_a_mzdy (ženy)'!F30=0,0,('T6-Zamestnanci_a_mzdy'!J30-'T6a-Zamestnanci_a_mzdy (ženy)'!J30)/('T6-Zamestnanci_a_mzdy'!F30-'T6a-Zamestnanci_a_mzdy (ženy)'!F30)/12)</f>
        <v>2348.288617289184</v>
      </c>
      <c r="M30" s="610">
        <v>1140.6099999999999</v>
      </c>
      <c r="N30" s="611">
        <v>1666.67</v>
      </c>
      <c r="O30" s="612">
        <v>2188.6</v>
      </c>
    </row>
    <row r="31" spans="1:15" x14ac:dyDescent="0.2">
      <c r="A31" s="12"/>
      <c r="B31" s="12"/>
      <c r="C31" s="15"/>
      <c r="D31" s="12"/>
      <c r="E31" s="12"/>
      <c r="F31" s="15"/>
      <c r="G31" s="15"/>
      <c r="H31" s="15"/>
      <c r="I31" s="15"/>
      <c r="J31" s="15"/>
      <c r="L31" s="188"/>
      <c r="M31" s="188"/>
      <c r="N31" s="188"/>
      <c r="O31" s="188"/>
    </row>
    <row r="32" spans="1:15" x14ac:dyDescent="0.25">
      <c r="A32" s="862" t="s">
        <v>0</v>
      </c>
      <c r="B32" s="863"/>
      <c r="C32" s="863"/>
      <c r="D32" s="863"/>
      <c r="E32" s="863"/>
      <c r="F32" s="863"/>
      <c r="G32" s="863"/>
      <c r="H32" s="863"/>
      <c r="I32" s="863"/>
      <c r="J32" s="864"/>
      <c r="L32" s="188"/>
      <c r="M32" s="188"/>
      <c r="N32" s="188"/>
      <c r="O32" s="188"/>
    </row>
    <row r="33" spans="1:15" x14ac:dyDescent="0.25">
      <c r="A33" s="865" t="s">
        <v>505</v>
      </c>
      <c r="B33" s="866"/>
      <c r="C33" s="866"/>
      <c r="D33" s="866"/>
      <c r="E33" s="866"/>
      <c r="F33" s="866"/>
      <c r="G33" s="866"/>
      <c r="H33" s="866"/>
      <c r="I33" s="866"/>
      <c r="J33" s="867"/>
      <c r="L33" s="188"/>
      <c r="M33" s="189" t="s">
        <v>543</v>
      </c>
      <c r="N33" s="188"/>
      <c r="O33" s="188"/>
    </row>
    <row r="34" spans="1:15" ht="50.25" customHeight="1" x14ac:dyDescent="0.2">
      <c r="A34" s="303"/>
      <c r="B34" s="855" t="s">
        <v>759</v>
      </c>
      <c r="C34" s="855"/>
      <c r="D34" s="855"/>
      <c r="E34" s="855"/>
      <c r="F34" s="855"/>
      <c r="G34" s="855"/>
      <c r="H34" s="855"/>
      <c r="I34" s="855"/>
      <c r="J34" s="855"/>
      <c r="K34" s="754" t="s">
        <v>1073</v>
      </c>
      <c r="L34" s="188"/>
      <c r="M34" s="188"/>
      <c r="N34" s="754" t="s">
        <v>1073</v>
      </c>
      <c r="O34" s="188"/>
    </row>
    <row r="35" spans="1:15" x14ac:dyDescent="0.2">
      <c r="A35" s="303"/>
      <c r="B35" s="304" t="s">
        <v>475</v>
      </c>
      <c r="C35" s="305"/>
      <c r="D35" s="305"/>
      <c r="E35" s="305"/>
      <c r="F35" s="305"/>
      <c r="G35" s="305"/>
      <c r="H35" s="305"/>
      <c r="I35" s="305"/>
      <c r="J35" s="305"/>
      <c r="L35" s="188"/>
      <c r="M35" s="188"/>
      <c r="N35" s="188"/>
      <c r="O35" s="188"/>
    </row>
    <row r="36" spans="1:15" x14ac:dyDescent="0.2">
      <c r="A36" s="303"/>
      <c r="B36" s="304" t="s">
        <v>476</v>
      </c>
      <c r="C36" s="305"/>
      <c r="D36" s="305"/>
      <c r="E36" s="305"/>
      <c r="F36" s="305"/>
      <c r="G36" s="305"/>
      <c r="H36" s="305"/>
      <c r="I36" s="305"/>
      <c r="J36" s="305"/>
    </row>
    <row r="37" spans="1:15" x14ac:dyDescent="0.2">
      <c r="A37" s="303"/>
      <c r="B37" s="304" t="s">
        <v>477</v>
      </c>
      <c r="C37" s="305"/>
      <c r="D37" s="305"/>
      <c r="E37" s="305"/>
      <c r="F37" s="305"/>
      <c r="G37" s="305"/>
      <c r="H37" s="305"/>
      <c r="I37" s="305"/>
      <c r="J37" s="305"/>
    </row>
  </sheetData>
  <mergeCells count="20">
    <mergeCell ref="N3:N5"/>
    <mergeCell ref="O3:O5"/>
    <mergeCell ref="A32:J32"/>
    <mergeCell ref="A33:J33"/>
    <mergeCell ref="L3:L5"/>
    <mergeCell ref="B34:J34"/>
    <mergeCell ref="M3:M5"/>
    <mergeCell ref="A1:K1"/>
    <mergeCell ref="A2:K2"/>
    <mergeCell ref="A3:A5"/>
    <mergeCell ref="B3:B5"/>
    <mergeCell ref="C3:F3"/>
    <mergeCell ref="G3:G5"/>
    <mergeCell ref="H3:H4"/>
    <mergeCell ref="I3:I5"/>
    <mergeCell ref="J3:J5"/>
    <mergeCell ref="K3:K5"/>
    <mergeCell ref="C4:C5"/>
    <mergeCell ref="E4:E5"/>
    <mergeCell ref="F4:F5"/>
  </mergeCells>
  <printOptions gridLines="1"/>
  <pageMargins left="0.2" right="0.19" top="0.8" bottom="0.39370078740157483" header="0.51181102362204722" footer="0.27559055118110237"/>
  <pageSetup paperSize="9" scale="5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1"/>
  <sheetViews>
    <sheetView zoomScaleNormal="100" workbookViewId="0">
      <pane xSplit="2" ySplit="4" topLeftCell="C5" activePane="bottomRight" state="frozen"/>
      <selection pane="topRight" activeCell="C1" sqref="C1"/>
      <selection pane="bottomLeft" activeCell="A7" sqref="A7"/>
      <selection pane="bottomRight" activeCell="C5" sqref="C5:E7"/>
    </sheetView>
  </sheetViews>
  <sheetFormatPr defaultColWidth="9.140625" defaultRowHeight="15.75" x14ac:dyDescent="0.25"/>
  <cols>
    <col min="1" max="1" width="9.140625" style="85"/>
    <col min="2" max="2" width="69.7109375" style="85" customWidth="1"/>
    <col min="3" max="3" width="18" style="85" bestFit="1" customWidth="1"/>
    <col min="4" max="4" width="20.28515625" style="85" bestFit="1" customWidth="1"/>
    <col min="5" max="5" width="26.42578125" style="85" customWidth="1"/>
    <col min="6" max="6" width="9.140625" style="85"/>
    <col min="7" max="7" width="16" style="85" bestFit="1" customWidth="1"/>
    <col min="8" max="16384" width="9.140625" style="85"/>
  </cols>
  <sheetData>
    <row r="1" spans="1:7" s="306" customFormat="1" ht="39.75" customHeight="1" thickBot="1" x14ac:dyDescent="0.3">
      <c r="A1" s="870" t="s">
        <v>817</v>
      </c>
      <c r="B1" s="871"/>
      <c r="C1" s="871"/>
      <c r="D1" s="871"/>
      <c r="E1" s="872"/>
    </row>
    <row r="2" spans="1:7" s="306" customFormat="1" ht="44.25" customHeight="1" thickBot="1" x14ac:dyDescent="0.3">
      <c r="A2" s="873" t="s">
        <v>1059</v>
      </c>
      <c r="B2" s="874"/>
      <c r="C2" s="874"/>
      <c r="D2" s="874"/>
      <c r="E2" s="875"/>
    </row>
    <row r="3" spans="1:7" s="306" customFormat="1" ht="65.25" customHeight="1" x14ac:dyDescent="0.25">
      <c r="A3" s="307" t="s">
        <v>80</v>
      </c>
      <c r="B3" s="308" t="s">
        <v>153</v>
      </c>
      <c r="C3" s="309" t="s">
        <v>536</v>
      </c>
      <c r="D3" s="309" t="s">
        <v>551</v>
      </c>
      <c r="E3" s="310" t="s">
        <v>497</v>
      </c>
    </row>
    <row r="4" spans="1:7" s="306" customFormat="1" ht="26.25" customHeight="1" x14ac:dyDescent="0.25">
      <c r="A4" s="311"/>
      <c r="B4" s="312"/>
      <c r="C4" s="313" t="s">
        <v>119</v>
      </c>
      <c r="D4" s="313" t="s">
        <v>120</v>
      </c>
      <c r="E4" s="314" t="s">
        <v>535</v>
      </c>
    </row>
    <row r="5" spans="1:7" ht="35.25" customHeight="1" thickBot="1" x14ac:dyDescent="0.3">
      <c r="A5" s="178">
        <v>1</v>
      </c>
      <c r="B5" s="315" t="s">
        <v>612</v>
      </c>
      <c r="C5" s="179">
        <v>3569296.56</v>
      </c>
      <c r="D5" s="179">
        <v>84666.03</v>
      </c>
      <c r="E5" s="180">
        <f>C5+D5</f>
        <v>3653962.59</v>
      </c>
      <c r="G5" s="759" t="s">
        <v>1079</v>
      </c>
    </row>
    <row r="6" spans="1:7" ht="30.75" customHeight="1" thickTop="1" x14ac:dyDescent="0.25">
      <c r="A6" s="177">
        <v>2</v>
      </c>
      <c r="B6" s="316" t="s">
        <v>818</v>
      </c>
      <c r="C6" s="182">
        <v>4010</v>
      </c>
      <c r="D6" s="182">
        <v>154</v>
      </c>
      <c r="E6" s="183">
        <f>C6+D6</f>
        <v>4164</v>
      </c>
    </row>
    <row r="7" spans="1:7" ht="31.5" customHeight="1" thickBot="1" x14ac:dyDescent="0.3">
      <c r="A7" s="143">
        <v>3</v>
      </c>
      <c r="B7" s="317" t="s">
        <v>194</v>
      </c>
      <c r="C7" s="181">
        <f>IF(C6=0,0,+C5/C6)</f>
        <v>890.09889276807985</v>
      </c>
      <c r="D7" s="181">
        <f>IF(D6=0,0,+D5/D6)</f>
        <v>549.77941558441557</v>
      </c>
      <c r="E7" s="184">
        <f>IF(E6=0,0,+E5/E6)</f>
        <v>877.51262968299704</v>
      </c>
    </row>
    <row r="9" spans="1:7" s="306" customFormat="1" ht="31.5" customHeight="1" x14ac:dyDescent="0.25">
      <c r="A9" s="876" t="s">
        <v>731</v>
      </c>
      <c r="B9" s="877"/>
      <c r="C9" s="877"/>
      <c r="D9" s="877"/>
      <c r="E9" s="878"/>
    </row>
    <row r="10" spans="1:7" s="306" customFormat="1" x14ac:dyDescent="0.25">
      <c r="A10" s="318"/>
      <c r="G10" s="306" t="s">
        <v>1080</v>
      </c>
    </row>
    <row r="11" spans="1:7" s="306" customFormat="1" x14ac:dyDescent="0.25"/>
  </sheetData>
  <mergeCells count="3">
    <mergeCell ref="A1:E1"/>
    <mergeCell ref="A2:E2"/>
    <mergeCell ref="A9:E9"/>
  </mergeCells>
  <pageMargins left="0.45" right="0.33" top="0.74803149606299213" bottom="0.74803149606299213" header="0.31496062992125984" footer="0.31496062992125984"/>
  <pageSetup paperSize="9" scale="9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tabColor indexed="42"/>
    <pageSetUpPr fitToPage="1"/>
  </sheetPr>
  <dimension ref="A1:I17"/>
  <sheetViews>
    <sheetView zoomScaleNormal="100" workbookViewId="0">
      <pane xSplit="2" ySplit="5" topLeftCell="C6" activePane="bottomRight" state="frozen"/>
      <selection pane="topRight" activeCell="C1" sqref="C1"/>
      <selection pane="bottomLeft" activeCell="A6" sqref="A6"/>
      <selection pane="bottomRight" activeCell="O11" sqref="O11"/>
    </sheetView>
  </sheetViews>
  <sheetFormatPr defaultColWidth="9.140625" defaultRowHeight="15.75" x14ac:dyDescent="0.2"/>
  <cols>
    <col min="1" max="1" width="8.140625" style="13" customWidth="1"/>
    <col min="2" max="2" width="100.85546875" style="39" customWidth="1"/>
    <col min="3" max="3" width="17.28515625" style="13" customWidth="1"/>
    <col min="4" max="4" width="17.140625" style="13" customWidth="1"/>
    <col min="5" max="5" width="15.7109375" style="13" customWidth="1"/>
    <col min="6" max="6" width="18" style="13" customWidth="1"/>
    <col min="7" max="7" width="9.140625" style="13"/>
    <col min="8" max="8" width="11.28515625" style="13" bestFit="1" customWidth="1"/>
    <col min="9" max="16384" width="9.140625" style="13"/>
  </cols>
  <sheetData>
    <row r="1" spans="1:9" s="255" customFormat="1" ht="50.1" customHeight="1" thickBot="1" x14ac:dyDescent="0.25">
      <c r="A1" s="885" t="s">
        <v>819</v>
      </c>
      <c r="B1" s="886"/>
      <c r="C1" s="886"/>
      <c r="D1" s="886"/>
      <c r="E1" s="886"/>
      <c r="F1" s="887"/>
      <c r="G1" s="303"/>
    </row>
    <row r="2" spans="1:9" s="255" customFormat="1" ht="36.75" customHeight="1" x14ac:dyDescent="0.2">
      <c r="A2" s="813" t="s">
        <v>1057</v>
      </c>
      <c r="B2" s="896"/>
      <c r="C2" s="897" t="s">
        <v>799</v>
      </c>
      <c r="D2" s="897"/>
      <c r="E2" s="897"/>
      <c r="F2" s="898"/>
    </row>
    <row r="3" spans="1:9" s="255" customFormat="1" ht="15.75" customHeight="1" x14ac:dyDescent="0.2">
      <c r="A3" s="894" t="s">
        <v>80</v>
      </c>
      <c r="B3" s="892" t="s">
        <v>153</v>
      </c>
      <c r="C3" s="888">
        <v>2022</v>
      </c>
      <c r="D3" s="889"/>
      <c r="E3" s="890">
        <v>2023</v>
      </c>
      <c r="F3" s="891"/>
    </row>
    <row r="4" spans="1:9" s="255" customFormat="1" ht="69" customHeight="1" x14ac:dyDescent="0.2">
      <c r="A4" s="895"/>
      <c r="B4" s="893"/>
      <c r="C4" s="456" t="s">
        <v>483</v>
      </c>
      <c r="D4" s="456" t="s">
        <v>71</v>
      </c>
      <c r="E4" s="456" t="s">
        <v>483</v>
      </c>
      <c r="F4" s="457" t="s">
        <v>112</v>
      </c>
    </row>
    <row r="5" spans="1:9" s="255" customFormat="1" x14ac:dyDescent="0.2">
      <c r="A5" s="319"/>
      <c r="B5" s="320"/>
      <c r="C5" s="323" t="s">
        <v>119</v>
      </c>
      <c r="D5" s="323" t="s">
        <v>120</v>
      </c>
      <c r="E5" s="323" t="s">
        <v>121</v>
      </c>
      <c r="F5" s="254" t="s">
        <v>127</v>
      </c>
    </row>
    <row r="6" spans="1:9" ht="38.25" customHeight="1" x14ac:dyDescent="0.2">
      <c r="A6" s="19">
        <v>1</v>
      </c>
      <c r="B6" s="247" t="s">
        <v>800</v>
      </c>
      <c r="C6" s="72">
        <v>378800</v>
      </c>
      <c r="D6" s="73" t="s">
        <v>140</v>
      </c>
      <c r="E6" s="72">
        <v>400955</v>
      </c>
      <c r="F6" s="74" t="s">
        <v>140</v>
      </c>
      <c r="G6" s="13" t="s">
        <v>1066</v>
      </c>
      <c r="H6" s="13">
        <f>'T13-Fondy'!G16</f>
        <v>1090062.8999999999</v>
      </c>
      <c r="I6" s="13">
        <f>'T13-Fondy'!H16</f>
        <v>1415852</v>
      </c>
    </row>
    <row r="7" spans="1:9" ht="38.25" customHeight="1" x14ac:dyDescent="0.2">
      <c r="A7" s="19">
        <f>A6+1</f>
        <v>2</v>
      </c>
      <c r="B7" s="247" t="s">
        <v>801</v>
      </c>
      <c r="C7" s="73" t="s">
        <v>140</v>
      </c>
      <c r="D7" s="462">
        <v>1861</v>
      </c>
      <c r="E7" s="73" t="s">
        <v>140</v>
      </c>
      <c r="F7" s="42">
        <v>1747</v>
      </c>
    </row>
    <row r="8" spans="1:9" ht="38.25" customHeight="1" x14ac:dyDescent="0.2">
      <c r="A8" s="19">
        <f>A7+1</f>
        <v>3</v>
      </c>
      <c r="B8" s="247" t="s">
        <v>802</v>
      </c>
      <c r="C8" s="73" t="s">
        <v>140</v>
      </c>
      <c r="D8" s="462">
        <v>271</v>
      </c>
      <c r="E8" s="73" t="s">
        <v>140</v>
      </c>
      <c r="F8" s="42">
        <v>231</v>
      </c>
    </row>
    <row r="9" spans="1:9" ht="35.25" customHeight="1" x14ac:dyDescent="0.2">
      <c r="A9" s="19">
        <f>A8+1</f>
        <v>4</v>
      </c>
      <c r="B9" s="321" t="s">
        <v>792</v>
      </c>
      <c r="C9" s="613">
        <v>201736.81</v>
      </c>
      <c r="D9" s="614" t="s">
        <v>140</v>
      </c>
      <c r="E9" s="615">
        <f>+C11</f>
        <v>355813.81000000006</v>
      </c>
      <c r="F9" s="616" t="s">
        <v>140</v>
      </c>
      <c r="G9" s="13" t="s">
        <v>1066</v>
      </c>
      <c r="H9" s="732">
        <f>C11</f>
        <v>355813.81000000006</v>
      </c>
    </row>
    <row r="10" spans="1:9" ht="36" customHeight="1" x14ac:dyDescent="0.2">
      <c r="A10" s="19">
        <f>A9+1</f>
        <v>5</v>
      </c>
      <c r="B10" s="321" t="s">
        <v>803</v>
      </c>
      <c r="C10" s="613">
        <v>532877</v>
      </c>
      <c r="D10" s="614" t="s">
        <v>140</v>
      </c>
      <c r="E10" s="617">
        <v>330365</v>
      </c>
      <c r="F10" s="616" t="s">
        <v>140</v>
      </c>
      <c r="G10" s="13" t="s">
        <v>1066</v>
      </c>
      <c r="H10" s="732">
        <f>E10+'T8a-Teh_štipendiá'!E10</f>
        <v>364565</v>
      </c>
      <c r="I10" s="733">
        <f>'T1-Dotácie podľa DZ'!C16</f>
        <v>364565</v>
      </c>
    </row>
    <row r="11" spans="1:9" ht="33" customHeight="1" x14ac:dyDescent="0.2">
      <c r="A11" s="19">
        <v>6</v>
      </c>
      <c r="B11" s="321" t="s">
        <v>100</v>
      </c>
      <c r="C11" s="587">
        <f>+C9+C10-C6</f>
        <v>355813.81000000006</v>
      </c>
      <c r="D11" s="614" t="s">
        <v>140</v>
      </c>
      <c r="E11" s="615">
        <f>+E9+E10-E6</f>
        <v>285223.81000000006</v>
      </c>
      <c r="F11" s="616" t="s">
        <v>140</v>
      </c>
      <c r="G11" s="13" t="s">
        <v>1066</v>
      </c>
      <c r="H11" s="732">
        <f>E9</f>
        <v>355813.81000000006</v>
      </c>
    </row>
    <row r="12" spans="1:9" ht="36" customHeight="1" thickBot="1" x14ac:dyDescent="0.25">
      <c r="A12" s="20">
        <v>7</v>
      </c>
      <c r="B12" s="322" t="s">
        <v>760</v>
      </c>
      <c r="C12" s="595">
        <f>IF(C6=0,0,C6/D7)</f>
        <v>203.54648038688876</v>
      </c>
      <c r="D12" s="618" t="s">
        <v>140</v>
      </c>
      <c r="E12" s="595">
        <f>IF(E6=0,0,E6/F7)</f>
        <v>229.51058958214082</v>
      </c>
      <c r="F12" s="78" t="s">
        <v>140</v>
      </c>
    </row>
    <row r="13" spans="1:9" x14ac:dyDescent="0.2">
      <c r="B13" s="15"/>
    </row>
    <row r="14" spans="1:9" s="255" customFormat="1" x14ac:dyDescent="0.2">
      <c r="A14" s="882" t="s">
        <v>804</v>
      </c>
      <c r="B14" s="883"/>
      <c r="C14" s="883"/>
      <c r="D14" s="883"/>
      <c r="E14" s="883"/>
      <c r="F14" s="884"/>
    </row>
    <row r="15" spans="1:9" s="255" customFormat="1" x14ac:dyDescent="0.2">
      <c r="A15" s="879" t="s">
        <v>805</v>
      </c>
      <c r="B15" s="880"/>
      <c r="C15" s="880"/>
      <c r="D15" s="880"/>
      <c r="E15" s="880"/>
      <c r="F15" s="881"/>
    </row>
    <row r="17" spans="2:6" x14ac:dyDescent="0.2">
      <c r="B17" s="39" t="s">
        <v>1052</v>
      </c>
      <c r="F17" s="13" t="s">
        <v>1067</v>
      </c>
    </row>
  </sheetData>
  <mergeCells count="9">
    <mergeCell ref="A15:F15"/>
    <mergeCell ref="A14:F14"/>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7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16"/>
  <sheetViews>
    <sheetView zoomScaleNormal="100" workbookViewId="0">
      <pane xSplit="2" ySplit="5" topLeftCell="C6" activePane="bottomRight" state="frozen"/>
      <selection pane="topRight" activeCell="C1" sqref="C1"/>
      <selection pane="bottomLeft" activeCell="A6" sqref="A6"/>
      <selection pane="bottomRight" activeCell="H16" sqref="H16"/>
    </sheetView>
  </sheetViews>
  <sheetFormatPr defaultColWidth="9.140625" defaultRowHeight="15.75" x14ac:dyDescent="0.2"/>
  <cols>
    <col min="1" max="1" width="8.140625" style="13" customWidth="1"/>
    <col min="2" max="2" width="93.140625" style="39" customWidth="1"/>
    <col min="3" max="3" width="17.28515625" style="13" customWidth="1"/>
    <col min="4" max="4" width="17.140625" style="13" customWidth="1"/>
    <col min="5" max="5" width="15.7109375" style="13" customWidth="1"/>
    <col min="6" max="6" width="18" style="13" customWidth="1"/>
    <col min="7" max="7" width="9.140625" style="13"/>
    <col min="8" max="8" width="11.28515625" style="13" bestFit="1" customWidth="1"/>
    <col min="9" max="16384" width="9.140625" style="13"/>
  </cols>
  <sheetData>
    <row r="1" spans="1:9" s="255" customFormat="1" ht="50.1" customHeight="1" thickBot="1" x14ac:dyDescent="0.25">
      <c r="A1" s="885" t="s">
        <v>820</v>
      </c>
      <c r="B1" s="886"/>
      <c r="C1" s="886"/>
      <c r="D1" s="886"/>
      <c r="E1" s="886"/>
      <c r="F1" s="887"/>
      <c r="G1" s="303"/>
    </row>
    <row r="2" spans="1:9" s="255" customFormat="1" ht="36.75" customHeight="1" x14ac:dyDescent="0.2">
      <c r="A2" s="813" t="s">
        <v>1057</v>
      </c>
      <c r="B2" s="896"/>
      <c r="C2" s="897" t="s">
        <v>618</v>
      </c>
      <c r="D2" s="897"/>
      <c r="E2" s="897"/>
      <c r="F2" s="898"/>
    </row>
    <row r="3" spans="1:9" s="255" customFormat="1" ht="15.6" customHeight="1" x14ac:dyDescent="0.2">
      <c r="A3" s="894" t="s">
        <v>80</v>
      </c>
      <c r="B3" s="892" t="s">
        <v>153</v>
      </c>
      <c r="C3" s="888">
        <v>2022</v>
      </c>
      <c r="D3" s="889"/>
      <c r="E3" s="890">
        <v>2023</v>
      </c>
      <c r="F3" s="891"/>
    </row>
    <row r="4" spans="1:9" s="255" customFormat="1" ht="69" customHeight="1" x14ac:dyDescent="0.2">
      <c r="A4" s="895"/>
      <c r="B4" s="893"/>
      <c r="C4" s="456" t="s">
        <v>483</v>
      </c>
      <c r="D4" s="456" t="s">
        <v>619</v>
      </c>
      <c r="E4" s="456" t="s">
        <v>483</v>
      </c>
      <c r="F4" s="457" t="s">
        <v>806</v>
      </c>
    </row>
    <row r="5" spans="1:9" s="255" customFormat="1" x14ac:dyDescent="0.2">
      <c r="A5" s="319"/>
      <c r="B5" s="320"/>
      <c r="C5" s="323" t="s">
        <v>119</v>
      </c>
      <c r="D5" s="323" t="s">
        <v>120</v>
      </c>
      <c r="E5" s="323" t="s">
        <v>121</v>
      </c>
      <c r="F5" s="254" t="s">
        <v>127</v>
      </c>
    </row>
    <row r="6" spans="1:9" ht="38.25" customHeight="1" x14ac:dyDescent="0.2">
      <c r="A6" s="19">
        <v>1</v>
      </c>
      <c r="B6" s="44" t="s">
        <v>793</v>
      </c>
      <c r="C6" s="226">
        <v>50200</v>
      </c>
      <c r="D6" s="73" t="s">
        <v>140</v>
      </c>
      <c r="E6" s="72">
        <v>34200</v>
      </c>
      <c r="F6" s="74" t="s">
        <v>140</v>
      </c>
      <c r="G6" s="13" t="s">
        <v>1066</v>
      </c>
      <c r="H6" s="13">
        <f>'T13-Fondy'!G16</f>
        <v>1090062.8999999999</v>
      </c>
      <c r="I6" s="13">
        <f>'T13-Fondy'!H16</f>
        <v>1415852</v>
      </c>
    </row>
    <row r="7" spans="1:9" ht="38.25" customHeight="1" x14ac:dyDescent="0.2">
      <c r="A7" s="19">
        <f>A6+1</f>
        <v>2</v>
      </c>
      <c r="B7" s="44" t="s">
        <v>794</v>
      </c>
      <c r="C7" s="73" t="s">
        <v>140</v>
      </c>
      <c r="D7" s="226">
        <v>251</v>
      </c>
      <c r="E7" s="73" t="s">
        <v>140</v>
      </c>
      <c r="F7" s="42">
        <v>171</v>
      </c>
    </row>
    <row r="8" spans="1:9" ht="38.25" customHeight="1" x14ac:dyDescent="0.2">
      <c r="A8" s="19">
        <f>A7+1</f>
        <v>3</v>
      </c>
      <c r="B8" s="44" t="s">
        <v>795</v>
      </c>
      <c r="C8" s="73" t="s">
        <v>140</v>
      </c>
      <c r="D8" s="226">
        <v>55</v>
      </c>
      <c r="E8" s="73" t="s">
        <v>140</v>
      </c>
      <c r="F8" s="42">
        <v>39</v>
      </c>
    </row>
    <row r="9" spans="1:9" ht="33" customHeight="1" x14ac:dyDescent="0.2">
      <c r="A9" s="19">
        <f>A8+1</f>
        <v>4</v>
      </c>
      <c r="B9" s="460" t="s">
        <v>792</v>
      </c>
      <c r="C9" s="463">
        <v>0</v>
      </c>
      <c r="D9" s="73" t="s">
        <v>140</v>
      </c>
      <c r="E9" s="75">
        <f>+C11</f>
        <v>0</v>
      </c>
      <c r="F9" s="74" t="s">
        <v>140</v>
      </c>
    </row>
    <row r="10" spans="1:9" ht="33.75" customHeight="1" x14ac:dyDescent="0.2">
      <c r="A10" s="19">
        <f>A9+1</f>
        <v>5</v>
      </c>
      <c r="B10" s="460" t="s">
        <v>796</v>
      </c>
      <c r="C10" s="226">
        <v>50200</v>
      </c>
      <c r="D10" s="73" t="s">
        <v>140</v>
      </c>
      <c r="E10" s="76">
        <v>34200</v>
      </c>
      <c r="F10" s="74" t="s">
        <v>140</v>
      </c>
      <c r="G10" s="13" t="s">
        <v>1066</v>
      </c>
      <c r="H10" s="732">
        <f>E10+'T8-Soc_štipendiá'!E10</f>
        <v>364565</v>
      </c>
      <c r="I10" s="733">
        <f>'T1-Dotácie podľa DZ'!C16</f>
        <v>364565</v>
      </c>
    </row>
    <row r="11" spans="1:9" ht="33.75" customHeight="1" thickBot="1" x14ac:dyDescent="0.25">
      <c r="A11" s="20">
        <v>6</v>
      </c>
      <c r="B11" s="461" t="s">
        <v>100</v>
      </c>
      <c r="C11" s="459">
        <f>C9+C10-C6</f>
        <v>0</v>
      </c>
      <c r="D11" s="77" t="s">
        <v>140</v>
      </c>
      <c r="E11" s="459">
        <f>E9+E10-E6</f>
        <v>0</v>
      </c>
      <c r="F11" s="78" t="s">
        <v>140</v>
      </c>
    </row>
    <row r="12" spans="1:9" ht="15.75" customHeight="1" x14ac:dyDescent="0.2">
      <c r="B12" s="15"/>
    </row>
    <row r="13" spans="1:9" x14ac:dyDescent="0.2">
      <c r="A13" s="902" t="s">
        <v>797</v>
      </c>
      <c r="B13" s="903"/>
      <c r="C13" s="903"/>
      <c r="D13" s="903"/>
      <c r="E13" s="903"/>
      <c r="F13" s="904"/>
    </row>
    <row r="14" spans="1:9" x14ac:dyDescent="0.2">
      <c r="A14" s="899" t="s">
        <v>798</v>
      </c>
      <c r="B14" s="900"/>
      <c r="C14" s="900"/>
      <c r="D14" s="900"/>
      <c r="E14" s="900"/>
      <c r="F14" s="901"/>
    </row>
    <row r="15" spans="1:9" x14ac:dyDescent="0.2">
      <c r="C15" s="39"/>
      <c r="D15" s="39"/>
    </row>
    <row r="16" spans="1:9" x14ac:dyDescent="0.2">
      <c r="B16" s="39" t="s">
        <v>1051</v>
      </c>
      <c r="F16" s="13" t="s">
        <v>1067</v>
      </c>
    </row>
  </sheetData>
  <mergeCells count="9">
    <mergeCell ref="A14:F14"/>
    <mergeCell ref="A13:F13"/>
    <mergeCell ref="A1:F1"/>
    <mergeCell ref="A2:B2"/>
    <mergeCell ref="C2:F2"/>
    <mergeCell ref="A3:A4"/>
    <mergeCell ref="B3:B4"/>
    <mergeCell ref="C3:D3"/>
    <mergeCell ref="E3:F3"/>
  </mergeCells>
  <pageMargins left="0.5" right="0.39" top="0.98425196850393704" bottom="0.98425196850393704" header="0.51181102362204722" footer="0.51181102362204722"/>
  <pageSetup paperSize="9" scale="8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tabColor indexed="42"/>
    <pageSetUpPr fitToPage="1"/>
  </sheetPr>
  <dimension ref="A1:J23"/>
  <sheetViews>
    <sheetView zoomScaleNormal="100" workbookViewId="0">
      <pane xSplit="2" ySplit="5" topLeftCell="C9" activePane="bottomRight" state="frozen"/>
      <selection pane="topRight" activeCell="C1" sqref="C1"/>
      <selection pane="bottomLeft" activeCell="A6" sqref="A6"/>
      <selection pane="bottomRight" activeCell="F24" sqref="F24"/>
    </sheetView>
  </sheetViews>
  <sheetFormatPr defaultColWidth="9.140625" defaultRowHeight="12.75" x14ac:dyDescent="0.2"/>
  <cols>
    <col min="1" max="1" width="8.28515625" style="43" customWidth="1"/>
    <col min="2" max="2" width="77.7109375" style="43" customWidth="1"/>
    <col min="3" max="3" width="14.7109375" style="43" customWidth="1"/>
    <col min="4" max="4" width="14.85546875" style="43" customWidth="1"/>
    <col min="5" max="6" width="14.7109375" style="43" customWidth="1"/>
    <col min="7" max="7" width="10.140625" style="43" bestFit="1" customWidth="1"/>
    <col min="8" max="8" width="13.85546875" style="43" customWidth="1"/>
    <col min="9" max="16384" width="9.140625" style="43"/>
  </cols>
  <sheetData>
    <row r="1" spans="1:10" s="324" customFormat="1" ht="50.1" customHeight="1" x14ac:dyDescent="0.2">
      <c r="A1" s="908" t="s">
        <v>821</v>
      </c>
      <c r="B1" s="909"/>
      <c r="C1" s="909"/>
      <c r="D1" s="909"/>
      <c r="E1" s="909"/>
      <c r="F1" s="910"/>
      <c r="H1" s="325"/>
    </row>
    <row r="2" spans="1:10" s="324" customFormat="1" ht="33" customHeight="1" x14ac:dyDescent="0.2">
      <c r="A2" s="913" t="s">
        <v>1060</v>
      </c>
      <c r="B2" s="914"/>
      <c r="C2" s="914"/>
      <c r="D2" s="914"/>
      <c r="E2" s="914"/>
      <c r="F2" s="915"/>
    </row>
    <row r="3" spans="1:10" s="324" customFormat="1" ht="18.75" customHeight="1" x14ac:dyDescent="0.2">
      <c r="A3" s="894" t="s">
        <v>80</v>
      </c>
      <c r="B3" s="849" t="s">
        <v>153</v>
      </c>
      <c r="C3" s="849" t="s">
        <v>493</v>
      </c>
      <c r="D3" s="849"/>
      <c r="E3" s="849" t="s">
        <v>163</v>
      </c>
      <c r="F3" s="912"/>
    </row>
    <row r="4" spans="1:10" s="324" customFormat="1" ht="18.75" customHeight="1" x14ac:dyDescent="0.2">
      <c r="A4" s="911"/>
      <c r="B4" s="849"/>
      <c r="C4" s="299">
        <v>2022</v>
      </c>
      <c r="D4" s="299">
        <v>2023</v>
      </c>
      <c r="E4" s="237">
        <v>2022</v>
      </c>
      <c r="F4" s="261">
        <v>2023</v>
      </c>
    </row>
    <row r="5" spans="1:10" s="324" customFormat="1" ht="15.75" x14ac:dyDescent="0.2">
      <c r="A5" s="256"/>
      <c r="B5" s="326"/>
      <c r="C5" s="299" t="s">
        <v>119</v>
      </c>
      <c r="D5" s="299" t="s">
        <v>120</v>
      </c>
      <c r="E5" s="323" t="s">
        <v>121</v>
      </c>
      <c r="F5" s="328" t="s">
        <v>127</v>
      </c>
    </row>
    <row r="6" spans="1:10" ht="31.5" x14ac:dyDescent="0.2">
      <c r="A6" s="19">
        <v>1</v>
      </c>
      <c r="B6" s="238" t="s">
        <v>465</v>
      </c>
      <c r="C6" s="571" t="s">
        <v>140</v>
      </c>
      <c r="D6" s="571" t="s">
        <v>140</v>
      </c>
      <c r="E6" s="533">
        <v>1906</v>
      </c>
      <c r="F6" s="572">
        <v>1906</v>
      </c>
      <c r="G6" s="43" t="s">
        <v>1066</v>
      </c>
      <c r="H6" s="43" t="s">
        <v>1068</v>
      </c>
      <c r="I6" s="43">
        <v>1906</v>
      </c>
    </row>
    <row r="7" spans="1:10" ht="37.5" x14ac:dyDescent="0.2">
      <c r="A7" s="19">
        <f>A6+1</f>
        <v>2</v>
      </c>
      <c r="B7" s="241" t="s">
        <v>160</v>
      </c>
      <c r="C7" s="571" t="s">
        <v>140</v>
      </c>
      <c r="D7" s="571" t="s">
        <v>140</v>
      </c>
      <c r="E7" s="533">
        <v>17794</v>
      </c>
      <c r="F7" s="572">
        <v>17895</v>
      </c>
    </row>
    <row r="8" spans="1:10" ht="15.75" x14ac:dyDescent="0.2">
      <c r="A8" s="19">
        <v>3</v>
      </c>
      <c r="B8" s="247" t="s">
        <v>111</v>
      </c>
      <c r="C8" s="571" t="s">
        <v>140</v>
      </c>
      <c r="D8" s="571" t="s">
        <v>140</v>
      </c>
      <c r="E8" s="532">
        <f>E7/12</f>
        <v>1482.8333333333333</v>
      </c>
      <c r="F8" s="531">
        <f>F7/12</f>
        <v>1491.25</v>
      </c>
    </row>
    <row r="9" spans="1:10" ht="31.5" x14ac:dyDescent="0.2">
      <c r="A9" s="19">
        <f t="shared" ref="A9:A18" si="0">A8+1</f>
        <v>4</v>
      </c>
      <c r="B9" s="241" t="s">
        <v>165</v>
      </c>
      <c r="C9" s="530">
        <v>826186</v>
      </c>
      <c r="D9" s="573">
        <v>966084</v>
      </c>
      <c r="E9" s="571" t="s">
        <v>140</v>
      </c>
      <c r="F9" s="574" t="s">
        <v>140</v>
      </c>
      <c r="G9" s="734"/>
    </row>
    <row r="10" spans="1:10" ht="31.5" x14ac:dyDescent="0.2">
      <c r="A10" s="19">
        <f t="shared" si="0"/>
        <v>5</v>
      </c>
      <c r="B10" s="241" t="s">
        <v>175</v>
      </c>
      <c r="C10" s="530">
        <v>25716</v>
      </c>
      <c r="D10" s="530">
        <v>30322.560000000001</v>
      </c>
      <c r="E10" s="530">
        <v>624</v>
      </c>
      <c r="F10" s="575">
        <v>685</v>
      </c>
    </row>
    <row r="11" spans="1:10" ht="31.5" x14ac:dyDescent="0.2">
      <c r="A11" s="19">
        <f t="shared" si="0"/>
        <v>6</v>
      </c>
      <c r="B11" s="243" t="s">
        <v>532</v>
      </c>
      <c r="C11" s="533">
        <v>1049352</v>
      </c>
      <c r="D11" s="533">
        <v>1245506</v>
      </c>
      <c r="E11" s="571" t="s">
        <v>140</v>
      </c>
      <c r="F11" s="574" t="s">
        <v>140</v>
      </c>
      <c r="G11" s="43">
        <v>312001</v>
      </c>
      <c r="H11" s="714" t="s">
        <v>1032</v>
      </c>
      <c r="I11" s="43" t="s">
        <v>1066</v>
      </c>
      <c r="J11" s="43">
        <v>1245506</v>
      </c>
    </row>
    <row r="12" spans="1:10" ht="15.75" x14ac:dyDescent="0.2">
      <c r="A12" s="19">
        <f t="shared" si="0"/>
        <v>7</v>
      </c>
      <c r="B12" s="241" t="s">
        <v>164</v>
      </c>
      <c r="C12" s="530">
        <v>9430</v>
      </c>
      <c r="D12" s="530">
        <f>4539.65+50+1.2</f>
        <v>4590.8499999999995</v>
      </c>
      <c r="E12" s="571" t="s">
        <v>140</v>
      </c>
      <c r="F12" s="574" t="s">
        <v>140</v>
      </c>
    </row>
    <row r="13" spans="1:10" ht="31.5" x14ac:dyDescent="0.2">
      <c r="A13" s="19">
        <f t="shared" si="0"/>
        <v>8</v>
      </c>
      <c r="B13" s="241" t="s">
        <v>176</v>
      </c>
      <c r="C13" s="532">
        <f>SUM(C9:C12)</f>
        <v>1910684</v>
      </c>
      <c r="D13" s="532">
        <f>SUM(D9:D12)</f>
        <v>2246503.41</v>
      </c>
      <c r="E13" s="571" t="s">
        <v>140</v>
      </c>
      <c r="F13" s="574" t="s">
        <v>140</v>
      </c>
    </row>
    <row r="14" spans="1:10" ht="15.75" x14ac:dyDescent="0.2">
      <c r="A14" s="19">
        <f t="shared" si="0"/>
        <v>9</v>
      </c>
      <c r="B14" s="241" t="s">
        <v>734</v>
      </c>
      <c r="C14" s="532">
        <f>C15+C16</f>
        <v>2369220</v>
      </c>
      <c r="D14" s="532">
        <f>D15+D16</f>
        <v>2154942.9699999997</v>
      </c>
      <c r="E14" s="571" t="s">
        <v>140</v>
      </c>
      <c r="F14" s="574" t="s">
        <v>140</v>
      </c>
      <c r="G14" s="324"/>
      <c r="H14" s="324"/>
    </row>
    <row r="15" spans="1:10" ht="15.75" x14ac:dyDescent="0.2">
      <c r="A15" s="19">
        <f t="shared" si="0"/>
        <v>10</v>
      </c>
      <c r="B15" s="296" t="s">
        <v>645</v>
      </c>
      <c r="C15" s="530">
        <v>1077858</v>
      </c>
      <c r="D15" s="530">
        <v>1038139.24</v>
      </c>
      <c r="E15" s="571" t="s">
        <v>140</v>
      </c>
      <c r="F15" s="574" t="s">
        <v>140</v>
      </c>
      <c r="G15" s="324"/>
      <c r="H15" s="324"/>
    </row>
    <row r="16" spans="1:10" ht="15.75" x14ac:dyDescent="0.2">
      <c r="A16" s="19">
        <f t="shared" si="0"/>
        <v>11</v>
      </c>
      <c r="B16" s="296" t="s">
        <v>646</v>
      </c>
      <c r="C16" s="530">
        <v>1291362</v>
      </c>
      <c r="D16" s="530">
        <v>1116803.73</v>
      </c>
      <c r="E16" s="571" t="s">
        <v>140</v>
      </c>
      <c r="F16" s="574" t="s">
        <v>140</v>
      </c>
      <c r="G16" s="324"/>
      <c r="H16" s="734"/>
    </row>
    <row r="17" spans="1:8" ht="31.5" x14ac:dyDescent="0.2">
      <c r="A17" s="19">
        <f t="shared" si="0"/>
        <v>12</v>
      </c>
      <c r="B17" s="241" t="s">
        <v>177</v>
      </c>
      <c r="C17" s="532">
        <f>+C13-C14</f>
        <v>-458536</v>
      </c>
      <c r="D17" s="532">
        <f>+D13-D14</f>
        <v>91560.44000000041</v>
      </c>
      <c r="E17" s="571" t="s">
        <v>140</v>
      </c>
      <c r="F17" s="574" t="s">
        <v>140</v>
      </c>
      <c r="G17" s="324"/>
      <c r="H17" s="735"/>
    </row>
    <row r="18" spans="1:8" ht="16.5" thickBot="1" x14ac:dyDescent="0.25">
      <c r="A18" s="20">
        <f t="shared" si="0"/>
        <v>13</v>
      </c>
      <c r="B18" s="327" t="s">
        <v>178</v>
      </c>
      <c r="C18" s="174">
        <f>IF(E8=0,0,C14/E8)</f>
        <v>1597.765538945712</v>
      </c>
      <c r="D18" s="174">
        <f>IF(F8=0,0,D14/F8)</f>
        <v>1445.0581525565799</v>
      </c>
      <c r="E18" s="576" t="s">
        <v>140</v>
      </c>
      <c r="F18" s="577" t="s">
        <v>140</v>
      </c>
      <c r="G18" s="324"/>
      <c r="H18" s="324"/>
    </row>
    <row r="19" spans="1:8" x14ac:dyDescent="0.2">
      <c r="G19" s="324"/>
      <c r="H19" s="324"/>
    </row>
    <row r="20" spans="1:8" s="324" customFormat="1" ht="15.75" customHeight="1" x14ac:dyDescent="0.2">
      <c r="A20" s="882" t="s">
        <v>732</v>
      </c>
      <c r="B20" s="883"/>
      <c r="C20" s="883"/>
      <c r="D20" s="883"/>
      <c r="E20" s="883"/>
      <c r="F20" s="884"/>
    </row>
    <row r="21" spans="1:8" s="324" customFormat="1" ht="31.5" customHeight="1" x14ac:dyDescent="0.2">
      <c r="A21" s="905" t="s">
        <v>733</v>
      </c>
      <c r="B21" s="906"/>
      <c r="C21" s="906"/>
      <c r="D21" s="906"/>
      <c r="E21" s="906"/>
      <c r="F21" s="907"/>
    </row>
    <row r="22" spans="1:8" x14ac:dyDescent="0.2">
      <c r="G22" s="324"/>
      <c r="H22" s="324"/>
    </row>
    <row r="23" spans="1:8" x14ac:dyDescent="0.2">
      <c r="F23" s="43" t="s">
        <v>1067</v>
      </c>
    </row>
  </sheetData>
  <mergeCells count="8">
    <mergeCell ref="A21:F21"/>
    <mergeCell ref="A1:F1"/>
    <mergeCell ref="A3:A4"/>
    <mergeCell ref="B3:B4"/>
    <mergeCell ref="C3:D3"/>
    <mergeCell ref="E3:F3"/>
    <mergeCell ref="A2:F2"/>
    <mergeCell ref="A20:F20"/>
  </mergeCells>
  <phoneticPr fontId="5" type="noConversion"/>
  <pageMargins left="0.66" right="0.45" top="0.98425196850393704" bottom="0.77" header="0.51181102362204722" footer="0.51181102362204722"/>
  <pageSetup paperSize="9" scale="9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31"/>
  <sheetViews>
    <sheetView zoomScaleNormal="100" workbookViewId="0">
      <selection activeCell="B9" sqref="B9"/>
    </sheetView>
  </sheetViews>
  <sheetFormatPr defaultColWidth="9.140625" defaultRowHeight="15.75" x14ac:dyDescent="0.25"/>
  <cols>
    <col min="1" max="1" width="8.140625" style="123" customWidth="1"/>
    <col min="2" max="2" width="67.7109375" style="134" customWidth="1"/>
    <col min="3" max="4" width="18.7109375" style="123" customWidth="1"/>
    <col min="5" max="5" width="18.5703125" style="123" customWidth="1"/>
    <col min="6" max="6" width="10.140625" style="123" bestFit="1" customWidth="1"/>
    <col min="7" max="7" width="9.140625" style="123"/>
    <col min="8" max="8" width="12.5703125" style="123" customWidth="1"/>
    <col min="9" max="9" width="12.85546875" style="123" customWidth="1"/>
    <col min="10" max="16384" width="9.140625" style="123"/>
  </cols>
  <sheetData>
    <row r="1" spans="1:8" s="133" customFormat="1" ht="45.75" customHeight="1" thickBot="1" x14ac:dyDescent="0.3">
      <c r="A1" s="919" t="s">
        <v>822</v>
      </c>
      <c r="B1" s="920"/>
      <c r="C1" s="920"/>
      <c r="D1" s="921"/>
      <c r="F1" s="123"/>
    </row>
    <row r="2" spans="1:8" s="133" customFormat="1" x14ac:dyDescent="0.25">
      <c r="A2" s="922" t="s">
        <v>1061</v>
      </c>
      <c r="B2" s="923"/>
      <c r="C2" s="923"/>
      <c r="D2" s="924"/>
    </row>
    <row r="3" spans="1:8" s="133" customFormat="1" ht="31.5" x14ac:dyDescent="0.25">
      <c r="A3" s="441" t="s">
        <v>80</v>
      </c>
      <c r="B3" s="442" t="s">
        <v>153</v>
      </c>
      <c r="C3" s="443">
        <v>2022</v>
      </c>
      <c r="D3" s="444">
        <v>2023</v>
      </c>
    </row>
    <row r="4" spans="1:8" x14ac:dyDescent="0.25">
      <c r="A4" s="445"/>
      <c r="B4" s="446"/>
      <c r="C4" s="447" t="s">
        <v>119</v>
      </c>
      <c r="D4" s="448" t="s">
        <v>120</v>
      </c>
    </row>
    <row r="5" spans="1:8" ht="37.5" x14ac:dyDescent="0.25">
      <c r="A5" s="124">
        <v>1</v>
      </c>
      <c r="B5" s="449" t="s">
        <v>785</v>
      </c>
      <c r="C5" s="125">
        <f>+C6+C9</f>
        <v>895272.6</v>
      </c>
      <c r="D5" s="137">
        <f>D6+D9</f>
        <v>1058528.97</v>
      </c>
    </row>
    <row r="6" spans="1:8" ht="31.5" x14ac:dyDescent="0.25">
      <c r="A6" s="124">
        <f t="shared" ref="A6:A13" si="0">A5+1</f>
        <v>2</v>
      </c>
      <c r="B6" s="449" t="s">
        <v>168</v>
      </c>
      <c r="C6" s="125">
        <f>+C7+C8</f>
        <v>471010</v>
      </c>
      <c r="D6" s="137">
        <f>+D7+D8</f>
        <v>594545.97</v>
      </c>
    </row>
    <row r="7" spans="1:8" x14ac:dyDescent="0.25">
      <c r="A7" s="124">
        <f t="shared" si="0"/>
        <v>3</v>
      </c>
      <c r="B7" s="450" t="s">
        <v>166</v>
      </c>
      <c r="C7" s="619">
        <v>467720</v>
      </c>
      <c r="D7" s="620">
        <v>594545.97</v>
      </c>
    </row>
    <row r="8" spans="1:8" x14ac:dyDescent="0.25">
      <c r="A8" s="124">
        <f t="shared" si="0"/>
        <v>4</v>
      </c>
      <c r="B8" s="450" t="s">
        <v>167</v>
      </c>
      <c r="C8" s="619">
        <v>3290</v>
      </c>
      <c r="D8" s="620">
        <v>0</v>
      </c>
    </row>
    <row r="9" spans="1:8" ht="31.5" x14ac:dyDescent="0.25">
      <c r="A9" s="124">
        <f t="shared" si="0"/>
        <v>5</v>
      </c>
      <c r="B9" s="449" t="s">
        <v>101</v>
      </c>
      <c r="C9" s="127">
        <f>+C10+C11-C12</f>
        <v>424262.6</v>
      </c>
      <c r="D9" s="139">
        <f>+D10+D11-D12</f>
        <v>463983</v>
      </c>
      <c r="E9" s="123" t="s">
        <v>1066</v>
      </c>
    </row>
    <row r="10" spans="1:8" ht="31.5" x14ac:dyDescent="0.25">
      <c r="A10" s="124">
        <f t="shared" si="0"/>
        <v>6</v>
      </c>
      <c r="B10" s="450" t="s">
        <v>72</v>
      </c>
      <c r="C10" s="126">
        <v>350629</v>
      </c>
      <c r="D10" s="139">
        <f>+C12</f>
        <v>165736.40000000002</v>
      </c>
    </row>
    <row r="11" spans="1:8" x14ac:dyDescent="0.25">
      <c r="A11" s="124">
        <f t="shared" si="0"/>
        <v>7</v>
      </c>
      <c r="B11" s="450" t="s">
        <v>83</v>
      </c>
      <c r="C11" s="126">
        <v>239370</v>
      </c>
      <c r="D11" s="138">
        <v>574387</v>
      </c>
      <c r="E11" s="123">
        <v>312001</v>
      </c>
      <c r="F11" s="134" t="s">
        <v>973</v>
      </c>
      <c r="G11" s="123" t="s">
        <v>1066</v>
      </c>
      <c r="H11" s="123">
        <v>574387</v>
      </c>
    </row>
    <row r="12" spans="1:8" ht="31.5" x14ac:dyDescent="0.25">
      <c r="A12" s="124">
        <f t="shared" si="0"/>
        <v>8</v>
      </c>
      <c r="B12" s="450" t="s">
        <v>485</v>
      </c>
      <c r="C12" s="127">
        <f>C10+C11-C22</f>
        <v>165736.40000000002</v>
      </c>
      <c r="D12" s="139">
        <f>D10+D11-D22</f>
        <v>276140.40000000002</v>
      </c>
    </row>
    <row r="13" spans="1:8" ht="31.5" x14ac:dyDescent="0.25">
      <c r="A13" s="124">
        <f t="shared" si="0"/>
        <v>9</v>
      </c>
      <c r="B13" s="449" t="s">
        <v>486</v>
      </c>
      <c r="C13" s="128">
        <v>646661</v>
      </c>
      <c r="D13" s="140">
        <v>1207424.58</v>
      </c>
    </row>
    <row r="14" spans="1:8" x14ac:dyDescent="0.25">
      <c r="A14" s="124"/>
      <c r="B14" s="451" t="s">
        <v>133</v>
      </c>
      <c r="C14" s="129"/>
      <c r="D14" s="141"/>
    </row>
    <row r="15" spans="1:8" ht="18.75" x14ac:dyDescent="0.25">
      <c r="A15" s="124">
        <f>A13+1</f>
        <v>10</v>
      </c>
      <c r="B15" s="452" t="s">
        <v>786</v>
      </c>
      <c r="C15" s="126">
        <v>646661</v>
      </c>
      <c r="D15" s="138">
        <v>1207424.58</v>
      </c>
    </row>
    <row r="16" spans="1:8" ht="31.5" x14ac:dyDescent="0.25">
      <c r="A16" s="124">
        <f t="shared" ref="A16:A23" si="1">+A15+1</f>
        <v>11</v>
      </c>
      <c r="B16" s="449" t="s">
        <v>487</v>
      </c>
      <c r="C16" s="125">
        <f>C5-C13</f>
        <v>248611.59999999998</v>
      </c>
      <c r="D16" s="137">
        <f>D5-D13</f>
        <v>-148895.6100000001</v>
      </c>
    </row>
    <row r="17" spans="1:10" x14ac:dyDescent="0.25">
      <c r="A17" s="124">
        <f t="shared" si="1"/>
        <v>12</v>
      </c>
      <c r="B17" s="449" t="s">
        <v>788</v>
      </c>
      <c r="C17" s="125">
        <f>C18+C19+C20+C21</f>
        <v>291756</v>
      </c>
      <c r="D17" s="137">
        <f>D18+D19+D20+D21</f>
        <v>309322</v>
      </c>
      <c r="E17" s="766" t="s">
        <v>1105</v>
      </c>
      <c r="F17" s="766"/>
      <c r="G17" s="766"/>
      <c r="H17" s="766"/>
      <c r="I17" s="748" t="s">
        <v>1070</v>
      </c>
      <c r="J17" s="747" t="s">
        <v>1071</v>
      </c>
    </row>
    <row r="18" spans="1:10" ht="34.5" x14ac:dyDescent="0.25">
      <c r="A18" s="455">
        <f t="shared" si="1"/>
        <v>13</v>
      </c>
      <c r="B18" s="468" t="s">
        <v>862</v>
      </c>
      <c r="C18" s="453">
        <v>133714</v>
      </c>
      <c r="D18" s="142">
        <v>0</v>
      </c>
      <c r="J18" s="747" t="s">
        <v>1069</v>
      </c>
    </row>
    <row r="19" spans="1:10" ht="34.5" x14ac:dyDescent="0.25">
      <c r="A19" s="455">
        <f>+A18+1</f>
        <v>14</v>
      </c>
      <c r="B19" s="468" t="s">
        <v>863</v>
      </c>
      <c r="C19" s="453">
        <v>158042</v>
      </c>
      <c r="D19" s="142">
        <v>309322</v>
      </c>
      <c r="E19" s="767" t="s">
        <v>1106</v>
      </c>
      <c r="G19" s="747"/>
      <c r="H19" s="747"/>
      <c r="I19" s="747"/>
    </row>
    <row r="20" spans="1:10" ht="34.5" x14ac:dyDescent="0.25">
      <c r="A20" s="455">
        <f t="shared" si="1"/>
        <v>15</v>
      </c>
      <c r="B20" s="468" t="s">
        <v>864</v>
      </c>
      <c r="C20" s="453"/>
      <c r="D20" s="142"/>
      <c r="G20" s="747"/>
      <c r="H20" s="747"/>
      <c r="I20" s="747"/>
    </row>
    <row r="21" spans="1:10" ht="34.5" x14ac:dyDescent="0.25">
      <c r="A21" s="455">
        <f t="shared" si="1"/>
        <v>16</v>
      </c>
      <c r="B21" s="468" t="s">
        <v>865</v>
      </c>
      <c r="C21" s="453"/>
      <c r="D21" s="142"/>
    </row>
    <row r="22" spans="1:10" ht="31.5" x14ac:dyDescent="0.25">
      <c r="A22" s="146">
        <f t="shared" si="1"/>
        <v>17</v>
      </c>
      <c r="B22" s="449" t="s">
        <v>488</v>
      </c>
      <c r="C22" s="621">
        <f>(C18*1.4 +C19*1.5+C20*1.4+C21*1.5)</f>
        <v>424262.6</v>
      </c>
      <c r="D22" s="622">
        <f>(D18*1.4+D19*1.5+D20*1.4+D21*1.5)</f>
        <v>463983</v>
      </c>
    </row>
    <row r="23" spans="1:10" ht="16.5" thickBot="1" x14ac:dyDescent="0.3">
      <c r="A23" s="147">
        <f t="shared" si="1"/>
        <v>18</v>
      </c>
      <c r="B23" s="454" t="s">
        <v>791</v>
      </c>
      <c r="C23" s="623">
        <f>IF(C18=0,0,C15/(C18+C19))</f>
        <v>2.2164445632651941</v>
      </c>
      <c r="D23" s="624">
        <f>IF(D19=0,0,D15/(D18+D19))</f>
        <v>3.903455234351259</v>
      </c>
    </row>
    <row r="24" spans="1:10" x14ac:dyDescent="0.25">
      <c r="A24" s="130"/>
      <c r="B24" s="131"/>
      <c r="C24" s="132"/>
      <c r="D24" s="132"/>
    </row>
    <row r="25" spans="1:10" x14ac:dyDescent="0.25">
      <c r="A25" s="925" t="s">
        <v>784</v>
      </c>
      <c r="B25" s="926"/>
      <c r="C25" s="926"/>
      <c r="D25" s="927"/>
    </row>
    <row r="26" spans="1:10" x14ac:dyDescent="0.25">
      <c r="A26" s="928" t="s">
        <v>787</v>
      </c>
      <c r="B26" s="929"/>
      <c r="C26" s="929"/>
      <c r="D26" s="930"/>
    </row>
    <row r="27" spans="1:10" ht="30.75" customHeight="1" x14ac:dyDescent="0.25">
      <c r="A27" s="931" t="s">
        <v>789</v>
      </c>
      <c r="B27" s="932"/>
      <c r="C27" s="932"/>
      <c r="D27" s="933"/>
      <c r="E27" s="466"/>
      <c r="F27" s="466"/>
    </row>
    <row r="28" spans="1:10" ht="32.25" customHeight="1" x14ac:dyDescent="0.25">
      <c r="A28" s="916" t="s">
        <v>790</v>
      </c>
      <c r="B28" s="917"/>
      <c r="C28" s="917"/>
      <c r="D28" s="918"/>
      <c r="E28" s="466"/>
      <c r="F28" s="466"/>
    </row>
    <row r="29" spans="1:10" x14ac:dyDescent="0.25">
      <c r="A29" s="466"/>
      <c r="B29" s="467"/>
      <c r="C29" s="466"/>
      <c r="D29" s="466"/>
      <c r="E29" s="466"/>
      <c r="F29" s="466"/>
    </row>
    <row r="30" spans="1:10" x14ac:dyDescent="0.25">
      <c r="A30" s="466"/>
      <c r="B30" s="467"/>
      <c r="C30" s="466"/>
      <c r="D30" s="466" t="s">
        <v>1077</v>
      </c>
      <c r="E30" s="466"/>
      <c r="F30" s="466"/>
    </row>
    <row r="31" spans="1:10" x14ac:dyDescent="0.25">
      <c r="D31" s="123" t="s">
        <v>1078</v>
      </c>
    </row>
  </sheetData>
  <mergeCells count="6">
    <mergeCell ref="A28:D28"/>
    <mergeCell ref="A1:D1"/>
    <mergeCell ref="A2:D2"/>
    <mergeCell ref="A25:D25"/>
    <mergeCell ref="A26:D26"/>
    <mergeCell ref="A27:D27"/>
  </mergeCells>
  <pageMargins left="0.74803149606299213" right="0.74803149606299213" top="0.59055118110236227" bottom="0.59055118110236227" header="0.51181102362204722" footer="0.51181102362204722"/>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tabColor indexed="42"/>
    <pageSetUpPr fitToPage="1"/>
  </sheetPr>
  <dimension ref="A1:H25"/>
  <sheetViews>
    <sheetView zoomScaleNormal="100" workbookViewId="0">
      <pane xSplit="2" ySplit="5" topLeftCell="C15" activePane="bottomRight" state="frozen"/>
      <selection pane="topRight" activeCell="C1" sqref="C1"/>
      <selection pane="bottomLeft" activeCell="A6" sqref="A6"/>
      <selection pane="bottomRight" activeCell="F29" sqref="F29"/>
    </sheetView>
  </sheetViews>
  <sheetFormatPr defaultColWidth="9.140625" defaultRowHeight="15.75" x14ac:dyDescent="0.25"/>
  <cols>
    <col min="1" max="1" width="9.140625" style="2"/>
    <col min="2" max="2" width="61.42578125" style="6" customWidth="1"/>
    <col min="3" max="3" width="23.42578125" style="2" customWidth="1"/>
    <col min="4" max="4" width="24.42578125" style="2" customWidth="1"/>
    <col min="5" max="5" width="10.42578125" style="108" customWidth="1"/>
    <col min="6" max="6" width="13.140625" style="2" customWidth="1"/>
    <col min="7" max="7" width="21.28515625" style="2" customWidth="1"/>
    <col min="8" max="8" width="12.42578125" style="2" customWidth="1"/>
    <col min="9" max="16384" width="9.140625" style="2"/>
  </cols>
  <sheetData>
    <row r="1" spans="1:7" s="333" customFormat="1" ht="50.1" customHeight="1" thickBot="1" x14ac:dyDescent="0.3">
      <c r="A1" s="937" t="s">
        <v>823</v>
      </c>
      <c r="B1" s="938"/>
      <c r="C1" s="938"/>
      <c r="D1" s="939"/>
      <c r="E1" s="332"/>
    </row>
    <row r="2" spans="1:7" s="333" customFormat="1" ht="27.75" customHeight="1" x14ac:dyDescent="0.25">
      <c r="A2" s="943" t="s">
        <v>1061</v>
      </c>
      <c r="B2" s="943"/>
      <c r="C2" s="943"/>
      <c r="D2" s="943"/>
      <c r="E2" s="332"/>
    </row>
    <row r="3" spans="1:7" s="333" customFormat="1" ht="18.75" customHeight="1" x14ac:dyDescent="0.25">
      <c r="A3" s="807" t="s">
        <v>80</v>
      </c>
      <c r="B3" s="940" t="s">
        <v>153</v>
      </c>
      <c r="C3" s="941" t="s">
        <v>137</v>
      </c>
      <c r="D3" s="942"/>
      <c r="E3" s="332"/>
    </row>
    <row r="4" spans="1:7" s="335" customFormat="1" ht="19.5" customHeight="1" x14ac:dyDescent="0.2">
      <c r="A4" s="807"/>
      <c r="B4" s="940"/>
      <c r="C4" s="257">
        <v>2022</v>
      </c>
      <c r="D4" s="258">
        <v>2023</v>
      </c>
      <c r="E4" s="334"/>
    </row>
    <row r="5" spans="1:7" s="335" customFormat="1" ht="15.75" customHeight="1" x14ac:dyDescent="0.2">
      <c r="A5" s="256"/>
      <c r="B5" s="336"/>
      <c r="C5" s="257" t="s">
        <v>119</v>
      </c>
      <c r="D5" s="258" t="s">
        <v>120</v>
      </c>
      <c r="E5" s="334"/>
    </row>
    <row r="6" spans="1:7" s="4" customFormat="1" x14ac:dyDescent="0.2">
      <c r="A6" s="47">
        <v>1</v>
      </c>
      <c r="B6" s="337" t="s">
        <v>82</v>
      </c>
      <c r="C6" s="625">
        <v>0</v>
      </c>
      <c r="D6" s="626">
        <f>'T13-Fondy'!F6</f>
        <v>770600.40999999992</v>
      </c>
      <c r="E6" s="109"/>
    </row>
    <row r="7" spans="1:7" s="4" customFormat="1" ht="31.5" x14ac:dyDescent="0.2">
      <c r="A7" s="47">
        <f t="shared" ref="A7:A20" si="0">A6+1</f>
        <v>2</v>
      </c>
      <c r="B7" s="238" t="s">
        <v>60</v>
      </c>
      <c r="C7" s="694">
        <f>SUM(C8:C13)</f>
        <v>1700352.2</v>
      </c>
      <c r="D7" s="695">
        <f>SUM(D8:D13)</f>
        <v>1759139.37</v>
      </c>
      <c r="E7" s="109" t="s">
        <v>1066</v>
      </c>
      <c r="F7" s="4">
        <f>'T13-Fondy'!E7</f>
        <v>1700352.2</v>
      </c>
      <c r="G7" s="4">
        <f>'T13-Fondy'!F7</f>
        <v>1759139.37</v>
      </c>
    </row>
    <row r="8" spans="1:7" s="4" customFormat="1" ht="18.75" x14ac:dyDescent="0.2">
      <c r="A8" s="47">
        <f t="shared" si="0"/>
        <v>3</v>
      </c>
      <c r="B8" s="338" t="s">
        <v>735</v>
      </c>
      <c r="C8" s="533">
        <v>0</v>
      </c>
      <c r="D8" s="572"/>
      <c r="E8" s="109"/>
    </row>
    <row r="9" spans="1:7" s="4" customFormat="1" x14ac:dyDescent="0.2">
      <c r="A9" s="47">
        <f t="shared" si="0"/>
        <v>4</v>
      </c>
      <c r="B9" s="474" t="s">
        <v>877</v>
      </c>
      <c r="C9" s="533">
        <v>1686879.9</v>
      </c>
      <c r="D9" s="572">
        <f>'T13-Fondy'!F9</f>
        <v>1759139.37</v>
      </c>
      <c r="E9" s="109"/>
    </row>
    <row r="10" spans="1:7" s="4" customFormat="1" ht="31.5" x14ac:dyDescent="0.2">
      <c r="A10" s="47">
        <f t="shared" si="0"/>
        <v>5</v>
      </c>
      <c r="B10" s="338" t="s">
        <v>525</v>
      </c>
      <c r="C10" s="533">
        <v>13472.3</v>
      </c>
      <c r="D10" s="572"/>
      <c r="E10" s="109"/>
    </row>
    <row r="11" spans="1:7" s="4" customFormat="1" x14ac:dyDescent="0.2">
      <c r="A11" s="47">
        <f t="shared" si="0"/>
        <v>6</v>
      </c>
      <c r="B11" s="338" t="s">
        <v>183</v>
      </c>
      <c r="C11" s="533"/>
      <c r="D11" s="572"/>
      <c r="E11" s="109"/>
    </row>
    <row r="12" spans="1:7" s="4" customFormat="1" x14ac:dyDescent="0.2">
      <c r="A12" s="47">
        <f t="shared" si="0"/>
        <v>7</v>
      </c>
      <c r="B12" s="338" t="s">
        <v>184</v>
      </c>
      <c r="C12" s="533"/>
      <c r="D12" s="572"/>
      <c r="E12" s="109"/>
    </row>
    <row r="13" spans="1:7" s="4" customFormat="1" ht="19.5" customHeight="1" x14ac:dyDescent="0.2">
      <c r="A13" s="47">
        <f t="shared" si="0"/>
        <v>8</v>
      </c>
      <c r="B13" s="737" t="s">
        <v>185</v>
      </c>
      <c r="C13" s="533"/>
      <c r="D13" s="572"/>
      <c r="E13" s="109"/>
    </row>
    <row r="14" spans="1:7" s="4" customFormat="1" ht="30" customHeight="1" x14ac:dyDescent="0.2">
      <c r="A14" s="47">
        <f t="shared" si="0"/>
        <v>9</v>
      </c>
      <c r="B14" s="238" t="s">
        <v>16</v>
      </c>
      <c r="C14" s="694">
        <f>C6+C7</f>
        <v>1700352.2</v>
      </c>
      <c r="D14" s="695">
        <f>D6+D7</f>
        <v>2529739.7800000003</v>
      </c>
      <c r="E14" s="109"/>
    </row>
    <row r="15" spans="1:7" s="4" customFormat="1" ht="27" customHeight="1" x14ac:dyDescent="0.2">
      <c r="A15" s="47">
        <f t="shared" si="0"/>
        <v>10</v>
      </c>
      <c r="B15" s="238" t="s">
        <v>654</v>
      </c>
      <c r="C15" s="625">
        <v>465000</v>
      </c>
      <c r="D15" s="626">
        <v>520000</v>
      </c>
      <c r="E15" s="109" t="s">
        <v>1066</v>
      </c>
      <c r="F15" s="749">
        <f>'T1-Dotácie podľa DZ'!D19</f>
        <v>520000</v>
      </c>
    </row>
    <row r="16" spans="1:7" s="4" customFormat="1" ht="31.5" x14ac:dyDescent="0.2">
      <c r="A16" s="55" t="s">
        <v>469</v>
      </c>
      <c r="B16" s="241" t="s">
        <v>560</v>
      </c>
      <c r="C16" s="625">
        <v>4587829.46</v>
      </c>
      <c r="D16" s="736">
        <f>5814574.44</f>
        <v>5814574.4400000004</v>
      </c>
      <c r="E16" s="751" t="s">
        <v>1066</v>
      </c>
      <c r="F16" s="750">
        <f>'T17-Dotácie zo ŠF EU-nová'!E35+'T17-Dotácie zo ŠF EU-nová'!F35</f>
        <v>5814574.4399999995</v>
      </c>
      <c r="G16" s="634"/>
    </row>
    <row r="17" spans="1:8" s="4" customFormat="1" ht="28.5" customHeight="1" x14ac:dyDescent="0.2">
      <c r="A17" s="47">
        <f>A15+1</f>
        <v>11</v>
      </c>
      <c r="B17" s="238" t="s">
        <v>498</v>
      </c>
      <c r="C17" s="625">
        <v>513839.48</v>
      </c>
      <c r="D17" s="626">
        <v>362900.4</v>
      </c>
      <c r="E17" s="109" t="s">
        <v>1072</v>
      </c>
      <c r="F17" s="633"/>
      <c r="G17" s="633"/>
    </row>
    <row r="18" spans="1:8" s="4" customFormat="1" ht="23.25" customHeight="1" x14ac:dyDescent="0.2">
      <c r="A18" s="47">
        <f t="shared" si="0"/>
        <v>12</v>
      </c>
      <c r="B18" s="238" t="s">
        <v>103</v>
      </c>
      <c r="C18" s="625">
        <v>0</v>
      </c>
      <c r="D18" s="626">
        <v>0</v>
      </c>
      <c r="E18" s="109"/>
    </row>
    <row r="19" spans="1:8" s="4" customFormat="1" ht="33" customHeight="1" x14ac:dyDescent="0.2">
      <c r="A19" s="47">
        <f t="shared" si="0"/>
        <v>13</v>
      </c>
      <c r="B19" s="238" t="s">
        <v>499</v>
      </c>
      <c r="C19" s="625">
        <v>2635672.1</v>
      </c>
      <c r="D19" s="626">
        <f>8144.07+2002345.39+84666.69+974011.76+31780+2527.55</f>
        <v>3103475.46</v>
      </c>
      <c r="E19" s="109" t="s">
        <v>1038</v>
      </c>
      <c r="F19" s="753"/>
      <c r="G19" s="753" t="s">
        <v>1072</v>
      </c>
      <c r="H19" s="752">
        <f>'T2-Ostatné dot mimo MŠ SR'!D14+'T2-Ostatné dot mimo MŠ SR'!D18+'T2-Ostatné dot mimo MŠ SR'!D30</f>
        <v>34307.550000000003</v>
      </c>
    </row>
    <row r="20" spans="1:8" s="4" customFormat="1" ht="21" customHeight="1" thickBot="1" x14ac:dyDescent="0.25">
      <c r="A20" s="48">
        <f t="shared" si="0"/>
        <v>14</v>
      </c>
      <c r="B20" s="240" t="s">
        <v>28</v>
      </c>
      <c r="C20" s="534">
        <f>SUM(C14:C19)</f>
        <v>9902693.2400000002</v>
      </c>
      <c r="D20" s="713">
        <f>SUM(D14:D19)</f>
        <v>12330690.080000002</v>
      </c>
      <c r="E20" s="109"/>
    </row>
    <row r="21" spans="1:8" ht="9" customHeight="1" x14ac:dyDescent="0.25">
      <c r="E21" s="109"/>
    </row>
    <row r="22" spans="1:8" ht="15.75" customHeight="1" x14ac:dyDescent="0.25">
      <c r="A22" s="902" t="s">
        <v>736</v>
      </c>
      <c r="B22" s="903"/>
      <c r="C22" s="903"/>
      <c r="D22" s="904"/>
      <c r="E22" s="109"/>
    </row>
    <row r="23" spans="1:8" ht="15.75" customHeight="1" x14ac:dyDescent="0.25">
      <c r="A23" s="934" t="s">
        <v>737</v>
      </c>
      <c r="B23" s="935"/>
      <c r="C23" s="935"/>
      <c r="D23" s="936"/>
      <c r="E23" s="109"/>
      <c r="F23" s="61"/>
      <c r="G23" s="61"/>
      <c r="H23" s="61"/>
    </row>
    <row r="24" spans="1:8" x14ac:dyDescent="0.25">
      <c r="A24" s="197"/>
      <c r="B24" s="227"/>
    </row>
    <row r="25" spans="1:8" x14ac:dyDescent="0.25">
      <c r="D25" s="2" t="s">
        <v>1067</v>
      </c>
    </row>
  </sheetData>
  <mergeCells count="7">
    <mergeCell ref="A23:D23"/>
    <mergeCell ref="A22:D22"/>
    <mergeCell ref="A1:D1"/>
    <mergeCell ref="A3:A4"/>
    <mergeCell ref="B3:B4"/>
    <mergeCell ref="C3:D3"/>
    <mergeCell ref="A2:D2"/>
  </mergeCells>
  <phoneticPr fontId="0" type="noConversion"/>
  <printOptions gridLines="1"/>
  <pageMargins left="0.74803149606299213" right="0.54" top="0.98425196850393704" bottom="0.82" header="0.51181102362204722" footer="0.51181102362204722"/>
  <pageSetup paperSize="9"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tabColor indexed="42"/>
    <pageSetUpPr fitToPage="1"/>
  </sheetPr>
  <dimension ref="A1:O83"/>
  <sheetViews>
    <sheetView zoomScaleNormal="100" workbookViewId="0">
      <pane xSplit="2" ySplit="5" topLeftCell="C18" activePane="bottomRight" state="frozen"/>
      <selection pane="topRight" activeCell="C1" sqref="C1"/>
      <selection pane="bottomLeft" activeCell="A6" sqref="A6"/>
      <selection pane="bottomRight" activeCell="L23" sqref="L23"/>
    </sheetView>
  </sheetViews>
  <sheetFormatPr defaultColWidth="9.140625" defaultRowHeight="15.75" x14ac:dyDescent="0.25"/>
  <cols>
    <col min="1" max="1" width="7.42578125" style="2" customWidth="1"/>
    <col min="2" max="2" width="51.5703125" style="6" customWidth="1"/>
    <col min="3" max="3" width="22.28515625" style="6" customWidth="1"/>
    <col min="4" max="4" width="18.140625" style="2" customWidth="1"/>
    <col min="5" max="5" width="18.5703125" style="2" customWidth="1"/>
    <col min="6" max="6" width="16.28515625" style="2" customWidth="1"/>
    <col min="7" max="7" width="11.85546875" style="2" customWidth="1"/>
    <col min="8" max="8" width="15.42578125" style="2" customWidth="1"/>
    <col min="9" max="9" width="19.42578125" style="2" customWidth="1"/>
    <col min="10" max="10" width="9.140625" style="2"/>
    <col min="11" max="11" width="14.5703125" style="2" customWidth="1"/>
    <col min="12" max="16384" width="9.140625" style="2"/>
  </cols>
  <sheetData>
    <row r="1" spans="1:10" s="333" customFormat="1" ht="35.1" customHeight="1" thickBot="1" x14ac:dyDescent="0.3">
      <c r="A1" s="946" t="s">
        <v>824</v>
      </c>
      <c r="B1" s="947"/>
      <c r="C1" s="947"/>
      <c r="D1" s="947"/>
      <c r="E1" s="947"/>
      <c r="F1" s="947"/>
      <c r="G1" s="947"/>
      <c r="H1" s="947"/>
      <c r="I1" s="948"/>
    </row>
    <row r="2" spans="1:10" s="333" customFormat="1" ht="35.1" customHeight="1" x14ac:dyDescent="0.25">
      <c r="A2" s="813" t="s">
        <v>1061</v>
      </c>
      <c r="B2" s="814"/>
      <c r="C2" s="814"/>
      <c r="D2" s="814"/>
      <c r="E2" s="814"/>
      <c r="F2" s="814"/>
      <c r="G2" s="814"/>
      <c r="H2" s="814"/>
      <c r="I2" s="815"/>
    </row>
    <row r="3" spans="1:10" s="335" customFormat="1" ht="35.25" customHeight="1" x14ac:dyDescent="0.2">
      <c r="A3" s="895" t="s">
        <v>80</v>
      </c>
      <c r="B3" s="809" t="s">
        <v>153</v>
      </c>
      <c r="C3" s="951" t="s">
        <v>825</v>
      </c>
      <c r="D3" s="858" t="s">
        <v>826</v>
      </c>
      <c r="E3" s="858" t="s">
        <v>827</v>
      </c>
      <c r="F3" s="858" t="s">
        <v>574</v>
      </c>
      <c r="G3" s="949" t="s">
        <v>86</v>
      </c>
      <c r="H3" s="949" t="s">
        <v>564</v>
      </c>
      <c r="I3" s="944" t="s">
        <v>87</v>
      </c>
    </row>
    <row r="4" spans="1:10" s="335" customFormat="1" ht="72" customHeight="1" x14ac:dyDescent="0.2">
      <c r="A4" s="807"/>
      <c r="B4" s="849"/>
      <c r="C4" s="952"/>
      <c r="D4" s="859"/>
      <c r="E4" s="859"/>
      <c r="F4" s="859"/>
      <c r="G4" s="950"/>
      <c r="H4" s="950"/>
      <c r="I4" s="945"/>
    </row>
    <row r="5" spans="1:10" s="335" customFormat="1" ht="15.75" customHeight="1" x14ac:dyDescent="0.2">
      <c r="A5" s="256"/>
      <c r="B5" s="320"/>
      <c r="C5" s="323" t="s">
        <v>119</v>
      </c>
      <c r="D5" s="323" t="s">
        <v>120</v>
      </c>
      <c r="E5" s="323" t="s">
        <v>121</v>
      </c>
      <c r="F5" s="323" t="s">
        <v>127</v>
      </c>
      <c r="G5" s="323" t="s">
        <v>122</v>
      </c>
      <c r="H5" s="323" t="s">
        <v>123</v>
      </c>
      <c r="I5" s="343" t="s">
        <v>470</v>
      </c>
    </row>
    <row r="6" spans="1:10" s="4" customFormat="1" x14ac:dyDescent="0.2">
      <c r="A6" s="19">
        <v>1</v>
      </c>
      <c r="B6" s="321" t="s">
        <v>180</v>
      </c>
      <c r="C6" s="530"/>
      <c r="D6" s="530"/>
      <c r="E6" s="530"/>
      <c r="F6" s="530"/>
      <c r="G6" s="530"/>
      <c r="H6" s="530">
        <f>H8</f>
        <v>3143.58</v>
      </c>
      <c r="I6" s="531">
        <f t="shared" ref="I6:I17" si="0">SUM(C6:H6)</f>
        <v>3143.58</v>
      </c>
      <c r="J6" s="4" t="s">
        <v>1066</v>
      </c>
    </row>
    <row r="7" spans="1:10" s="4" customFormat="1" x14ac:dyDescent="0.2">
      <c r="A7" s="19"/>
      <c r="B7" s="235" t="s">
        <v>133</v>
      </c>
      <c r="C7" s="530"/>
      <c r="D7" s="530"/>
      <c r="E7" s="530"/>
      <c r="F7" s="530"/>
      <c r="G7" s="530"/>
      <c r="H7" s="530"/>
      <c r="I7" s="531"/>
    </row>
    <row r="8" spans="1:10" s="4" customFormat="1" x14ac:dyDescent="0.2">
      <c r="A8" s="19">
        <v>2</v>
      </c>
      <c r="B8" s="235" t="s">
        <v>17</v>
      </c>
      <c r="C8" s="530"/>
      <c r="D8" s="530"/>
      <c r="E8" s="530"/>
      <c r="F8" s="530"/>
      <c r="G8" s="530"/>
      <c r="H8" s="530">
        <v>3143.58</v>
      </c>
      <c r="I8" s="531">
        <f t="shared" si="0"/>
        <v>3143.58</v>
      </c>
      <c r="J8" s="4">
        <v>711003</v>
      </c>
    </row>
    <row r="9" spans="1:10" x14ac:dyDescent="0.25">
      <c r="A9" s="19">
        <v>3</v>
      </c>
      <c r="B9" s="321" t="s">
        <v>118</v>
      </c>
      <c r="C9" s="530"/>
      <c r="D9" s="530"/>
      <c r="E9" s="530"/>
      <c r="F9" s="530"/>
      <c r="G9" s="530"/>
      <c r="H9" s="530"/>
      <c r="I9" s="531">
        <f t="shared" si="0"/>
        <v>0</v>
      </c>
    </row>
    <row r="10" spans="1:10" ht="31.5" x14ac:dyDescent="0.25">
      <c r="A10" s="19">
        <v>4</v>
      </c>
      <c r="B10" s="339" t="s">
        <v>562</v>
      </c>
      <c r="C10" s="532">
        <f>SUM(C11:C16)</f>
        <v>0</v>
      </c>
      <c r="D10" s="532">
        <f t="shared" ref="D10:I10" si="1">SUM(D11:D16)</f>
        <v>5803802.9199999999</v>
      </c>
      <c r="E10" s="532">
        <f t="shared" si="1"/>
        <v>180204.76000000004</v>
      </c>
      <c r="F10" s="532">
        <f t="shared" si="1"/>
        <v>776239.41</v>
      </c>
      <c r="G10" s="532">
        <f t="shared" si="1"/>
        <v>0</v>
      </c>
      <c r="H10" s="532">
        <f t="shared" si="1"/>
        <v>219692.28</v>
      </c>
      <c r="I10" s="531">
        <f t="shared" si="1"/>
        <v>6979939.3699999992</v>
      </c>
      <c r="J10" s="2" t="s">
        <v>1066</v>
      </c>
    </row>
    <row r="11" spans="1:10" x14ac:dyDescent="0.25">
      <c r="A11" s="19">
        <v>5</v>
      </c>
      <c r="B11" s="246" t="s">
        <v>647</v>
      </c>
      <c r="C11" s="530"/>
      <c r="D11" s="530"/>
      <c r="E11" s="530"/>
      <c r="F11" s="530">
        <v>35253.279999999999</v>
      </c>
      <c r="G11" s="530"/>
      <c r="H11" s="530">
        <v>1325.6</v>
      </c>
      <c r="I11" s="531">
        <f t="shared" si="0"/>
        <v>36578.879999999997</v>
      </c>
      <c r="J11" s="4"/>
    </row>
    <row r="12" spans="1:10" x14ac:dyDescent="0.25">
      <c r="A12" s="19">
        <v>6</v>
      </c>
      <c r="B12" s="246" t="s">
        <v>648</v>
      </c>
      <c r="C12" s="530"/>
      <c r="D12" s="530"/>
      <c r="E12" s="530">
        <v>2517.19</v>
      </c>
      <c r="F12" s="530"/>
      <c r="G12" s="530"/>
      <c r="H12" s="530">
        <v>2197.42</v>
      </c>
      <c r="I12" s="531">
        <f t="shared" si="0"/>
        <v>4714.6100000000006</v>
      </c>
      <c r="J12" s="4"/>
    </row>
    <row r="13" spans="1:10" x14ac:dyDescent="0.25">
      <c r="A13" s="19">
        <v>7</v>
      </c>
      <c r="B13" s="340" t="s">
        <v>649</v>
      </c>
      <c r="C13" s="530"/>
      <c r="D13" s="530">
        <v>11958.6</v>
      </c>
      <c r="E13" s="530">
        <v>39172.800000000003</v>
      </c>
      <c r="F13" s="530">
        <v>44616.87</v>
      </c>
      <c r="G13" s="530"/>
      <c r="H13" s="530">
        <f>26316+2527.55</f>
        <v>28843.55</v>
      </c>
      <c r="I13" s="531">
        <f t="shared" si="0"/>
        <v>124591.82</v>
      </c>
      <c r="J13" s="4"/>
    </row>
    <row r="14" spans="1:10" ht="31.5" x14ac:dyDescent="0.25">
      <c r="A14" s="19">
        <v>8</v>
      </c>
      <c r="B14" s="246" t="s">
        <v>650</v>
      </c>
      <c r="C14" s="530"/>
      <c r="D14" s="530">
        <v>5791844.3200000003</v>
      </c>
      <c r="E14" s="530">
        <v>105436.85</v>
      </c>
      <c r="F14" s="530">
        <v>696369.26</v>
      </c>
      <c r="G14" s="530"/>
      <c r="H14" s="530">
        <f>65133.72+6600+41523.11</f>
        <v>113256.83</v>
      </c>
      <c r="I14" s="531">
        <f t="shared" si="0"/>
        <v>6706907.2599999998</v>
      </c>
      <c r="J14" s="4"/>
    </row>
    <row r="15" spans="1:10" ht="31.5" x14ac:dyDescent="0.25">
      <c r="A15" s="23">
        <v>9</v>
      </c>
      <c r="B15" s="246" t="s">
        <v>651</v>
      </c>
      <c r="C15" s="530"/>
      <c r="D15" s="530"/>
      <c r="E15" s="530">
        <v>4036.72</v>
      </c>
      <c r="F15" s="530"/>
      <c r="G15" s="530"/>
      <c r="H15" s="530">
        <v>7874.48</v>
      </c>
      <c r="I15" s="531">
        <f t="shared" si="0"/>
        <v>11911.199999999999</v>
      </c>
      <c r="J15" s="4"/>
    </row>
    <row r="16" spans="1:10" x14ac:dyDescent="0.25">
      <c r="A16" s="19">
        <v>10</v>
      </c>
      <c r="B16" s="246" t="s">
        <v>652</v>
      </c>
      <c r="C16" s="530"/>
      <c r="D16" s="530"/>
      <c r="E16" s="530">
        <v>29041.200000000001</v>
      </c>
      <c r="F16" s="530"/>
      <c r="G16" s="530"/>
      <c r="H16" s="530">
        <v>66194.399999999994</v>
      </c>
      <c r="I16" s="531">
        <f t="shared" si="0"/>
        <v>95235.599999999991</v>
      </c>
      <c r="J16" s="4"/>
    </row>
    <row r="17" spans="1:15" ht="31.5" x14ac:dyDescent="0.25">
      <c r="A17" s="19">
        <v>11</v>
      </c>
      <c r="B17" s="339" t="s">
        <v>64</v>
      </c>
      <c r="C17" s="530"/>
      <c r="D17" s="530"/>
      <c r="E17" s="530"/>
      <c r="F17" s="530">
        <v>55746</v>
      </c>
      <c r="G17" s="530"/>
      <c r="H17" s="530"/>
      <c r="I17" s="531">
        <f t="shared" si="0"/>
        <v>55746</v>
      </c>
      <c r="J17" s="4"/>
      <c r="L17" s="2" t="s">
        <v>1066</v>
      </c>
    </row>
    <row r="18" spans="1:15" x14ac:dyDescent="0.25">
      <c r="A18" s="23">
        <v>12</v>
      </c>
      <c r="B18" s="339" t="s">
        <v>65</v>
      </c>
      <c r="C18" s="530"/>
      <c r="D18" s="530"/>
      <c r="E18" s="530"/>
      <c r="F18" s="530">
        <v>164895.6</v>
      </c>
      <c r="G18" s="530"/>
      <c r="H18" s="530">
        <f>157860+84000</f>
        <v>241860</v>
      </c>
      <c r="I18" s="531">
        <f t="shared" ref="I18:I23" si="2">SUM(C18:H18)</f>
        <v>406755.6</v>
      </c>
      <c r="J18" s="1">
        <v>716000</v>
      </c>
      <c r="K18" s="1"/>
      <c r="L18" s="1" t="s">
        <v>1066</v>
      </c>
      <c r="M18" s="1"/>
      <c r="N18" s="1"/>
      <c r="O18" s="1"/>
    </row>
    <row r="19" spans="1:15" x14ac:dyDescent="0.25">
      <c r="A19" s="19">
        <v>13</v>
      </c>
      <c r="B19" s="339" t="s">
        <v>130</v>
      </c>
      <c r="C19" s="530">
        <v>255000</v>
      </c>
      <c r="D19" s="530">
        <v>69501.53</v>
      </c>
      <c r="E19" s="530">
        <v>34080.57</v>
      </c>
      <c r="F19" s="530">
        <v>924516.81</v>
      </c>
      <c r="G19" s="530"/>
      <c r="H19" s="530">
        <f>166007.09+132098.61+386267.11+41078.31+40000</f>
        <v>765451.11999999988</v>
      </c>
      <c r="I19" s="531">
        <f t="shared" si="2"/>
        <v>2048550.03</v>
      </c>
      <c r="J19" s="1">
        <v>717002</v>
      </c>
      <c r="K19" s="1">
        <v>717001</v>
      </c>
      <c r="L19" s="1" t="s">
        <v>1066</v>
      </c>
      <c r="M19" s="1"/>
      <c r="N19" s="1"/>
      <c r="O19" s="1"/>
    </row>
    <row r="20" spans="1:15" ht="31.5" x14ac:dyDescent="0.25">
      <c r="A20" s="19">
        <v>14</v>
      </c>
      <c r="B20" s="339" t="s">
        <v>66</v>
      </c>
      <c r="C20" s="530"/>
      <c r="D20" s="530"/>
      <c r="E20" s="530"/>
      <c r="F20" s="530">
        <v>71589.19</v>
      </c>
      <c r="G20" s="530"/>
      <c r="H20" s="530">
        <v>9640.7999999999993</v>
      </c>
      <c r="I20" s="531">
        <f t="shared" si="2"/>
        <v>81229.990000000005</v>
      </c>
      <c r="J20" s="1">
        <v>718006</v>
      </c>
      <c r="K20" s="1">
        <v>718004</v>
      </c>
      <c r="L20" s="1" t="s">
        <v>1066</v>
      </c>
      <c r="M20" s="1"/>
      <c r="N20" s="1"/>
      <c r="O20" s="1"/>
    </row>
    <row r="21" spans="1:15" x14ac:dyDescent="0.25">
      <c r="A21" s="23">
        <v>15</v>
      </c>
      <c r="B21" s="339" t="s">
        <v>138</v>
      </c>
      <c r="C21" s="530"/>
      <c r="D21" s="530"/>
      <c r="E21" s="530"/>
      <c r="F21" s="530">
        <v>3229.2</v>
      </c>
      <c r="G21" s="530"/>
      <c r="H21" s="530"/>
      <c r="I21" s="531">
        <f t="shared" si="2"/>
        <v>3229.2</v>
      </c>
      <c r="J21" s="1">
        <v>719002</v>
      </c>
      <c r="K21" s="1"/>
      <c r="L21" s="1" t="s">
        <v>1066</v>
      </c>
      <c r="M21" s="1"/>
      <c r="N21" s="1"/>
      <c r="O21" s="1"/>
    </row>
    <row r="22" spans="1:15" x14ac:dyDescent="0.25">
      <c r="A22" s="19">
        <v>16</v>
      </c>
      <c r="B22" s="341" t="s">
        <v>548</v>
      </c>
      <c r="C22" s="627"/>
      <c r="D22" s="530"/>
      <c r="E22" s="530"/>
      <c r="F22" s="530"/>
      <c r="G22" s="530"/>
      <c r="H22" s="530">
        <v>8146.03</v>
      </c>
      <c r="I22" s="531">
        <f t="shared" si="2"/>
        <v>8146.03</v>
      </c>
      <c r="J22" s="1">
        <v>719014</v>
      </c>
      <c r="K22" s="1" t="s">
        <v>1035</v>
      </c>
      <c r="L22" s="1" t="s">
        <v>1066</v>
      </c>
      <c r="M22" s="1"/>
      <c r="N22" s="1"/>
      <c r="O22" s="1"/>
    </row>
    <row r="23" spans="1:15" ht="48" thickBot="1" x14ac:dyDescent="0.3">
      <c r="A23" s="20">
        <v>17</v>
      </c>
      <c r="B23" s="342" t="s">
        <v>563</v>
      </c>
      <c r="C23" s="628">
        <f t="shared" ref="C23:H23" si="3">+C6+C9+C10+C17+C18+C19+C20+C21+C22</f>
        <v>255000</v>
      </c>
      <c r="D23" s="629">
        <f t="shared" si="3"/>
        <v>5873304.4500000002</v>
      </c>
      <c r="E23" s="629">
        <f t="shared" si="3"/>
        <v>214285.33000000005</v>
      </c>
      <c r="F23" s="629">
        <f t="shared" si="3"/>
        <v>1996216.21</v>
      </c>
      <c r="G23" s="629">
        <f t="shared" si="3"/>
        <v>0</v>
      </c>
      <c r="H23" s="629">
        <f t="shared" si="3"/>
        <v>1247933.81</v>
      </c>
      <c r="I23" s="630">
        <f t="shared" si="2"/>
        <v>9586739.8000000007</v>
      </c>
      <c r="J23" s="2" t="s">
        <v>1066</v>
      </c>
      <c r="K23" s="2">
        <v>9586739.7999999989</v>
      </c>
    </row>
    <row r="24" spans="1:15" x14ac:dyDescent="0.25">
      <c r="C24" s="107"/>
      <c r="D24" s="106"/>
      <c r="E24" s="106"/>
      <c r="F24" s="106"/>
      <c r="G24" s="106"/>
      <c r="H24" s="106"/>
    </row>
    <row r="25" spans="1:15" x14ac:dyDescent="0.25">
      <c r="A25" s="195"/>
      <c r="B25" s="196"/>
      <c r="C25" s="106"/>
      <c r="D25" s="106"/>
      <c r="E25" s="106"/>
      <c r="F25" s="106"/>
      <c r="G25" s="106"/>
      <c r="H25" s="106"/>
    </row>
    <row r="26" spans="1:15" ht="47.25" x14ac:dyDescent="0.25">
      <c r="C26" s="106"/>
      <c r="D26" s="631" t="s">
        <v>974</v>
      </c>
      <c r="E26" s="632"/>
      <c r="F26" s="632" t="s">
        <v>975</v>
      </c>
      <c r="G26" s="632"/>
      <c r="H26" s="631" t="s">
        <v>976</v>
      </c>
    </row>
    <row r="27" spans="1:15" x14ac:dyDescent="0.25">
      <c r="C27" s="106"/>
      <c r="D27" s="106"/>
      <c r="E27" s="106"/>
      <c r="F27" s="106"/>
      <c r="G27" s="106"/>
      <c r="H27" s="106"/>
      <c r="I27" s="2" t="s">
        <v>1067</v>
      </c>
    </row>
    <row r="28" spans="1:15" x14ac:dyDescent="0.25">
      <c r="C28" s="106"/>
      <c r="D28" s="106"/>
      <c r="E28" s="106"/>
      <c r="F28" s="106"/>
      <c r="G28" s="106"/>
      <c r="H28" s="106"/>
    </row>
    <row r="29" spans="1:15" x14ac:dyDescent="0.25">
      <c r="C29" s="106"/>
      <c r="D29" s="106"/>
      <c r="E29" s="106"/>
      <c r="F29" s="106"/>
      <c r="G29" s="106"/>
      <c r="H29" s="106"/>
    </row>
    <row r="30" spans="1:15" x14ac:dyDescent="0.25">
      <c r="C30" s="106"/>
      <c r="D30" s="106"/>
      <c r="E30" s="106"/>
      <c r="F30" s="106"/>
      <c r="G30" s="106"/>
      <c r="H30" s="106"/>
    </row>
    <row r="31" spans="1:15" x14ac:dyDescent="0.25">
      <c r="C31" s="106"/>
      <c r="D31" s="106"/>
      <c r="E31" s="106"/>
      <c r="F31" s="106"/>
      <c r="G31" s="106"/>
      <c r="H31" s="106"/>
    </row>
    <row r="32" spans="1:15" x14ac:dyDescent="0.25">
      <c r="C32" s="106"/>
      <c r="D32" s="106"/>
      <c r="E32" s="106"/>
      <c r="F32" s="106"/>
      <c r="G32" s="106"/>
      <c r="H32" s="106"/>
    </row>
    <row r="33" spans="3:8" x14ac:dyDescent="0.25">
      <c r="C33" s="106"/>
      <c r="D33" s="106"/>
      <c r="E33" s="106"/>
      <c r="F33" s="106"/>
      <c r="G33" s="106"/>
      <c r="H33" s="106"/>
    </row>
    <row r="34" spans="3:8" x14ac:dyDescent="0.25">
      <c r="C34" s="106"/>
      <c r="D34" s="106"/>
      <c r="E34" s="106"/>
      <c r="F34" s="106"/>
      <c r="G34" s="106"/>
      <c r="H34" s="106"/>
    </row>
    <row r="35" spans="3:8" x14ac:dyDescent="0.25">
      <c r="C35" s="106"/>
      <c r="D35" s="106"/>
      <c r="E35" s="106"/>
      <c r="F35" s="106"/>
      <c r="G35" s="106"/>
      <c r="H35" s="106"/>
    </row>
    <row r="36" spans="3:8" x14ac:dyDescent="0.25">
      <c r="C36" s="106"/>
      <c r="D36" s="106"/>
      <c r="E36" s="106"/>
      <c r="F36" s="106"/>
      <c r="G36" s="106"/>
      <c r="H36" s="106"/>
    </row>
    <row r="37" spans="3:8" x14ac:dyDescent="0.25">
      <c r="C37" s="106"/>
      <c r="D37" s="106"/>
      <c r="E37" s="106"/>
      <c r="F37" s="106"/>
      <c r="G37" s="106"/>
      <c r="H37" s="106"/>
    </row>
    <row r="38" spans="3:8" x14ac:dyDescent="0.25">
      <c r="C38" s="106"/>
      <c r="D38" s="106"/>
      <c r="E38" s="106"/>
      <c r="F38" s="106"/>
      <c r="G38" s="106"/>
      <c r="H38" s="106"/>
    </row>
    <row r="39" spans="3:8" x14ac:dyDescent="0.25">
      <c r="C39" s="106"/>
      <c r="D39" s="106"/>
      <c r="E39" s="106"/>
      <c r="F39" s="106"/>
      <c r="G39" s="106"/>
      <c r="H39" s="106"/>
    </row>
    <row r="40" spans="3:8" x14ac:dyDescent="0.25">
      <c r="C40" s="106"/>
      <c r="D40" s="106"/>
      <c r="E40" s="106"/>
      <c r="F40" s="106"/>
      <c r="G40" s="106"/>
      <c r="H40" s="106"/>
    </row>
    <row r="41" spans="3:8" x14ac:dyDescent="0.25">
      <c r="C41" s="106"/>
      <c r="D41" s="106"/>
      <c r="E41" s="106"/>
      <c r="F41" s="106"/>
      <c r="G41" s="106"/>
      <c r="H41" s="106"/>
    </row>
    <row r="42" spans="3:8" x14ac:dyDescent="0.25">
      <c r="C42" s="106"/>
      <c r="D42" s="106"/>
      <c r="E42" s="106"/>
      <c r="F42" s="106"/>
      <c r="G42" s="106"/>
      <c r="H42" s="106"/>
    </row>
    <row r="43" spans="3:8" x14ac:dyDescent="0.25">
      <c r="C43" s="106"/>
      <c r="D43" s="106"/>
      <c r="E43" s="106"/>
      <c r="F43" s="106"/>
      <c r="G43" s="106"/>
      <c r="H43" s="106"/>
    </row>
    <row r="44" spans="3:8" x14ac:dyDescent="0.25">
      <c r="C44" s="106"/>
      <c r="D44" s="106"/>
      <c r="E44" s="106"/>
      <c r="F44" s="106"/>
      <c r="G44" s="106"/>
      <c r="H44" s="106"/>
    </row>
    <row r="45" spans="3:8" x14ac:dyDescent="0.25">
      <c r="C45" s="106"/>
      <c r="D45" s="106"/>
      <c r="E45" s="106"/>
      <c r="F45" s="106"/>
      <c r="G45" s="106"/>
      <c r="H45" s="106"/>
    </row>
    <row r="46" spans="3:8" x14ac:dyDescent="0.25">
      <c r="C46" s="106"/>
      <c r="D46" s="106"/>
      <c r="E46" s="106"/>
      <c r="F46" s="106"/>
      <c r="G46" s="106"/>
      <c r="H46" s="106"/>
    </row>
    <row r="47" spans="3:8" x14ac:dyDescent="0.25">
      <c r="C47" s="106"/>
      <c r="D47" s="106"/>
      <c r="E47" s="106"/>
      <c r="F47" s="106"/>
      <c r="G47" s="106"/>
      <c r="H47" s="106"/>
    </row>
    <row r="48" spans="3:8" x14ac:dyDescent="0.25">
      <c r="C48" s="106"/>
      <c r="D48" s="106"/>
      <c r="E48" s="106"/>
      <c r="F48" s="106"/>
      <c r="G48" s="106"/>
      <c r="H48" s="106"/>
    </row>
    <row r="49" spans="3:8" x14ac:dyDescent="0.25">
      <c r="C49" s="106"/>
      <c r="D49" s="106"/>
      <c r="E49" s="106"/>
      <c r="F49" s="106"/>
      <c r="G49" s="106"/>
      <c r="H49" s="106"/>
    </row>
    <row r="50" spans="3:8" x14ac:dyDescent="0.25">
      <c r="C50" s="106"/>
      <c r="D50" s="106"/>
      <c r="E50" s="106"/>
      <c r="F50" s="106"/>
      <c r="G50" s="106"/>
      <c r="H50" s="106"/>
    </row>
    <row r="51" spans="3:8" x14ac:dyDescent="0.25">
      <c r="C51" s="106"/>
      <c r="D51" s="106"/>
      <c r="E51" s="106"/>
      <c r="F51" s="106"/>
      <c r="G51" s="106"/>
      <c r="H51" s="106"/>
    </row>
    <row r="52" spans="3:8" x14ac:dyDescent="0.25">
      <c r="C52" s="106"/>
      <c r="D52" s="106"/>
      <c r="E52" s="106"/>
      <c r="F52" s="106"/>
      <c r="G52" s="106"/>
      <c r="H52" s="106"/>
    </row>
    <row r="53" spans="3:8" x14ac:dyDescent="0.25">
      <c r="C53" s="106"/>
      <c r="D53" s="106"/>
      <c r="E53" s="106"/>
      <c r="F53" s="106"/>
      <c r="G53" s="106"/>
      <c r="H53" s="106"/>
    </row>
    <row r="54" spans="3:8" x14ac:dyDescent="0.25">
      <c r="C54" s="106"/>
      <c r="D54" s="106"/>
      <c r="E54" s="106"/>
      <c r="F54" s="106"/>
      <c r="G54" s="106"/>
      <c r="H54" s="106"/>
    </row>
    <row r="55" spans="3:8" x14ac:dyDescent="0.25">
      <c r="C55" s="106"/>
      <c r="D55" s="106"/>
      <c r="E55" s="106"/>
      <c r="F55" s="106"/>
      <c r="G55" s="106"/>
      <c r="H55" s="106"/>
    </row>
    <row r="56" spans="3:8" x14ac:dyDescent="0.25">
      <c r="C56" s="106"/>
      <c r="D56" s="106"/>
      <c r="E56" s="106"/>
      <c r="F56" s="106"/>
      <c r="G56" s="106"/>
      <c r="H56" s="106"/>
    </row>
    <row r="57" spans="3:8" x14ac:dyDescent="0.25">
      <c r="C57" s="106"/>
      <c r="D57" s="106"/>
      <c r="E57" s="106"/>
      <c r="F57" s="106"/>
      <c r="G57" s="106"/>
      <c r="H57" s="106"/>
    </row>
    <row r="58" spans="3:8" x14ac:dyDescent="0.25">
      <c r="C58" s="106"/>
      <c r="D58" s="106"/>
      <c r="E58" s="106"/>
      <c r="F58" s="106"/>
      <c r="G58" s="106"/>
      <c r="H58" s="106"/>
    </row>
    <row r="59" spans="3:8" x14ac:dyDescent="0.25">
      <c r="C59" s="106"/>
      <c r="D59" s="106"/>
      <c r="E59" s="106"/>
      <c r="F59" s="106"/>
      <c r="G59" s="106"/>
      <c r="H59" s="106"/>
    </row>
    <row r="60" spans="3:8" x14ac:dyDescent="0.25">
      <c r="C60" s="106"/>
      <c r="D60" s="106"/>
      <c r="E60" s="106"/>
      <c r="F60" s="106"/>
      <c r="G60" s="106"/>
      <c r="H60" s="106"/>
    </row>
    <row r="61" spans="3:8" x14ac:dyDescent="0.25">
      <c r="C61" s="106"/>
      <c r="D61" s="106"/>
      <c r="E61" s="106"/>
      <c r="F61" s="106"/>
      <c r="G61" s="106"/>
      <c r="H61" s="106"/>
    </row>
    <row r="62" spans="3:8" x14ac:dyDescent="0.25">
      <c r="C62" s="106"/>
      <c r="D62" s="106"/>
      <c r="E62" s="106"/>
      <c r="F62" s="106"/>
      <c r="G62" s="106"/>
      <c r="H62" s="106"/>
    </row>
    <row r="63" spans="3:8" x14ac:dyDescent="0.25">
      <c r="C63" s="106"/>
      <c r="D63" s="106"/>
      <c r="E63" s="106"/>
      <c r="F63" s="106"/>
      <c r="G63" s="106"/>
      <c r="H63" s="106"/>
    </row>
    <row r="64" spans="3:8" x14ac:dyDescent="0.25">
      <c r="C64" s="106"/>
      <c r="D64" s="106"/>
      <c r="E64" s="106"/>
      <c r="F64" s="106"/>
      <c r="G64" s="106"/>
      <c r="H64" s="106"/>
    </row>
    <row r="65" spans="3:8" x14ac:dyDescent="0.25">
      <c r="C65" s="106"/>
      <c r="D65" s="106"/>
      <c r="E65" s="106"/>
      <c r="F65" s="106"/>
      <c r="G65" s="106"/>
      <c r="H65" s="106"/>
    </row>
    <row r="66" spans="3:8" x14ac:dyDescent="0.25">
      <c r="C66" s="106"/>
      <c r="D66" s="106"/>
      <c r="E66" s="106"/>
      <c r="F66" s="106"/>
      <c r="G66" s="106"/>
      <c r="H66" s="106"/>
    </row>
    <row r="67" spans="3:8" x14ac:dyDescent="0.25">
      <c r="C67" s="106"/>
      <c r="D67" s="106"/>
      <c r="E67" s="106"/>
      <c r="F67" s="106"/>
      <c r="G67" s="106"/>
      <c r="H67" s="106"/>
    </row>
    <row r="68" spans="3:8" x14ac:dyDescent="0.25">
      <c r="C68" s="106"/>
      <c r="D68" s="106"/>
      <c r="E68" s="106"/>
      <c r="F68" s="106"/>
      <c r="G68" s="106"/>
      <c r="H68" s="106"/>
    </row>
    <row r="69" spans="3:8" x14ac:dyDescent="0.25">
      <c r="C69" s="106"/>
      <c r="D69" s="106"/>
      <c r="E69" s="106"/>
      <c r="F69" s="106"/>
      <c r="G69" s="106"/>
      <c r="H69" s="106"/>
    </row>
    <row r="70" spans="3:8" x14ac:dyDescent="0.25">
      <c r="C70" s="106"/>
      <c r="D70" s="106"/>
      <c r="E70" s="106"/>
      <c r="F70" s="106"/>
      <c r="G70" s="106"/>
      <c r="H70" s="106"/>
    </row>
    <row r="71" spans="3:8" x14ac:dyDescent="0.25">
      <c r="C71" s="106"/>
      <c r="D71" s="106"/>
      <c r="E71" s="106"/>
      <c r="F71" s="106"/>
      <c r="G71" s="106"/>
      <c r="H71" s="106"/>
    </row>
    <row r="72" spans="3:8" x14ac:dyDescent="0.25">
      <c r="C72" s="106"/>
      <c r="D72" s="106"/>
      <c r="E72" s="106"/>
      <c r="F72" s="106"/>
      <c r="G72" s="106"/>
      <c r="H72" s="106"/>
    </row>
    <row r="73" spans="3:8" x14ac:dyDescent="0.25">
      <c r="C73" s="106"/>
      <c r="D73" s="106"/>
      <c r="E73" s="106"/>
      <c r="F73" s="106"/>
      <c r="G73" s="106"/>
      <c r="H73" s="106"/>
    </row>
    <row r="74" spans="3:8" x14ac:dyDescent="0.25">
      <c r="C74" s="106"/>
      <c r="D74" s="106"/>
      <c r="E74" s="106"/>
      <c r="F74" s="106"/>
      <c r="G74" s="106"/>
      <c r="H74" s="106"/>
    </row>
    <row r="75" spans="3:8" x14ac:dyDescent="0.25">
      <c r="C75" s="106"/>
      <c r="D75" s="106"/>
      <c r="E75" s="106"/>
      <c r="F75" s="106"/>
      <c r="G75" s="106"/>
      <c r="H75" s="106"/>
    </row>
    <row r="76" spans="3:8" x14ac:dyDescent="0.25">
      <c r="C76" s="106"/>
      <c r="D76" s="106"/>
      <c r="E76" s="106"/>
      <c r="F76" s="106"/>
      <c r="G76" s="106"/>
      <c r="H76" s="106"/>
    </row>
    <row r="77" spans="3:8" x14ac:dyDescent="0.25">
      <c r="C77" s="106"/>
      <c r="D77" s="106"/>
      <c r="E77" s="106"/>
      <c r="F77" s="106"/>
      <c r="G77" s="106"/>
      <c r="H77" s="106"/>
    </row>
    <row r="78" spans="3:8" x14ac:dyDescent="0.25">
      <c r="C78" s="106"/>
      <c r="D78" s="106"/>
      <c r="E78" s="106"/>
      <c r="F78" s="106"/>
      <c r="G78" s="106"/>
      <c r="H78" s="106"/>
    </row>
    <row r="79" spans="3:8" x14ac:dyDescent="0.25">
      <c r="C79" s="106"/>
      <c r="D79" s="106"/>
      <c r="E79" s="106"/>
      <c r="F79" s="106"/>
      <c r="G79" s="106"/>
      <c r="H79" s="106"/>
    </row>
    <row r="80" spans="3:8" x14ac:dyDescent="0.25">
      <c r="C80" s="106"/>
      <c r="D80" s="106"/>
      <c r="E80" s="106"/>
      <c r="F80" s="106"/>
      <c r="G80" s="106"/>
      <c r="H80" s="106"/>
    </row>
    <row r="81" spans="3:8" x14ac:dyDescent="0.25">
      <c r="C81" s="106"/>
      <c r="D81" s="106"/>
      <c r="E81" s="106"/>
      <c r="F81" s="106"/>
      <c r="G81" s="106"/>
      <c r="H81" s="106"/>
    </row>
    <row r="82" spans="3:8" x14ac:dyDescent="0.25">
      <c r="C82" s="106"/>
      <c r="D82" s="106"/>
      <c r="E82" s="106"/>
      <c r="F82" s="106"/>
      <c r="G82" s="106"/>
      <c r="H82" s="106"/>
    </row>
    <row r="83" spans="3:8" x14ac:dyDescent="0.25">
      <c r="C83" s="106"/>
      <c r="D83" s="106"/>
      <c r="E83" s="106"/>
      <c r="F83" s="106"/>
      <c r="G83" s="106"/>
      <c r="H83" s="106"/>
    </row>
  </sheetData>
  <mergeCells count="11">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66" right="0.44" top="0.98425196850393704" bottom="0.98425196850393704" header="0.51181102362204722" footer="0.51181102362204722"/>
  <pageSetup paperSize="9" scale="76" orientation="landscape" r:id="rId1"/>
  <headerFooter alignWithMargins="0"/>
  <ignoredErrors>
    <ignoredError sqref="I1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T33"/>
  <sheetViews>
    <sheetView zoomScaleNormal="100" workbookViewId="0">
      <pane xSplit="2" ySplit="5" topLeftCell="C19" activePane="bottomRight" state="frozen"/>
      <selection pane="topRight" activeCell="C1" sqref="C1"/>
      <selection pane="bottomLeft" activeCell="A6" sqref="A6"/>
      <selection pane="bottomRight" activeCell="G33" sqref="G33"/>
    </sheetView>
  </sheetViews>
  <sheetFormatPr defaultColWidth="9.140625" defaultRowHeight="15.75" x14ac:dyDescent="0.25"/>
  <cols>
    <col min="1" max="1" width="7.28515625" style="118" customWidth="1"/>
    <col min="2" max="2" width="38.85546875" style="121" customWidth="1"/>
    <col min="3" max="3" width="19" style="118" customWidth="1"/>
    <col min="4" max="4" width="18.85546875" style="118" customWidth="1"/>
    <col min="5" max="5" width="14.42578125" style="118" customWidth="1"/>
    <col min="6" max="6" width="16.5703125" style="118" customWidth="1"/>
    <col min="7" max="7" width="15.140625" style="118" customWidth="1"/>
    <col min="8" max="8" width="16.85546875" style="118" customWidth="1"/>
    <col min="9" max="9" width="13.42578125" style="118" customWidth="1"/>
    <col min="10" max="10" width="12.42578125" style="118" customWidth="1"/>
    <col min="11" max="11" width="14.5703125" style="118" customWidth="1"/>
    <col min="12" max="12" width="14.42578125" style="118" customWidth="1"/>
    <col min="13" max="14" width="17.7109375" style="118" customWidth="1"/>
    <col min="15" max="15" width="31.7109375" style="118" customWidth="1"/>
    <col min="16" max="16" width="37.140625" style="118" customWidth="1"/>
    <col min="17" max="16384" width="9.140625" style="118"/>
  </cols>
  <sheetData>
    <row r="1" spans="1:254" s="344" customFormat="1" ht="27.75" customHeight="1" thickBot="1" x14ac:dyDescent="0.3">
      <c r="A1" s="954" t="s">
        <v>828</v>
      </c>
      <c r="B1" s="955"/>
      <c r="C1" s="955"/>
      <c r="D1" s="955"/>
      <c r="E1" s="955"/>
      <c r="F1" s="955"/>
      <c r="G1" s="955"/>
      <c r="H1" s="955"/>
      <c r="I1" s="955"/>
      <c r="J1" s="955"/>
      <c r="K1" s="955"/>
      <c r="L1" s="955"/>
      <c r="M1" s="955"/>
      <c r="N1" s="956"/>
    </row>
    <row r="2" spans="1:254" s="344" customFormat="1" ht="28.5" customHeight="1" x14ac:dyDescent="0.25">
      <c r="A2" s="957" t="s">
        <v>1061</v>
      </c>
      <c r="B2" s="958"/>
      <c r="C2" s="958"/>
      <c r="D2" s="958"/>
      <c r="E2" s="958"/>
      <c r="F2" s="958"/>
      <c r="G2" s="958"/>
      <c r="H2" s="958"/>
      <c r="I2" s="959"/>
      <c r="J2" s="959"/>
      <c r="K2" s="958"/>
      <c r="L2" s="958"/>
      <c r="M2" s="958"/>
      <c r="N2" s="960"/>
    </row>
    <row r="3" spans="1:254" s="344" customFormat="1" ht="51.75" customHeight="1" x14ac:dyDescent="0.25">
      <c r="A3" s="961" t="s">
        <v>80</v>
      </c>
      <c r="B3" s="962" t="s">
        <v>508</v>
      </c>
      <c r="C3" s="940" t="s">
        <v>156</v>
      </c>
      <c r="D3" s="940"/>
      <c r="E3" s="940" t="s">
        <v>157</v>
      </c>
      <c r="F3" s="940"/>
      <c r="G3" s="940" t="s">
        <v>158</v>
      </c>
      <c r="H3" s="941"/>
      <c r="I3" s="940" t="s">
        <v>489</v>
      </c>
      <c r="J3" s="940"/>
      <c r="K3" s="964" t="s">
        <v>139</v>
      </c>
      <c r="L3" s="940"/>
      <c r="M3" s="940" t="s">
        <v>152</v>
      </c>
      <c r="N3" s="953"/>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row>
    <row r="4" spans="1:254" s="344" customFormat="1" ht="17.25" customHeight="1" x14ac:dyDescent="0.25">
      <c r="A4" s="961"/>
      <c r="B4" s="963"/>
      <c r="C4" s="257">
        <v>2022</v>
      </c>
      <c r="D4" s="257">
        <v>2023</v>
      </c>
      <c r="E4" s="257">
        <v>2022</v>
      </c>
      <c r="F4" s="257">
        <v>2023</v>
      </c>
      <c r="G4" s="257">
        <v>2022</v>
      </c>
      <c r="H4" s="257">
        <v>2023</v>
      </c>
      <c r="I4" s="257">
        <v>2022</v>
      </c>
      <c r="J4" s="257">
        <v>2023</v>
      </c>
      <c r="K4" s="257">
        <v>2022</v>
      </c>
      <c r="L4" s="257">
        <v>2023</v>
      </c>
      <c r="M4" s="257">
        <v>2022</v>
      </c>
      <c r="N4" s="258">
        <v>2023</v>
      </c>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row>
    <row r="5" spans="1:254" s="344" customFormat="1" ht="15.75" customHeight="1" x14ac:dyDescent="0.25">
      <c r="A5" s="346"/>
      <c r="B5" s="347"/>
      <c r="C5" s="323" t="s">
        <v>119</v>
      </c>
      <c r="D5" s="323" t="s">
        <v>120</v>
      </c>
      <c r="E5" s="323" t="s">
        <v>121</v>
      </c>
      <c r="F5" s="323" t="s">
        <v>127</v>
      </c>
      <c r="G5" s="323" t="s">
        <v>122</v>
      </c>
      <c r="H5" s="348" t="s">
        <v>123</v>
      </c>
      <c r="I5" s="323" t="s">
        <v>124</v>
      </c>
      <c r="J5" s="323" t="s">
        <v>125</v>
      </c>
      <c r="K5" s="323" t="s">
        <v>126</v>
      </c>
      <c r="L5" s="323" t="s">
        <v>467</v>
      </c>
      <c r="M5" s="349" t="s">
        <v>530</v>
      </c>
      <c r="N5" s="350" t="s">
        <v>531</v>
      </c>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c r="DF5" s="351"/>
      <c r="DG5" s="351"/>
      <c r="DH5" s="351"/>
      <c r="DI5" s="351"/>
      <c r="DJ5" s="351"/>
      <c r="DK5" s="351"/>
      <c r="DL5" s="351"/>
      <c r="DM5" s="351"/>
      <c r="DN5" s="351"/>
      <c r="DO5" s="351"/>
      <c r="DP5" s="351"/>
      <c r="DQ5" s="351"/>
      <c r="DR5" s="351"/>
      <c r="DS5" s="351"/>
      <c r="DT5" s="351"/>
      <c r="DU5" s="351"/>
      <c r="DV5" s="351"/>
      <c r="DW5" s="351"/>
      <c r="DX5" s="351"/>
      <c r="DY5" s="351"/>
      <c r="DZ5" s="351"/>
      <c r="EA5" s="351"/>
      <c r="EB5" s="351"/>
      <c r="EC5" s="351"/>
      <c r="ED5" s="351"/>
      <c r="EE5" s="351"/>
      <c r="EF5" s="351"/>
      <c r="EG5" s="351"/>
      <c r="EH5" s="351"/>
      <c r="EI5" s="351"/>
      <c r="EJ5" s="351"/>
      <c r="EK5" s="351"/>
      <c r="EL5" s="351"/>
      <c r="EM5" s="351"/>
      <c r="EN5" s="351"/>
      <c r="EO5" s="351"/>
      <c r="EP5" s="351"/>
      <c r="EQ5" s="351"/>
      <c r="ER5" s="351"/>
      <c r="ES5" s="351"/>
      <c r="ET5" s="351"/>
      <c r="EU5" s="351"/>
      <c r="EV5" s="351"/>
      <c r="EW5" s="351"/>
      <c r="EX5" s="351"/>
      <c r="EY5" s="351"/>
      <c r="EZ5" s="351"/>
      <c r="FA5" s="351"/>
      <c r="FB5" s="351"/>
      <c r="FC5" s="351"/>
      <c r="FD5" s="351"/>
      <c r="FE5" s="351"/>
      <c r="FF5" s="351"/>
      <c r="FG5" s="351"/>
      <c r="FH5" s="351"/>
      <c r="FI5" s="351"/>
      <c r="FJ5" s="351"/>
      <c r="FK5" s="351"/>
      <c r="FL5" s="351"/>
      <c r="FM5" s="351"/>
      <c r="FN5" s="351"/>
      <c r="FO5" s="351"/>
      <c r="FP5" s="351"/>
      <c r="FQ5" s="351"/>
      <c r="FR5" s="351"/>
      <c r="FS5" s="351"/>
      <c r="FT5" s="351"/>
      <c r="FU5" s="351"/>
      <c r="FV5" s="351"/>
      <c r="FW5" s="351"/>
      <c r="FX5" s="351"/>
      <c r="FY5" s="351"/>
      <c r="FZ5" s="351"/>
      <c r="GA5" s="351"/>
      <c r="GB5" s="351"/>
      <c r="GC5" s="351"/>
      <c r="GD5" s="351"/>
      <c r="GE5" s="351"/>
      <c r="GF5" s="351"/>
      <c r="GG5" s="351"/>
      <c r="GH5" s="351"/>
      <c r="GI5" s="351"/>
      <c r="GJ5" s="351"/>
      <c r="GK5" s="351"/>
      <c r="GL5" s="351"/>
      <c r="GM5" s="351"/>
      <c r="GN5" s="351"/>
      <c r="GO5" s="351"/>
      <c r="GP5" s="351"/>
      <c r="GQ5" s="351"/>
      <c r="GR5" s="351"/>
      <c r="GS5" s="351"/>
      <c r="GT5" s="351"/>
      <c r="GU5" s="351"/>
      <c r="GV5" s="351"/>
      <c r="GW5" s="351"/>
      <c r="GX5" s="351"/>
      <c r="GY5" s="351"/>
      <c r="GZ5" s="351"/>
      <c r="HA5" s="351"/>
      <c r="HB5" s="351"/>
      <c r="HC5" s="351"/>
      <c r="HD5" s="351"/>
      <c r="HE5" s="351"/>
      <c r="HF5" s="351"/>
      <c r="HG5" s="351"/>
      <c r="HH5" s="351"/>
      <c r="HI5" s="351"/>
      <c r="HJ5" s="351"/>
      <c r="HK5" s="351"/>
      <c r="HL5" s="351"/>
      <c r="HM5" s="351"/>
      <c r="HN5" s="351"/>
      <c r="HO5" s="351"/>
      <c r="HP5" s="351"/>
      <c r="HQ5" s="351"/>
      <c r="HR5" s="351"/>
      <c r="HS5" s="351"/>
      <c r="HT5" s="351"/>
      <c r="HU5" s="351"/>
      <c r="HV5" s="351"/>
      <c r="HW5" s="351"/>
      <c r="HX5" s="351"/>
      <c r="HY5" s="351"/>
      <c r="HZ5" s="351"/>
      <c r="IA5" s="351"/>
      <c r="IB5" s="351"/>
      <c r="IC5" s="351"/>
      <c r="ID5" s="351"/>
      <c r="IE5" s="351"/>
      <c r="IF5" s="351"/>
      <c r="IG5" s="351"/>
      <c r="IH5" s="351"/>
      <c r="II5" s="351"/>
      <c r="IJ5" s="351"/>
      <c r="IK5" s="351"/>
      <c r="IL5" s="351"/>
      <c r="IM5" s="351"/>
      <c r="IN5" s="351"/>
      <c r="IO5" s="351"/>
      <c r="IP5" s="351"/>
      <c r="IQ5" s="351"/>
      <c r="IR5" s="351"/>
      <c r="IS5" s="351"/>
      <c r="IT5" s="351"/>
    </row>
    <row r="6" spans="1:254" ht="31.5" x14ac:dyDescent="0.25">
      <c r="A6" s="23">
        <v>1</v>
      </c>
      <c r="B6" s="352" t="s">
        <v>76</v>
      </c>
      <c r="C6" s="635">
        <v>16638944.9</v>
      </c>
      <c r="D6" s="636">
        <f>C17</f>
        <v>18109163.150000002</v>
      </c>
      <c r="E6" s="635">
        <v>0</v>
      </c>
      <c r="F6" s="636">
        <f>E17</f>
        <v>770600.40999999992</v>
      </c>
      <c r="G6" s="637">
        <v>397215.27</v>
      </c>
      <c r="H6" s="638">
        <f>G17</f>
        <v>736554.43000000017</v>
      </c>
      <c r="I6" s="635"/>
      <c r="J6" s="636">
        <f>SUM(I17)</f>
        <v>0</v>
      </c>
      <c r="K6" s="635"/>
      <c r="L6" s="636">
        <f>SUM(K17)</f>
        <v>0</v>
      </c>
      <c r="M6" s="636">
        <f t="shared" ref="M6:N8" si="0">C6+E6+G6+I6+K6</f>
        <v>17036160.170000002</v>
      </c>
      <c r="N6" s="639">
        <f t="shared" si="0"/>
        <v>19616317.990000002</v>
      </c>
    </row>
    <row r="7" spans="1:254" ht="31.5" x14ac:dyDescent="0.25">
      <c r="A7" s="23">
        <v>2</v>
      </c>
      <c r="B7" s="353" t="s">
        <v>484</v>
      </c>
      <c r="C7" s="636">
        <f t="shared" ref="C7:L7" si="1">SUM(C8:C15)</f>
        <v>3650648.88</v>
      </c>
      <c r="D7" s="636">
        <f t="shared" si="1"/>
        <v>757770.41</v>
      </c>
      <c r="E7" s="636">
        <f t="shared" si="1"/>
        <v>1700352.2</v>
      </c>
      <c r="F7" s="636">
        <f t="shared" si="1"/>
        <v>1759139.37</v>
      </c>
      <c r="G7" s="638">
        <f>SUM(G8:G15)</f>
        <v>1429402.06</v>
      </c>
      <c r="H7" s="638">
        <f>SUM(H8:H15)</f>
        <v>1540933.78</v>
      </c>
      <c r="I7" s="636">
        <f t="shared" si="1"/>
        <v>0</v>
      </c>
      <c r="J7" s="636">
        <f t="shared" si="1"/>
        <v>0</v>
      </c>
      <c r="K7" s="636">
        <f t="shared" si="1"/>
        <v>0</v>
      </c>
      <c r="L7" s="636">
        <f t="shared" si="1"/>
        <v>0</v>
      </c>
      <c r="M7" s="636">
        <f t="shared" si="0"/>
        <v>6780403.1400000006</v>
      </c>
      <c r="N7" s="639">
        <f t="shared" si="0"/>
        <v>4057843.5600000005</v>
      </c>
    </row>
    <row r="8" spans="1:254" ht="22.5" customHeight="1" x14ac:dyDescent="0.25">
      <c r="A8" s="23">
        <v>3</v>
      </c>
      <c r="B8" s="354" t="s">
        <v>29</v>
      </c>
      <c r="C8" s="640">
        <v>3650648.88</v>
      </c>
      <c r="D8" s="640">
        <v>757770.41</v>
      </c>
      <c r="E8" s="640"/>
      <c r="F8" s="640"/>
      <c r="G8" s="641"/>
      <c r="H8" s="641"/>
      <c r="I8" s="640"/>
      <c r="J8" s="640"/>
      <c r="K8" s="640"/>
      <c r="L8" s="640"/>
      <c r="M8" s="636">
        <f t="shared" si="0"/>
        <v>3650648.88</v>
      </c>
      <c r="N8" s="639">
        <f t="shared" si="0"/>
        <v>757770.41</v>
      </c>
    </row>
    <row r="9" spans="1:254" ht="83.25" customHeight="1" x14ac:dyDescent="0.25">
      <c r="A9" s="23">
        <v>4</v>
      </c>
      <c r="B9" s="354" t="s">
        <v>141</v>
      </c>
      <c r="C9" s="642" t="s">
        <v>140</v>
      </c>
      <c r="D9" s="642" t="s">
        <v>140</v>
      </c>
      <c r="E9" s="640">
        <v>1686879.9</v>
      </c>
      <c r="F9" s="643">
        <v>1759139.37</v>
      </c>
      <c r="G9" s="642" t="s">
        <v>140</v>
      </c>
      <c r="H9" s="642" t="s">
        <v>140</v>
      </c>
      <c r="I9" s="644" t="s">
        <v>140</v>
      </c>
      <c r="J9" s="644" t="s">
        <v>140</v>
      </c>
      <c r="K9" s="642" t="s">
        <v>140</v>
      </c>
      <c r="L9" s="642" t="s">
        <v>140</v>
      </c>
      <c r="M9" s="636">
        <f>E9</f>
        <v>1686879.9</v>
      </c>
      <c r="N9" s="639">
        <f>F9</f>
        <v>1759139.37</v>
      </c>
      <c r="O9" s="741" t="s">
        <v>1046</v>
      </c>
    </row>
    <row r="10" spans="1:254" ht="31.5" x14ac:dyDescent="0.25">
      <c r="A10" s="23">
        <v>5</v>
      </c>
      <c r="B10" s="354" t="s">
        <v>653</v>
      </c>
      <c r="C10" s="642" t="s">
        <v>140</v>
      </c>
      <c r="D10" s="642" t="s">
        <v>140</v>
      </c>
      <c r="E10" s="640">
        <v>13472.3</v>
      </c>
      <c r="F10" s="640"/>
      <c r="G10" s="642" t="s">
        <v>140</v>
      </c>
      <c r="H10" s="642" t="s">
        <v>140</v>
      </c>
      <c r="I10" s="644" t="s">
        <v>140</v>
      </c>
      <c r="J10" s="644" t="s">
        <v>140</v>
      </c>
      <c r="K10" s="642" t="s">
        <v>140</v>
      </c>
      <c r="L10" s="642" t="s">
        <v>140</v>
      </c>
      <c r="M10" s="636">
        <f>E10</f>
        <v>13472.3</v>
      </c>
      <c r="N10" s="639">
        <f>F10</f>
        <v>0</v>
      </c>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row>
    <row r="11" spans="1:254" ht="31.5" x14ac:dyDescent="0.25">
      <c r="A11" s="23">
        <v>6</v>
      </c>
      <c r="B11" s="354" t="s">
        <v>142</v>
      </c>
      <c r="C11" s="642" t="s">
        <v>140</v>
      </c>
      <c r="D11" s="642" t="s">
        <v>140</v>
      </c>
      <c r="E11" s="640"/>
      <c r="F11" s="640"/>
      <c r="G11" s="641"/>
      <c r="H11" s="641"/>
      <c r="I11" s="645"/>
      <c r="J11" s="645"/>
      <c r="K11" s="635"/>
      <c r="L11" s="635"/>
      <c r="M11" s="636">
        <f>E11+G11+I11+K11</f>
        <v>0</v>
      </c>
      <c r="N11" s="639">
        <f>F11+H11+J11+L11</f>
        <v>0</v>
      </c>
    </row>
    <row r="12" spans="1:254" ht="17.25" customHeight="1" x14ac:dyDescent="0.25">
      <c r="A12" s="23">
        <v>7</v>
      </c>
      <c r="B12" s="354" t="s">
        <v>143</v>
      </c>
      <c r="C12" s="640"/>
      <c r="D12" s="640"/>
      <c r="E12" s="640"/>
      <c r="F12" s="640"/>
      <c r="G12" s="641"/>
      <c r="H12" s="641"/>
      <c r="I12" s="645"/>
      <c r="J12" s="645"/>
      <c r="K12" s="640"/>
      <c r="L12" s="640"/>
      <c r="M12" s="636">
        <f>C12+E12+G12+I12+K12</f>
        <v>0</v>
      </c>
      <c r="N12" s="639">
        <f>D12+F12+H12+J12+L12</f>
        <v>0</v>
      </c>
    </row>
    <row r="13" spans="1:254" ht="112.5" customHeight="1" x14ac:dyDescent="0.25">
      <c r="A13" s="23">
        <v>8</v>
      </c>
      <c r="B13" s="355" t="s">
        <v>30</v>
      </c>
      <c r="C13" s="642" t="s">
        <v>140</v>
      </c>
      <c r="D13" s="642" t="s">
        <v>140</v>
      </c>
      <c r="E13" s="642" t="s">
        <v>140</v>
      </c>
      <c r="F13" s="642" t="s">
        <v>140</v>
      </c>
      <c r="G13" s="641">
        <v>1343417</v>
      </c>
      <c r="H13" s="641">
        <v>1490235</v>
      </c>
      <c r="I13" s="645"/>
      <c r="J13" s="645"/>
      <c r="K13" s="646" t="s">
        <v>140</v>
      </c>
      <c r="L13" s="646" t="s">
        <v>140</v>
      </c>
      <c r="M13" s="636">
        <f>G13</f>
        <v>1343417</v>
      </c>
      <c r="N13" s="639">
        <f>H13</f>
        <v>1490235</v>
      </c>
      <c r="O13" s="740" t="s">
        <v>1044</v>
      </c>
      <c r="P13" s="741" t="s">
        <v>1045</v>
      </c>
    </row>
    <row r="14" spans="1:254" ht="19.5" customHeight="1" x14ac:dyDescent="0.25">
      <c r="A14" s="23">
        <v>9</v>
      </c>
      <c r="B14" s="354" t="s">
        <v>4</v>
      </c>
      <c r="C14" s="642" t="s">
        <v>140</v>
      </c>
      <c r="D14" s="642" t="s">
        <v>140</v>
      </c>
      <c r="E14" s="642" t="s">
        <v>140</v>
      </c>
      <c r="F14" s="642" t="s">
        <v>140</v>
      </c>
      <c r="G14" s="641">
        <v>85985.06</v>
      </c>
      <c r="H14" s="641">
        <v>50698.78</v>
      </c>
      <c r="I14" s="647" t="s">
        <v>140</v>
      </c>
      <c r="J14" s="647" t="s">
        <v>140</v>
      </c>
      <c r="K14" s="646" t="s">
        <v>140</v>
      </c>
      <c r="L14" s="646" t="s">
        <v>140</v>
      </c>
      <c r="M14" s="636">
        <f>G14</f>
        <v>85985.06</v>
      </c>
      <c r="N14" s="639">
        <f>H14</f>
        <v>50698.78</v>
      </c>
    </row>
    <row r="15" spans="1:254" ht="18.75" x14ac:dyDescent="0.25">
      <c r="A15" s="23">
        <v>10</v>
      </c>
      <c r="B15" s="354" t="s">
        <v>31</v>
      </c>
      <c r="C15" s="640"/>
      <c r="D15" s="640"/>
      <c r="E15" s="640"/>
      <c r="F15" s="640"/>
      <c r="G15" s="641"/>
      <c r="H15" s="641"/>
      <c r="I15" s="645"/>
      <c r="J15" s="645"/>
      <c r="K15" s="640"/>
      <c r="L15" s="640"/>
      <c r="M15" s="636">
        <f>C15+E15+G15+I15+K15</f>
        <v>0</v>
      </c>
      <c r="N15" s="639">
        <f>D15+F15+H15+J15+L15</f>
        <v>0</v>
      </c>
    </row>
    <row r="16" spans="1:254" ht="94.5" x14ac:dyDescent="0.25">
      <c r="A16" s="23">
        <v>11</v>
      </c>
      <c r="B16" s="352" t="s">
        <v>77</v>
      </c>
      <c r="C16" s="635">
        <v>2180430.63</v>
      </c>
      <c r="D16" s="635">
        <v>3880507.86</v>
      </c>
      <c r="E16" s="635">
        <v>929751.79</v>
      </c>
      <c r="F16" s="635">
        <v>1970881.73</v>
      </c>
      <c r="G16" s="641">
        <v>1090062.8999999999</v>
      </c>
      <c r="H16" s="641">
        <v>1415852</v>
      </c>
      <c r="I16" s="635"/>
      <c r="J16" s="635"/>
      <c r="K16" s="635"/>
      <c r="L16" s="635"/>
      <c r="M16" s="636">
        <f t="shared" ref="M16:N18" si="2">C16+E16+G16+I16+K16</f>
        <v>4200245.32</v>
      </c>
      <c r="N16" s="639">
        <f t="shared" si="2"/>
        <v>7267241.5899999999</v>
      </c>
      <c r="O16" s="741" t="s">
        <v>1090</v>
      </c>
    </row>
    <row r="17" spans="1:24" ht="31.5" x14ac:dyDescent="0.25">
      <c r="A17" s="23">
        <v>12</v>
      </c>
      <c r="B17" s="352" t="s">
        <v>5</v>
      </c>
      <c r="C17" s="636">
        <f t="shared" ref="C17:L17" si="3">C6+C7-C16</f>
        <v>18109163.150000002</v>
      </c>
      <c r="D17" s="636">
        <f t="shared" si="3"/>
        <v>14986425.700000003</v>
      </c>
      <c r="E17" s="636">
        <f t="shared" si="3"/>
        <v>770600.40999999992</v>
      </c>
      <c r="F17" s="636">
        <f t="shared" si="3"/>
        <v>558858.05000000028</v>
      </c>
      <c r="G17" s="638">
        <f t="shared" si="3"/>
        <v>736554.43000000017</v>
      </c>
      <c r="H17" s="638">
        <f t="shared" si="3"/>
        <v>861636.21</v>
      </c>
      <c r="I17" s="636">
        <f t="shared" si="3"/>
        <v>0</v>
      </c>
      <c r="J17" s="636">
        <f t="shared" si="3"/>
        <v>0</v>
      </c>
      <c r="K17" s="636">
        <f t="shared" si="3"/>
        <v>0</v>
      </c>
      <c r="L17" s="636">
        <f t="shared" si="3"/>
        <v>0</v>
      </c>
      <c r="M17" s="636">
        <f t="shared" si="2"/>
        <v>19616317.990000002</v>
      </c>
      <c r="N17" s="639">
        <f t="shared" si="2"/>
        <v>16406919.960000005</v>
      </c>
    </row>
    <row r="18" spans="1:24" ht="48.75" customHeight="1" thickBot="1" x14ac:dyDescent="0.3">
      <c r="A18" s="120">
        <v>13</v>
      </c>
      <c r="B18" s="356" t="s">
        <v>507</v>
      </c>
      <c r="C18" s="648">
        <v>0</v>
      </c>
      <c r="D18" s="648">
        <v>0</v>
      </c>
      <c r="E18" s="648">
        <v>0</v>
      </c>
      <c r="F18" s="648">
        <v>0</v>
      </c>
      <c r="G18" s="649">
        <v>0</v>
      </c>
      <c r="H18" s="649">
        <v>0</v>
      </c>
      <c r="I18" s="648">
        <v>0</v>
      </c>
      <c r="J18" s="648">
        <v>0</v>
      </c>
      <c r="K18" s="648">
        <v>0</v>
      </c>
      <c r="L18" s="648">
        <v>0</v>
      </c>
      <c r="M18" s="650">
        <f t="shared" si="2"/>
        <v>0</v>
      </c>
      <c r="N18" s="651">
        <f t="shared" si="2"/>
        <v>0</v>
      </c>
    </row>
    <row r="19" spans="1:24" x14ac:dyDescent="0.25">
      <c r="F19" s="193">
        <f>+'T5 - Analýza nákladov'!E93+'T5 - Analýza nákladov'!F93</f>
        <v>1751255.13</v>
      </c>
      <c r="H19" s="193">
        <f>'T1-Dotácie podľa DZ'!C16+'T1-Dotácie podľa DZ'!C17</f>
        <v>836135</v>
      </c>
      <c r="I19" s="122"/>
      <c r="J19" s="122"/>
    </row>
    <row r="20" spans="1:24" s="344" customFormat="1" x14ac:dyDescent="0.25">
      <c r="A20" s="357" t="s">
        <v>736</v>
      </c>
      <c r="B20" s="357"/>
      <c r="C20" s="357"/>
      <c r="H20" s="357"/>
      <c r="I20" s="357"/>
      <c r="J20" s="357"/>
      <c r="K20" s="357"/>
      <c r="L20" s="357"/>
      <c r="M20" s="357"/>
      <c r="N20" s="357"/>
    </row>
    <row r="21" spans="1:24" s="344" customFormat="1" x14ac:dyDescent="0.25">
      <c r="A21" s="357" t="s">
        <v>738</v>
      </c>
      <c r="B21" s="357"/>
      <c r="C21" s="357"/>
      <c r="D21" s="357"/>
      <c r="H21" s="357"/>
      <c r="I21" s="358"/>
      <c r="J21" s="359"/>
      <c r="K21" s="359"/>
      <c r="L21" s="359"/>
      <c r="M21" s="359"/>
      <c r="N21" s="359"/>
      <c r="O21" s="360"/>
      <c r="P21" s="360"/>
      <c r="Q21" s="360"/>
      <c r="R21" s="360"/>
    </row>
    <row r="22" spans="1:24" s="344" customFormat="1" ht="15.75" customHeight="1" x14ac:dyDescent="0.25">
      <c r="A22" s="361" t="s">
        <v>739</v>
      </c>
      <c r="B22" s="361"/>
      <c r="C22" s="361"/>
      <c r="D22" s="357"/>
      <c r="H22" s="357"/>
      <c r="I22" s="362"/>
      <c r="J22" s="357"/>
      <c r="K22" s="357"/>
      <c r="L22" s="357"/>
      <c r="M22" s="357"/>
      <c r="N22" s="357"/>
    </row>
    <row r="23" spans="1:24" x14ac:dyDescent="0.25">
      <c r="A23" s="118" t="s">
        <v>873</v>
      </c>
      <c r="L23" s="122"/>
    </row>
    <row r="27" spans="1:24" x14ac:dyDescent="0.25">
      <c r="B27" s="758" t="s">
        <v>1075</v>
      </c>
    </row>
    <row r="28" spans="1:24" x14ac:dyDescent="0.25">
      <c r="B28" s="758"/>
    </row>
    <row r="29" spans="1:24" x14ac:dyDescent="0.25">
      <c r="B29" s="758" t="s">
        <v>1076</v>
      </c>
    </row>
    <row r="30" spans="1:24" x14ac:dyDescent="0.25">
      <c r="B30" s="758"/>
    </row>
    <row r="31" spans="1:24" x14ac:dyDescent="0.25">
      <c r="B31" s="24" t="s">
        <v>1095</v>
      </c>
      <c r="C31" s="757"/>
      <c r="D31" s="24"/>
      <c r="E31" s="24"/>
      <c r="F31" s="24"/>
      <c r="G31" s="24"/>
      <c r="H31" s="24"/>
      <c r="I31" s="24"/>
      <c r="J31" s="24"/>
      <c r="K31" s="24"/>
      <c r="L31" s="24"/>
      <c r="M31" s="24"/>
      <c r="N31" s="24"/>
      <c r="O31" s="24"/>
      <c r="P31" s="50"/>
      <c r="Q31" s="50"/>
      <c r="R31" s="50"/>
      <c r="S31" s="50"/>
      <c r="T31" s="50"/>
      <c r="U31" s="50"/>
      <c r="V31" s="50"/>
      <c r="W31" s="50"/>
      <c r="X31" s="50"/>
    </row>
    <row r="32" spans="1:24" ht="78.75" x14ac:dyDescent="0.25">
      <c r="B32" s="762" t="s">
        <v>1094</v>
      </c>
    </row>
    <row r="33" spans="2:5" ht="126" x14ac:dyDescent="0.25">
      <c r="B33" s="121" t="s">
        <v>1098</v>
      </c>
      <c r="C33" s="763" t="s">
        <v>1092</v>
      </c>
      <c r="D33" s="763" t="s">
        <v>1097</v>
      </c>
      <c r="E33" s="769" t="s">
        <v>1099</v>
      </c>
    </row>
  </sheetData>
  <mergeCells count="10">
    <mergeCell ref="M3:N3"/>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32"/>
  <sheetViews>
    <sheetView zoomScaleNormal="100" workbookViewId="0">
      <pane xSplit="2" ySplit="4" topLeftCell="C5" activePane="bottomRight" state="frozen"/>
      <selection pane="topRight" activeCell="C1" sqref="C1"/>
      <selection pane="bottomLeft" activeCell="A5" sqref="A5"/>
      <selection pane="bottomRight" sqref="A1:E1"/>
    </sheetView>
  </sheetViews>
  <sheetFormatPr defaultColWidth="9.140625" defaultRowHeight="18.75" x14ac:dyDescent="0.25"/>
  <cols>
    <col min="1" max="1" width="7.42578125" style="123" customWidth="1"/>
    <col min="2" max="2" width="42.140625" style="134" customWidth="1"/>
    <col min="3" max="3" width="31.5703125" style="151" customWidth="1"/>
    <col min="4" max="4" width="31.5703125" style="123" customWidth="1"/>
    <col min="5" max="5" width="18.28515625" style="123" customWidth="1"/>
    <col min="6" max="16384" width="9.140625" style="123"/>
  </cols>
  <sheetData>
    <row r="1" spans="1:6" s="329" customFormat="1" ht="50.1" customHeight="1" thickBot="1" x14ac:dyDescent="0.3">
      <c r="A1" s="965" t="s">
        <v>829</v>
      </c>
      <c r="B1" s="966"/>
      <c r="C1" s="966"/>
      <c r="D1" s="966"/>
      <c r="E1" s="967"/>
      <c r="F1" s="433"/>
    </row>
    <row r="2" spans="1:6" s="329" customFormat="1" ht="35.1" customHeight="1" x14ac:dyDescent="0.25">
      <c r="A2" s="813" t="s">
        <v>1057</v>
      </c>
      <c r="B2" s="814"/>
      <c r="C2" s="814"/>
      <c r="D2" s="814"/>
      <c r="E2" s="815"/>
    </row>
    <row r="3" spans="1:6" s="329" customFormat="1" ht="63" x14ac:dyDescent="0.25">
      <c r="A3" s="363" t="s">
        <v>80</v>
      </c>
      <c r="B3" s="364" t="s">
        <v>153</v>
      </c>
      <c r="C3" s="364" t="s">
        <v>635</v>
      </c>
      <c r="D3" s="364" t="s">
        <v>636</v>
      </c>
      <c r="E3" s="365" t="s">
        <v>830</v>
      </c>
    </row>
    <row r="4" spans="1:6" s="329" customFormat="1" ht="15.75" customHeight="1" x14ac:dyDescent="0.25">
      <c r="A4" s="253"/>
      <c r="B4" s="237"/>
      <c r="C4" s="323" t="s">
        <v>119</v>
      </c>
      <c r="D4" s="323" t="s">
        <v>120</v>
      </c>
      <c r="E4" s="328" t="s">
        <v>8</v>
      </c>
    </row>
    <row r="5" spans="1:6" ht="15.75" customHeight="1" x14ac:dyDescent="0.25">
      <c r="A5" s="135">
        <v>1</v>
      </c>
      <c r="B5" s="366" t="s">
        <v>626</v>
      </c>
      <c r="C5" s="652">
        <v>700788.4</v>
      </c>
      <c r="D5" s="652">
        <v>0</v>
      </c>
      <c r="E5" s="653">
        <f t="shared" ref="E5:E18" si="0">C5+D5</f>
        <v>700788.4</v>
      </c>
    </row>
    <row r="6" spans="1:6" ht="15.75" customHeight="1" x14ac:dyDescent="0.25">
      <c r="A6" s="135">
        <f>A5+1</f>
        <v>2</v>
      </c>
      <c r="B6" s="366" t="s">
        <v>627</v>
      </c>
      <c r="C6" s="652">
        <v>0</v>
      </c>
      <c r="D6" s="652">
        <v>0</v>
      </c>
      <c r="E6" s="653">
        <f t="shared" si="0"/>
        <v>0</v>
      </c>
    </row>
    <row r="7" spans="1:6" ht="18.75" customHeight="1" x14ac:dyDescent="0.25">
      <c r="A7" s="135">
        <f>A6+1</f>
        <v>3</v>
      </c>
      <c r="B7" s="367" t="s">
        <v>631</v>
      </c>
      <c r="C7" s="654">
        <f>SUM(C5:C6)</f>
        <v>700788.4</v>
      </c>
      <c r="D7" s="654">
        <f>SUM(D5:D6)</f>
        <v>0</v>
      </c>
      <c r="E7" s="655">
        <f t="shared" si="0"/>
        <v>700788.4</v>
      </c>
    </row>
    <row r="8" spans="1:6" ht="15.75" customHeight="1" x14ac:dyDescent="0.25">
      <c r="A8" s="135">
        <f>A7+1</f>
        <v>4</v>
      </c>
      <c r="B8" s="366" t="s">
        <v>628</v>
      </c>
      <c r="C8" s="652">
        <v>294000</v>
      </c>
      <c r="D8" s="652">
        <v>0</v>
      </c>
      <c r="E8" s="653">
        <f t="shared" si="0"/>
        <v>294000</v>
      </c>
    </row>
    <row r="9" spans="1:6" ht="15.75" customHeight="1" x14ac:dyDescent="0.25">
      <c r="A9" s="135">
        <f>A8+1</f>
        <v>5</v>
      </c>
      <c r="B9" s="366" t="s">
        <v>629</v>
      </c>
      <c r="C9" s="652"/>
      <c r="D9" s="652"/>
      <c r="E9" s="653">
        <f t="shared" si="0"/>
        <v>0</v>
      </c>
    </row>
    <row r="10" spans="1:6" ht="18.75" customHeight="1" x14ac:dyDescent="0.25">
      <c r="A10" s="135">
        <v>6</v>
      </c>
      <c r="B10" s="367" t="s">
        <v>630</v>
      </c>
      <c r="C10" s="654">
        <f>SUM(C8,C9)</f>
        <v>294000</v>
      </c>
      <c r="D10" s="654">
        <f>SUM(D8,D9)</f>
        <v>0</v>
      </c>
      <c r="E10" s="655">
        <f t="shared" si="0"/>
        <v>294000</v>
      </c>
    </row>
    <row r="11" spans="1:6" ht="31.5" x14ac:dyDescent="0.25">
      <c r="A11" s="135">
        <v>13</v>
      </c>
      <c r="B11" s="367" t="s">
        <v>632</v>
      </c>
      <c r="C11" s="654">
        <f>SUM(C7,C10)</f>
        <v>994788.4</v>
      </c>
      <c r="D11" s="654">
        <f>SUM(D7,D10)</f>
        <v>0</v>
      </c>
      <c r="E11" s="655">
        <f t="shared" si="0"/>
        <v>994788.4</v>
      </c>
    </row>
    <row r="12" spans="1:6" ht="31.5" x14ac:dyDescent="0.25">
      <c r="A12" s="135">
        <v>14</v>
      </c>
      <c r="B12" s="367" t="s">
        <v>606</v>
      </c>
      <c r="C12" s="654">
        <f>C13+C16</f>
        <v>558982</v>
      </c>
      <c r="D12" s="654">
        <f>D13+D16</f>
        <v>0</v>
      </c>
      <c r="E12" s="655">
        <f t="shared" si="0"/>
        <v>558982</v>
      </c>
    </row>
    <row r="13" spans="1:6" ht="15.75" customHeight="1" x14ac:dyDescent="0.25">
      <c r="A13" s="135">
        <v>15</v>
      </c>
      <c r="B13" s="368" t="s">
        <v>633</v>
      </c>
      <c r="C13" s="654">
        <f>SUM(C14:C15)</f>
        <v>0</v>
      </c>
      <c r="D13" s="654">
        <f>SUM(D14:D15)</f>
        <v>0</v>
      </c>
      <c r="E13" s="655">
        <f t="shared" si="0"/>
        <v>0</v>
      </c>
    </row>
    <row r="14" spans="1:6" ht="15.75" customHeight="1" x14ac:dyDescent="0.25">
      <c r="A14" s="135">
        <v>16</v>
      </c>
      <c r="B14" s="369" t="s">
        <v>626</v>
      </c>
      <c r="C14" s="652"/>
      <c r="D14" s="652"/>
      <c r="E14" s="653">
        <f t="shared" si="0"/>
        <v>0</v>
      </c>
    </row>
    <row r="15" spans="1:6" ht="15.75" customHeight="1" x14ac:dyDescent="0.25">
      <c r="A15" s="135">
        <v>17</v>
      </c>
      <c r="B15" s="369" t="s">
        <v>627</v>
      </c>
      <c r="C15" s="656"/>
      <c r="D15" s="652"/>
      <c r="E15" s="653">
        <f t="shared" si="0"/>
        <v>0</v>
      </c>
    </row>
    <row r="16" spans="1:6" ht="15.75" customHeight="1" x14ac:dyDescent="0.25">
      <c r="A16" s="135">
        <v>18</v>
      </c>
      <c r="B16" s="370" t="s">
        <v>634</v>
      </c>
      <c r="C16" s="654">
        <f>SUM(C17:C21)</f>
        <v>558982</v>
      </c>
      <c r="D16" s="654">
        <f>SUM(D17:D21)</f>
        <v>0</v>
      </c>
      <c r="E16" s="655">
        <f t="shared" si="0"/>
        <v>558982</v>
      </c>
    </row>
    <row r="17" spans="1:6" ht="15.75" customHeight="1" x14ac:dyDescent="0.25">
      <c r="A17" s="186">
        <v>19</v>
      </c>
      <c r="B17" s="369" t="s">
        <v>1031</v>
      </c>
      <c r="C17" s="652">
        <v>558982</v>
      </c>
      <c r="D17" s="652"/>
      <c r="E17" s="653">
        <f t="shared" si="0"/>
        <v>558982</v>
      </c>
    </row>
    <row r="18" spans="1:6" ht="15.75" customHeight="1" x14ac:dyDescent="0.25">
      <c r="A18" s="135">
        <v>20</v>
      </c>
      <c r="B18" s="369" t="s">
        <v>629</v>
      </c>
      <c r="C18" s="652"/>
      <c r="D18" s="652"/>
      <c r="E18" s="653">
        <f t="shared" si="0"/>
        <v>0</v>
      </c>
    </row>
    <row r="19" spans="1:6" ht="15.75" customHeight="1" x14ac:dyDescent="0.25">
      <c r="A19" s="135">
        <v>21</v>
      </c>
      <c r="B19" s="369"/>
      <c r="C19" s="652"/>
      <c r="D19" s="652"/>
      <c r="E19" s="657"/>
    </row>
    <row r="20" spans="1:6" ht="15.75" customHeight="1" x14ac:dyDescent="0.25">
      <c r="A20" s="135">
        <v>22</v>
      </c>
      <c r="B20" s="369"/>
      <c r="C20" s="652"/>
      <c r="D20" s="652"/>
      <c r="E20" s="657"/>
    </row>
    <row r="21" spans="1:6" ht="15.75" customHeight="1" x14ac:dyDescent="0.25">
      <c r="A21" s="135">
        <v>23</v>
      </c>
      <c r="B21" s="369"/>
      <c r="C21" s="652"/>
      <c r="D21" s="652"/>
      <c r="E21" s="657"/>
    </row>
    <row r="22" spans="1:6" ht="15.75" customHeight="1" thickBot="1" x14ac:dyDescent="0.3">
      <c r="A22" s="136">
        <v>24</v>
      </c>
      <c r="B22" s="371" t="s">
        <v>623</v>
      </c>
      <c r="C22" s="658">
        <f>C11+C12</f>
        <v>1553770.4</v>
      </c>
      <c r="D22" s="658">
        <f>D11+D12</f>
        <v>0</v>
      </c>
      <c r="E22" s="659">
        <f>C22+D22</f>
        <v>1553770.4</v>
      </c>
    </row>
    <row r="23" spans="1:6" ht="15.75" x14ac:dyDescent="0.25">
      <c r="A23" s="14"/>
      <c r="B23" s="15"/>
      <c r="C23" s="16"/>
      <c r="D23" s="16"/>
      <c r="E23" s="16"/>
      <c r="F23" s="123" t="s">
        <v>1065</v>
      </c>
    </row>
    <row r="24" spans="1:6" s="329" customFormat="1" ht="15.75" x14ac:dyDescent="0.25">
      <c r="A24" s="372" t="s">
        <v>561</v>
      </c>
      <c r="B24" s="373" t="s">
        <v>637</v>
      </c>
      <c r="C24" s="373"/>
      <c r="D24" s="374"/>
      <c r="E24" s="374"/>
    </row>
    <row r="27" spans="1:6" x14ac:dyDescent="0.25">
      <c r="B27" s="660"/>
      <c r="C27" s="661" t="s">
        <v>977</v>
      </c>
      <c r="D27" s="662" t="s">
        <v>978</v>
      </c>
    </row>
    <row r="28" spans="1:6" x14ac:dyDescent="0.25">
      <c r="B28" s="743" t="s">
        <v>1048</v>
      </c>
      <c r="C28" s="744">
        <v>367000</v>
      </c>
      <c r="D28" s="745">
        <v>294000</v>
      </c>
    </row>
    <row r="29" spans="1:6" x14ac:dyDescent="0.25">
      <c r="B29" s="743" t="s">
        <v>1047</v>
      </c>
      <c r="C29" s="746">
        <v>333788.40000000002</v>
      </c>
      <c r="D29" s="745"/>
    </row>
    <row r="30" spans="1:6" x14ac:dyDescent="0.25">
      <c r="B30" s="660" t="s">
        <v>1049</v>
      </c>
      <c r="C30" s="661"/>
      <c r="D30" s="662">
        <v>208086.65</v>
      </c>
    </row>
    <row r="31" spans="1:6" x14ac:dyDescent="0.25">
      <c r="B31" s="660" t="s">
        <v>1050</v>
      </c>
      <c r="C31" s="661"/>
      <c r="D31" s="662">
        <v>350895.25</v>
      </c>
    </row>
    <row r="32" spans="1:6" x14ac:dyDescent="0.25">
      <c r="B32" s="660"/>
      <c r="C32" s="663"/>
      <c r="D32" s="662"/>
    </row>
  </sheetData>
  <mergeCells count="2">
    <mergeCell ref="A1:E1"/>
    <mergeCell ref="A2:E2"/>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F7"/>
  <sheetViews>
    <sheetView zoomScaleNormal="100" workbookViewId="0">
      <selection sqref="A1:E1"/>
    </sheetView>
  </sheetViews>
  <sheetFormatPr defaultRowHeight="12.75" x14ac:dyDescent="0.2"/>
  <cols>
    <col min="1" max="1" width="7.42578125" customWidth="1"/>
    <col min="2" max="2" width="14" customWidth="1"/>
    <col min="3" max="4" width="25.42578125" customWidth="1"/>
    <col min="5" max="5" width="15.5703125" customWidth="1"/>
  </cols>
  <sheetData>
    <row r="1" spans="1:6" s="375" customFormat="1" ht="50.1" customHeight="1" thickBot="1" x14ac:dyDescent="0.25">
      <c r="A1" s="965" t="s">
        <v>831</v>
      </c>
      <c r="B1" s="966"/>
      <c r="C1" s="966"/>
      <c r="D1" s="966"/>
      <c r="E1" s="967"/>
    </row>
    <row r="2" spans="1:6" s="375" customFormat="1" ht="33.6" customHeight="1" x14ac:dyDescent="0.2">
      <c r="A2" s="813" t="s">
        <v>1057</v>
      </c>
      <c r="B2" s="814"/>
      <c r="C2" s="814"/>
      <c r="D2" s="814"/>
      <c r="E2" s="815"/>
    </row>
    <row r="3" spans="1:6" s="375" customFormat="1" ht="47.25" x14ac:dyDescent="0.2">
      <c r="A3" s="363" t="s">
        <v>80</v>
      </c>
      <c r="B3" s="364" t="s">
        <v>153</v>
      </c>
      <c r="C3" s="469" t="s">
        <v>871</v>
      </c>
      <c r="D3" s="469" t="s">
        <v>872</v>
      </c>
      <c r="E3" s="365" t="s">
        <v>832</v>
      </c>
    </row>
    <row r="4" spans="1:6" s="375" customFormat="1" ht="15.75" x14ac:dyDescent="0.2">
      <c r="A4" s="253"/>
      <c r="B4" s="237"/>
      <c r="C4" s="323" t="s">
        <v>119</v>
      </c>
      <c r="D4" s="323" t="s">
        <v>120</v>
      </c>
      <c r="E4" s="328" t="s">
        <v>8</v>
      </c>
    </row>
    <row r="5" spans="1:6" ht="16.5" thickBot="1" x14ac:dyDescent="0.25">
      <c r="A5" s="136">
        <v>1</v>
      </c>
      <c r="B5" s="376" t="s">
        <v>639</v>
      </c>
      <c r="C5" s="232">
        <v>0</v>
      </c>
      <c r="D5" s="232">
        <v>0</v>
      </c>
      <c r="E5" s="233">
        <f>C5+D5</f>
        <v>0</v>
      </c>
    </row>
    <row r="6" spans="1:6" x14ac:dyDescent="0.2">
      <c r="F6" t="s">
        <v>1065</v>
      </c>
    </row>
    <row r="7" spans="1:6" x14ac:dyDescent="0.2">
      <c r="B7" t="s">
        <v>979</v>
      </c>
    </row>
  </sheetData>
  <mergeCells count="2">
    <mergeCell ref="A1:E1"/>
    <mergeCell ref="A2:E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H26"/>
  <sheetViews>
    <sheetView zoomScaleNormal="100" workbookViewId="0">
      <pane xSplit="2" ySplit="4" topLeftCell="C23" activePane="bottomRight" state="frozen"/>
      <selection pane="topRight" activeCell="C1" sqref="C1"/>
      <selection pane="bottomLeft" activeCell="A5" sqref="A5"/>
      <selection pane="bottomRight" sqref="A1:D1"/>
    </sheetView>
  </sheetViews>
  <sheetFormatPr defaultColWidth="9.140625" defaultRowHeight="15.75" x14ac:dyDescent="0.2"/>
  <cols>
    <col min="1" max="1" width="10.5703125" style="10" customWidth="1"/>
    <col min="2" max="2" width="43.140625" style="38" customWidth="1"/>
    <col min="3" max="3" width="28.42578125" style="9" customWidth="1"/>
    <col min="4" max="4" width="46.5703125" style="9" customWidth="1"/>
    <col min="5" max="5" width="21.42578125" style="9" customWidth="1"/>
    <col min="6" max="6" width="9.140625" style="9"/>
    <col min="7" max="7" width="12.7109375" style="9" customWidth="1"/>
    <col min="8" max="16384" width="9.140625" style="9"/>
  </cols>
  <sheetData>
    <row r="1" spans="1:8" ht="50.1" customHeight="1" thickBot="1" x14ac:dyDescent="0.25">
      <c r="A1" s="968" t="s">
        <v>833</v>
      </c>
      <c r="B1" s="969"/>
      <c r="C1" s="969"/>
      <c r="D1" s="970"/>
    </row>
    <row r="2" spans="1:8" ht="35.1" customHeight="1" x14ac:dyDescent="0.2">
      <c r="A2" s="971" t="s">
        <v>980</v>
      </c>
      <c r="B2" s="972"/>
      <c r="C2" s="972"/>
      <c r="D2" s="973"/>
    </row>
    <row r="3" spans="1:8" ht="31.5" x14ac:dyDescent="0.2">
      <c r="A3" s="664" t="s">
        <v>80</v>
      </c>
      <c r="B3" s="665" t="s">
        <v>128</v>
      </c>
      <c r="C3" s="665" t="s">
        <v>834</v>
      </c>
      <c r="D3" s="666" t="s">
        <v>638</v>
      </c>
    </row>
    <row r="4" spans="1:8" s="11" customFormat="1" ht="18" customHeight="1" x14ac:dyDescent="0.2">
      <c r="A4" s="47"/>
      <c r="B4" s="665" t="s">
        <v>119</v>
      </c>
      <c r="C4" s="665" t="s">
        <v>120</v>
      </c>
      <c r="D4" s="666" t="s">
        <v>121</v>
      </c>
      <c r="F4" s="9"/>
      <c r="G4" s="9"/>
      <c r="H4" s="9"/>
    </row>
    <row r="5" spans="1:8" s="11" customFormat="1" ht="124.5" customHeight="1" x14ac:dyDescent="0.2">
      <c r="A5" s="47">
        <v>1</v>
      </c>
      <c r="B5" s="460" t="s">
        <v>981</v>
      </c>
      <c r="C5" s="532">
        <f>C6+C7+C8+C12+C13+C14+C15+C16+C17+C18+C19+C20+C21+C22</f>
        <v>22743455.189999998</v>
      </c>
      <c r="D5" s="37"/>
      <c r="E5" s="11" t="s">
        <v>982</v>
      </c>
      <c r="H5" s="9"/>
    </row>
    <row r="6" spans="1:8" ht="101.25" customHeight="1" x14ac:dyDescent="0.2">
      <c r="A6" s="47">
        <v>2</v>
      </c>
      <c r="B6" s="667" t="s">
        <v>583</v>
      </c>
      <c r="C6" s="66">
        <v>0</v>
      </c>
      <c r="D6" s="51" t="s">
        <v>983</v>
      </c>
      <c r="F6" s="11"/>
      <c r="G6" s="11"/>
    </row>
    <row r="7" spans="1:8" ht="125.25" customHeight="1" x14ac:dyDescent="0.2">
      <c r="A7" s="47" t="s">
        <v>145</v>
      </c>
      <c r="B7" s="668" t="s">
        <v>878</v>
      </c>
      <c r="C7" s="533">
        <v>9669933.7899999991</v>
      </c>
      <c r="D7" s="51" t="s">
        <v>984</v>
      </c>
      <c r="F7" s="11"/>
      <c r="G7" s="11"/>
    </row>
    <row r="8" spans="1:8" ht="31.5" x14ac:dyDescent="0.2">
      <c r="A8" s="47">
        <v>3</v>
      </c>
      <c r="B8" s="669" t="s">
        <v>591</v>
      </c>
      <c r="C8" s="34">
        <f>C9+C10+C11</f>
        <v>1482973.96</v>
      </c>
      <c r="D8" s="62"/>
    </row>
    <row r="9" spans="1:8" x14ac:dyDescent="0.2">
      <c r="A9" s="47">
        <v>4</v>
      </c>
      <c r="B9" s="670" t="s">
        <v>575</v>
      </c>
      <c r="C9" s="66">
        <v>0</v>
      </c>
      <c r="D9" s="51"/>
    </row>
    <row r="10" spans="1:8" x14ac:dyDescent="0.2">
      <c r="A10" s="47">
        <v>5</v>
      </c>
      <c r="B10" s="670" t="s">
        <v>576</v>
      </c>
      <c r="C10" s="533">
        <v>101819.99</v>
      </c>
      <c r="D10" s="51" t="s">
        <v>985</v>
      </c>
    </row>
    <row r="11" spans="1:8" ht="318.75" customHeight="1" x14ac:dyDescent="0.2">
      <c r="A11" s="47">
        <v>6</v>
      </c>
      <c r="B11" s="670" t="s">
        <v>577</v>
      </c>
      <c r="C11" s="533">
        <v>1381153.97</v>
      </c>
      <c r="D11" s="51" t="s">
        <v>986</v>
      </c>
    </row>
    <row r="12" spans="1:8" ht="54.75" customHeight="1" x14ac:dyDescent="0.2">
      <c r="A12" s="47">
        <v>7</v>
      </c>
      <c r="B12" s="669" t="s">
        <v>584</v>
      </c>
      <c r="C12" s="533">
        <v>40091.54</v>
      </c>
      <c r="D12" s="51" t="s">
        <v>987</v>
      </c>
      <c r="E12" s="9" t="s">
        <v>988</v>
      </c>
    </row>
    <row r="13" spans="1:8" x14ac:dyDescent="0.2">
      <c r="A13" s="47">
        <v>8</v>
      </c>
      <c r="B13" s="671" t="s">
        <v>578</v>
      </c>
      <c r="C13" s="66">
        <v>0</v>
      </c>
      <c r="D13" s="51"/>
    </row>
    <row r="14" spans="1:8" x14ac:dyDescent="0.2">
      <c r="A14" s="47">
        <v>9</v>
      </c>
      <c r="B14" s="671" t="s">
        <v>579</v>
      </c>
      <c r="C14" s="66">
        <v>0</v>
      </c>
      <c r="D14" s="51"/>
    </row>
    <row r="15" spans="1:8" ht="85.5" customHeight="1" x14ac:dyDescent="0.2">
      <c r="A15" s="47">
        <v>10</v>
      </c>
      <c r="B15" s="671" t="s">
        <v>580</v>
      </c>
      <c r="C15" s="66">
        <v>0</v>
      </c>
      <c r="D15" s="51" t="s">
        <v>989</v>
      </c>
    </row>
    <row r="16" spans="1:8" ht="31.5" x14ac:dyDescent="0.2">
      <c r="A16" s="47">
        <v>11</v>
      </c>
      <c r="B16" s="671" t="s">
        <v>581</v>
      </c>
      <c r="C16" s="66">
        <v>0</v>
      </c>
      <c r="D16" s="62"/>
    </row>
    <row r="17" spans="1:5" x14ac:dyDescent="0.2">
      <c r="A17" s="47">
        <v>12</v>
      </c>
      <c r="B17" s="671" t="s">
        <v>582</v>
      </c>
      <c r="C17" s="66">
        <v>0</v>
      </c>
      <c r="D17" s="62"/>
    </row>
    <row r="18" spans="1:5" ht="118.5" customHeight="1" x14ac:dyDescent="0.2">
      <c r="A18" s="47">
        <v>13</v>
      </c>
      <c r="B18" s="671" t="s">
        <v>585</v>
      </c>
      <c r="C18" s="533">
        <v>155261.28</v>
      </c>
      <c r="D18" s="51" t="s">
        <v>990</v>
      </c>
    </row>
    <row r="19" spans="1:5" ht="111.75" customHeight="1" x14ac:dyDescent="0.2">
      <c r="A19" s="47">
        <v>14</v>
      </c>
      <c r="B19" s="669" t="s">
        <v>586</v>
      </c>
      <c r="C19" s="533">
        <v>569166.94999999995</v>
      </c>
      <c r="D19" s="51" t="s">
        <v>991</v>
      </c>
    </row>
    <row r="20" spans="1:5" x14ac:dyDescent="0.2">
      <c r="A20" s="47">
        <v>15</v>
      </c>
      <c r="B20" s="9" t="s">
        <v>587</v>
      </c>
      <c r="C20" s="66">
        <v>0</v>
      </c>
      <c r="D20" s="51"/>
    </row>
    <row r="21" spans="1:5" x14ac:dyDescent="0.2">
      <c r="A21" s="47">
        <v>16</v>
      </c>
      <c r="B21" s="669" t="s">
        <v>588</v>
      </c>
      <c r="C21" s="66">
        <v>0</v>
      </c>
      <c r="D21" s="51" t="s">
        <v>992</v>
      </c>
    </row>
    <row r="22" spans="1:5" ht="386.25" customHeight="1" x14ac:dyDescent="0.2">
      <c r="A22" s="47">
        <v>17</v>
      </c>
      <c r="B22" s="669" t="s">
        <v>590</v>
      </c>
      <c r="C22" s="672">
        <v>10826027.67</v>
      </c>
      <c r="D22" s="63" t="s">
        <v>993</v>
      </c>
      <c r="E22" s="9" t="s">
        <v>994</v>
      </c>
    </row>
    <row r="23" spans="1:5" x14ac:dyDescent="0.2">
      <c r="A23" s="205">
        <v>18</v>
      </c>
      <c r="B23" s="460" t="s">
        <v>589</v>
      </c>
      <c r="C23" s="79"/>
      <c r="D23" s="63"/>
    </row>
    <row r="24" spans="1:5" ht="78.75" x14ac:dyDescent="0.2">
      <c r="A24" s="205">
        <v>19</v>
      </c>
      <c r="B24" s="673" t="s">
        <v>474</v>
      </c>
      <c r="C24" s="79">
        <v>108.25</v>
      </c>
      <c r="D24" s="63"/>
      <c r="E24" s="9" t="s">
        <v>995</v>
      </c>
    </row>
    <row r="25" spans="1:5" ht="32.25" thickBot="1" x14ac:dyDescent="0.25">
      <c r="A25" s="48">
        <v>20</v>
      </c>
      <c r="B25" s="461" t="s">
        <v>592</v>
      </c>
      <c r="C25" s="174">
        <f>+C5+C23+C24</f>
        <v>22743563.439999998</v>
      </c>
      <c r="D25" s="41"/>
    </row>
    <row r="26" spans="1:5" x14ac:dyDescent="0.2">
      <c r="E26" s="9" t="s">
        <v>1065</v>
      </c>
    </row>
  </sheetData>
  <mergeCells count="2">
    <mergeCell ref="A1:D1"/>
    <mergeCell ref="A2:D2"/>
  </mergeCells>
  <printOptions gridLines="1"/>
  <pageMargins left="0.74803149606299213" right="0.74803149606299213" top="0.98425196850393704" bottom="0.79" header="0.51181102362204722" footer="0.51181102362204722"/>
  <pageSetup paperSize="9" scale="2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Q37"/>
  <sheetViews>
    <sheetView zoomScaleNormal="100" workbookViewId="0">
      <pane xSplit="2" ySplit="5" topLeftCell="C24" activePane="bottomRight" state="frozen"/>
      <selection pane="topRight" activeCell="C1" sqref="C1"/>
      <selection pane="bottomLeft" activeCell="A6" sqref="A6"/>
      <selection pane="bottomRight" activeCell="H44" sqref="H44"/>
    </sheetView>
  </sheetViews>
  <sheetFormatPr defaultColWidth="9.140625" defaultRowHeight="15.75" x14ac:dyDescent="0.2"/>
  <cols>
    <col min="1" max="1" width="7.7109375" style="14" customWidth="1"/>
    <col min="2" max="2" width="47.5703125" style="15" customWidth="1"/>
    <col min="3" max="3" width="17.85546875" style="16" customWidth="1"/>
    <col min="4" max="4" width="16.85546875" style="16" customWidth="1"/>
    <col min="5" max="5" width="17.140625" style="16" customWidth="1"/>
    <col min="6" max="6" width="18.140625" style="16" customWidth="1"/>
    <col min="7" max="7" width="17.42578125" style="16" customWidth="1"/>
    <col min="8" max="8" width="17" style="16" customWidth="1"/>
    <col min="9" max="9" width="9.140625" style="16"/>
    <col min="10" max="10" width="11.5703125" style="16" customWidth="1"/>
    <col min="11" max="11" width="14.28515625" style="16" customWidth="1"/>
    <col min="12" max="12" width="12.28515625" style="16" customWidth="1"/>
    <col min="13" max="13" width="13.85546875" style="16" customWidth="1"/>
    <col min="14" max="14" width="13.28515625" style="16" customWidth="1"/>
    <col min="15" max="15" width="16.140625" style="16" customWidth="1"/>
    <col min="16" max="16" width="13.5703125" style="16" customWidth="1"/>
    <col min="17" max="16384" width="9.140625" style="16"/>
  </cols>
  <sheetData>
    <row r="1" spans="1:17" s="378" customFormat="1" ht="50.1" customHeight="1" thickBot="1" x14ac:dyDescent="0.25">
      <c r="A1" s="965" t="s">
        <v>879</v>
      </c>
      <c r="B1" s="966"/>
      <c r="C1" s="966"/>
      <c r="D1" s="966"/>
      <c r="E1" s="966"/>
      <c r="F1" s="966"/>
      <c r="G1" s="966"/>
      <c r="H1" s="967"/>
    </row>
    <row r="2" spans="1:17" s="378" customFormat="1" ht="35.1" customHeight="1" x14ac:dyDescent="0.2">
      <c r="A2" s="813" t="s">
        <v>1057</v>
      </c>
      <c r="B2" s="814"/>
      <c r="C2" s="814"/>
      <c r="D2" s="814"/>
      <c r="E2" s="814"/>
      <c r="F2" s="814"/>
      <c r="G2" s="814"/>
      <c r="H2" s="815"/>
    </row>
    <row r="3" spans="1:17" s="374" customFormat="1" ht="27" customHeight="1" x14ac:dyDescent="0.2">
      <c r="A3" s="895" t="s">
        <v>80</v>
      </c>
      <c r="B3" s="809" t="s">
        <v>153</v>
      </c>
      <c r="C3" s="809" t="s">
        <v>134</v>
      </c>
      <c r="D3" s="809"/>
      <c r="E3" s="809" t="s">
        <v>135</v>
      </c>
      <c r="F3" s="809"/>
      <c r="G3" s="974" t="s">
        <v>84</v>
      </c>
      <c r="H3" s="975"/>
    </row>
    <row r="4" spans="1:17" s="374" customFormat="1" ht="33" customHeight="1" x14ac:dyDescent="0.2">
      <c r="A4" s="807"/>
      <c r="B4" s="849"/>
      <c r="C4" s="237" t="s">
        <v>25</v>
      </c>
      <c r="D4" s="237" t="s">
        <v>73</v>
      </c>
      <c r="E4" s="237" t="s">
        <v>25</v>
      </c>
      <c r="F4" s="237" t="s">
        <v>73</v>
      </c>
      <c r="G4" s="237" t="s">
        <v>25</v>
      </c>
      <c r="H4" s="261" t="s">
        <v>73</v>
      </c>
    </row>
    <row r="5" spans="1:17" s="374" customFormat="1" ht="15.75" customHeight="1" x14ac:dyDescent="0.2">
      <c r="A5" s="253"/>
      <c r="B5" s="237"/>
      <c r="C5" s="323" t="s">
        <v>119</v>
      </c>
      <c r="D5" s="323" t="s">
        <v>120</v>
      </c>
      <c r="E5" s="323" t="s">
        <v>121</v>
      </c>
      <c r="F5" s="323" t="s">
        <v>127</v>
      </c>
      <c r="G5" s="323" t="s">
        <v>11</v>
      </c>
      <c r="H5" s="328" t="s">
        <v>12</v>
      </c>
    </row>
    <row r="6" spans="1:17" ht="18" customHeight="1" x14ac:dyDescent="0.2">
      <c r="A6" s="135">
        <v>1</v>
      </c>
      <c r="B6" s="367" t="s">
        <v>565</v>
      </c>
      <c r="C6" s="654">
        <f>C7</f>
        <v>0</v>
      </c>
      <c r="D6" s="654">
        <f>D8</f>
        <v>0</v>
      </c>
      <c r="E6" s="654">
        <f>E7</f>
        <v>0</v>
      </c>
      <c r="F6" s="654">
        <f>F8</f>
        <v>0</v>
      </c>
      <c r="G6" s="654">
        <f>C6+E6</f>
        <v>0</v>
      </c>
      <c r="H6" s="655">
        <f>D6+F6</f>
        <v>0</v>
      </c>
      <c r="J6" s="185"/>
    </row>
    <row r="7" spans="1:17" ht="18" customHeight="1" x14ac:dyDescent="0.2">
      <c r="A7" s="135">
        <v>2</v>
      </c>
      <c r="B7" s="366" t="s">
        <v>594</v>
      </c>
      <c r="C7" s="674"/>
      <c r="D7" s="656" t="s">
        <v>496</v>
      </c>
      <c r="E7" s="674"/>
      <c r="F7" s="656" t="s">
        <v>496</v>
      </c>
      <c r="G7" s="675">
        <f>C7+E7</f>
        <v>0</v>
      </c>
      <c r="H7" s="657" t="s">
        <v>496</v>
      </c>
      <c r="J7" s="185"/>
    </row>
    <row r="8" spans="1:17" ht="18" customHeight="1" x14ac:dyDescent="0.2">
      <c r="A8" s="135">
        <f>A7+1</f>
        <v>3</v>
      </c>
      <c r="B8" s="366" t="s">
        <v>595</v>
      </c>
      <c r="C8" s="656" t="s">
        <v>496</v>
      </c>
      <c r="D8" s="674"/>
      <c r="E8" s="656" t="s">
        <v>496</v>
      </c>
      <c r="F8" s="674"/>
      <c r="G8" s="676" t="s">
        <v>496</v>
      </c>
      <c r="H8" s="653">
        <f>D8+F8</f>
        <v>0</v>
      </c>
      <c r="I8" s="185"/>
      <c r="J8" s="185"/>
    </row>
    <row r="9" spans="1:17" ht="18" customHeight="1" x14ac:dyDescent="0.2">
      <c r="A9" s="135">
        <f>A8+1</f>
        <v>4</v>
      </c>
      <c r="B9" s="367" t="s">
        <v>566</v>
      </c>
      <c r="C9" s="654">
        <f>SUM(C10:C11)</f>
        <v>0</v>
      </c>
      <c r="D9" s="654">
        <f>SUM(D10:D11)</f>
        <v>0</v>
      </c>
      <c r="E9" s="654">
        <f>SUM(E10:E11)</f>
        <v>0</v>
      </c>
      <c r="F9" s="654">
        <f>SUM(F10:F11)</f>
        <v>0</v>
      </c>
      <c r="G9" s="654">
        <f>C9+E9</f>
        <v>0</v>
      </c>
      <c r="H9" s="655">
        <f>D9+F9</f>
        <v>0</v>
      </c>
      <c r="I9" s="185"/>
      <c r="J9" s="185"/>
    </row>
    <row r="10" spans="1:17" ht="18" customHeight="1" x14ac:dyDescent="0.2">
      <c r="A10" s="135">
        <f>A9+1</f>
        <v>5</v>
      </c>
      <c r="B10" s="366" t="s">
        <v>596</v>
      </c>
      <c r="C10" s="674"/>
      <c r="D10" s="656" t="s">
        <v>496</v>
      </c>
      <c r="E10" s="674"/>
      <c r="F10" s="656" t="s">
        <v>496</v>
      </c>
      <c r="G10" s="675">
        <f>C10+E10</f>
        <v>0</v>
      </c>
      <c r="H10" s="657" t="s">
        <v>496</v>
      </c>
      <c r="I10" s="185"/>
      <c r="J10" s="487"/>
      <c r="K10" s="13" t="s">
        <v>1001</v>
      </c>
      <c r="L10" s="13" t="s">
        <v>1001</v>
      </c>
      <c r="M10" s="13" t="s">
        <v>1002</v>
      </c>
      <c r="N10" s="13" t="s">
        <v>1002</v>
      </c>
      <c r="O10" s="13" t="s">
        <v>1003</v>
      </c>
      <c r="P10" s="13"/>
      <c r="Q10" s="13"/>
    </row>
    <row r="11" spans="1:17" ht="18" customHeight="1" x14ac:dyDescent="0.2">
      <c r="A11" s="135">
        <f>A10+1</f>
        <v>6</v>
      </c>
      <c r="B11" s="366" t="s">
        <v>597</v>
      </c>
      <c r="C11" s="656" t="s">
        <v>496</v>
      </c>
      <c r="D11" s="674"/>
      <c r="E11" s="656" t="s">
        <v>496</v>
      </c>
      <c r="F11" s="674"/>
      <c r="G11" s="676" t="s">
        <v>496</v>
      </c>
      <c r="H11" s="653">
        <f>D11+F11</f>
        <v>0</v>
      </c>
      <c r="I11" s="185"/>
      <c r="J11" s="487"/>
      <c r="K11" s="13" t="s">
        <v>1004</v>
      </c>
      <c r="L11" s="13" t="s">
        <v>1005</v>
      </c>
      <c r="M11" s="13" t="s">
        <v>1004</v>
      </c>
      <c r="N11" s="13" t="s">
        <v>1006</v>
      </c>
      <c r="O11" s="13" t="s">
        <v>1004</v>
      </c>
      <c r="P11" s="13" t="s">
        <v>1007</v>
      </c>
      <c r="Q11" s="13"/>
    </row>
    <row r="12" spans="1:17" ht="18" customHeight="1" x14ac:dyDescent="0.2">
      <c r="A12" s="135">
        <v>7</v>
      </c>
      <c r="B12" s="367" t="s">
        <v>544</v>
      </c>
      <c r="C12" s="654">
        <f>SUM(C13:C14)</f>
        <v>5336271.6900000004</v>
      </c>
      <c r="D12" s="654">
        <f>SUM(D13:D14)</f>
        <v>587253.36</v>
      </c>
      <c r="E12" s="654">
        <f>SUM(E13:E14)</f>
        <v>5113012.21</v>
      </c>
      <c r="F12" s="654">
        <f>SUM(F13:F14)</f>
        <v>601530.84</v>
      </c>
      <c r="G12" s="654">
        <f>C12+E12</f>
        <v>10449283.9</v>
      </c>
      <c r="H12" s="655">
        <f>D12+F12</f>
        <v>1188784.2</v>
      </c>
      <c r="I12" s="185"/>
      <c r="J12" s="487"/>
      <c r="K12" s="683" t="s">
        <v>1008</v>
      </c>
      <c r="L12" s="684" t="s">
        <v>1009</v>
      </c>
      <c r="M12" s="683" t="s">
        <v>1008</v>
      </c>
      <c r="N12" s="684" t="s">
        <v>1009</v>
      </c>
      <c r="O12" s="711" t="s">
        <v>1008</v>
      </c>
      <c r="P12" s="712" t="s">
        <v>1009</v>
      </c>
      <c r="Q12" s="13"/>
    </row>
    <row r="13" spans="1:17" ht="18" customHeight="1" x14ac:dyDescent="0.2">
      <c r="A13" s="135">
        <v>8</v>
      </c>
      <c r="B13" s="692" t="s">
        <v>546</v>
      </c>
      <c r="C13" s="656">
        <v>5336271.6900000004</v>
      </c>
      <c r="D13" s="656" t="s">
        <v>496</v>
      </c>
      <c r="E13" s="656">
        <v>5113012.21</v>
      </c>
      <c r="F13" s="656" t="s">
        <v>496</v>
      </c>
      <c r="G13" s="675">
        <f>C13+E13</f>
        <v>10449283.9</v>
      </c>
      <c r="H13" s="657" t="s">
        <v>496</v>
      </c>
      <c r="I13" s="185"/>
      <c r="J13" s="685" t="s">
        <v>1010</v>
      </c>
      <c r="K13" s="686">
        <v>5336271.6900000004</v>
      </c>
      <c r="L13" s="687">
        <v>587253.36</v>
      </c>
      <c r="M13" s="686">
        <v>5113012.21</v>
      </c>
      <c r="N13" s="687">
        <v>601530.84</v>
      </c>
      <c r="O13" s="688">
        <f>K13+M13</f>
        <v>10449283.9</v>
      </c>
      <c r="P13" s="689">
        <f>L13+N13</f>
        <v>1188784.2</v>
      </c>
      <c r="Q13" s="13"/>
    </row>
    <row r="14" spans="1:17" ht="18" customHeight="1" x14ac:dyDescent="0.2">
      <c r="A14" s="135">
        <v>9</v>
      </c>
      <c r="B14" s="693" t="s">
        <v>547</v>
      </c>
      <c r="C14" s="656" t="s">
        <v>496</v>
      </c>
      <c r="D14" s="674">
        <v>587253.36</v>
      </c>
      <c r="E14" s="656" t="s">
        <v>496</v>
      </c>
      <c r="F14" s="674">
        <v>601530.84</v>
      </c>
      <c r="G14" s="676" t="s">
        <v>496</v>
      </c>
      <c r="H14" s="653">
        <f>D14+F14</f>
        <v>1188784.2</v>
      </c>
      <c r="I14" s="185"/>
      <c r="J14" s="685" t="s">
        <v>1011</v>
      </c>
      <c r="K14" s="686">
        <v>73633.08</v>
      </c>
      <c r="L14" s="687">
        <v>8662.7099999999991</v>
      </c>
      <c r="M14" s="686">
        <v>0</v>
      </c>
      <c r="N14" s="687">
        <v>0</v>
      </c>
      <c r="O14" s="688">
        <f t="shared" ref="O14:P15" si="0">K14+M14</f>
        <v>73633.08</v>
      </c>
      <c r="P14" s="689">
        <f t="shared" si="0"/>
        <v>8662.7099999999991</v>
      </c>
      <c r="Q14" s="13"/>
    </row>
    <row r="15" spans="1:17" ht="39" customHeight="1" x14ac:dyDescent="0.2">
      <c r="A15" s="135">
        <v>10</v>
      </c>
      <c r="B15" s="368" t="s">
        <v>545</v>
      </c>
      <c r="C15" s="654">
        <f>SUM(C16:C17)</f>
        <v>44021.89</v>
      </c>
      <c r="D15" s="654">
        <f>SUM(D16:D17)</f>
        <v>5743.5</v>
      </c>
      <c r="E15" s="654">
        <f>SUM(E16:E17)</f>
        <v>0</v>
      </c>
      <c r="F15" s="654">
        <f>SUM(F16:F17)</f>
        <v>0</v>
      </c>
      <c r="G15" s="654">
        <f>C15+E15</f>
        <v>44021.89</v>
      </c>
      <c r="H15" s="655">
        <f>D15+F15</f>
        <v>5743.5</v>
      </c>
      <c r="I15" s="185"/>
      <c r="J15" s="690" t="s">
        <v>1012</v>
      </c>
      <c r="K15" s="691">
        <f>SUM(K13:K14)</f>
        <v>5409904.7700000005</v>
      </c>
      <c r="L15" s="691">
        <f>SUM(L13:L14)</f>
        <v>595916.06999999995</v>
      </c>
      <c r="M15" s="691">
        <f>SUM(M13:M14)</f>
        <v>5113012.21</v>
      </c>
      <c r="N15" s="691">
        <f>SUM(N13:N14)</f>
        <v>601530.84</v>
      </c>
      <c r="O15" s="688">
        <f t="shared" si="0"/>
        <v>10522916.98</v>
      </c>
      <c r="P15" s="689">
        <f t="shared" si="0"/>
        <v>1197446.9099999999</v>
      </c>
      <c r="Q15" s="13"/>
    </row>
    <row r="16" spans="1:17" ht="18" customHeight="1" x14ac:dyDescent="0.2">
      <c r="A16" s="135">
        <v>11</v>
      </c>
      <c r="B16" s="369" t="s">
        <v>598</v>
      </c>
      <c r="C16" s="656">
        <v>44021.89</v>
      </c>
      <c r="D16" s="656" t="s">
        <v>496</v>
      </c>
      <c r="E16" s="656"/>
      <c r="F16" s="656" t="s">
        <v>496</v>
      </c>
      <c r="G16" s="675">
        <f>C16+E16</f>
        <v>44021.89</v>
      </c>
      <c r="H16" s="657" t="s">
        <v>496</v>
      </c>
      <c r="I16" s="185"/>
      <c r="J16" s="185"/>
    </row>
    <row r="17" spans="1:14" ht="18" customHeight="1" x14ac:dyDescent="0.2">
      <c r="A17" s="135">
        <v>12</v>
      </c>
      <c r="B17" s="369" t="s">
        <v>764</v>
      </c>
      <c r="C17" s="656" t="s">
        <v>496</v>
      </c>
      <c r="D17" s="674">
        <v>5743.5</v>
      </c>
      <c r="E17" s="656" t="s">
        <v>496</v>
      </c>
      <c r="F17" s="674"/>
      <c r="G17" s="676" t="s">
        <v>496</v>
      </c>
      <c r="H17" s="653">
        <f>D17+F17</f>
        <v>5743.5</v>
      </c>
      <c r="I17" s="185"/>
      <c r="J17" s="185"/>
      <c r="M17" s="16">
        <v>195344.62</v>
      </c>
      <c r="N17" s="16">
        <v>36733.72</v>
      </c>
    </row>
    <row r="18" spans="1:14" ht="44.25" customHeight="1" x14ac:dyDescent="0.2">
      <c r="A18" s="135">
        <v>13</v>
      </c>
      <c r="B18" s="367" t="s">
        <v>607</v>
      </c>
      <c r="C18" s="654">
        <f>C6+C9+C12+C15</f>
        <v>5380293.5800000001</v>
      </c>
      <c r="D18" s="654">
        <f>D6+D9+D12+D15</f>
        <v>592996.86</v>
      </c>
      <c r="E18" s="654">
        <f>E6+E9+E12+E15</f>
        <v>5113012.21</v>
      </c>
      <c r="F18" s="654">
        <f>F6+F9+F12+F15</f>
        <v>601530.84</v>
      </c>
      <c r="G18" s="654">
        <f>C18+E18</f>
        <v>10493305.789999999</v>
      </c>
      <c r="H18" s="655">
        <f>D18+F18</f>
        <v>1194527.7</v>
      </c>
      <c r="I18" s="185"/>
      <c r="J18" s="185"/>
      <c r="M18" s="16">
        <v>4917667.59</v>
      </c>
      <c r="N18" s="16">
        <v>564797.12</v>
      </c>
    </row>
    <row r="19" spans="1:14" ht="45" customHeight="1" x14ac:dyDescent="0.2">
      <c r="A19" s="135">
        <v>14</v>
      </c>
      <c r="B19" s="367" t="s">
        <v>606</v>
      </c>
      <c r="C19" s="654">
        <f>C20+C23+C26</f>
        <v>73633.08</v>
      </c>
      <c r="D19" s="654">
        <f>D20+D23+D26</f>
        <v>9556.2999999999993</v>
      </c>
      <c r="E19" s="654">
        <f>E20+E23+E26</f>
        <v>100031.39</v>
      </c>
      <c r="F19" s="654">
        <f>F20+F23+F26</f>
        <v>0</v>
      </c>
      <c r="G19" s="654">
        <f>C19+E19</f>
        <v>173664.47</v>
      </c>
      <c r="H19" s="655">
        <f>D19+F19</f>
        <v>9556.2999999999993</v>
      </c>
      <c r="I19" s="185"/>
      <c r="J19" s="185"/>
      <c r="M19" s="16">
        <f>SUM(M17:M18)</f>
        <v>5113012.21</v>
      </c>
      <c r="N19" s="16">
        <f>SUM(N17:N18)</f>
        <v>601530.84</v>
      </c>
    </row>
    <row r="20" spans="1:14" ht="18" customHeight="1" x14ac:dyDescent="0.2">
      <c r="A20" s="135">
        <v>15</v>
      </c>
      <c r="B20" s="368" t="s">
        <v>593</v>
      </c>
      <c r="C20" s="654">
        <f t="shared" ref="C20:H20" si="1">SUM(C21:C22)</f>
        <v>0</v>
      </c>
      <c r="D20" s="654">
        <f t="shared" si="1"/>
        <v>0</v>
      </c>
      <c r="E20" s="654">
        <f t="shared" si="1"/>
        <v>0</v>
      </c>
      <c r="F20" s="654">
        <f t="shared" si="1"/>
        <v>0</v>
      </c>
      <c r="G20" s="654">
        <f t="shared" si="1"/>
        <v>0</v>
      </c>
      <c r="H20" s="655">
        <f t="shared" si="1"/>
        <v>0</v>
      </c>
      <c r="I20" s="185"/>
      <c r="J20" s="185"/>
    </row>
    <row r="21" spans="1:14" ht="18" customHeight="1" x14ac:dyDescent="0.2">
      <c r="A21" s="135">
        <v>16</v>
      </c>
      <c r="B21" s="369" t="s">
        <v>599</v>
      </c>
      <c r="C21" s="652"/>
      <c r="D21" s="656" t="s">
        <v>496</v>
      </c>
      <c r="E21" s="652"/>
      <c r="F21" s="656" t="s">
        <v>496</v>
      </c>
      <c r="G21" s="675">
        <f>C21+E21</f>
        <v>0</v>
      </c>
      <c r="H21" s="657" t="s">
        <v>496</v>
      </c>
      <c r="I21" s="185"/>
      <c r="J21" s="185"/>
    </row>
    <row r="22" spans="1:14" ht="18" customHeight="1" x14ac:dyDescent="0.2">
      <c r="A22" s="135">
        <v>17</v>
      </c>
      <c r="B22" s="369" t="s">
        <v>600</v>
      </c>
      <c r="C22" s="656" t="s">
        <v>496</v>
      </c>
      <c r="D22" s="652"/>
      <c r="E22" s="656" t="s">
        <v>496</v>
      </c>
      <c r="F22" s="652"/>
      <c r="G22" s="676" t="s">
        <v>496</v>
      </c>
      <c r="H22" s="653">
        <f>D22+F22</f>
        <v>0</v>
      </c>
      <c r="I22" s="185"/>
      <c r="J22" s="185"/>
    </row>
    <row r="23" spans="1:14" ht="18" customHeight="1" x14ac:dyDescent="0.2">
      <c r="A23" s="135">
        <v>18</v>
      </c>
      <c r="B23" s="370" t="s">
        <v>601</v>
      </c>
      <c r="C23" s="654">
        <f t="shared" ref="C23:H23" si="2">SUM(C24:C25)</f>
        <v>0</v>
      </c>
      <c r="D23" s="654">
        <f t="shared" si="2"/>
        <v>0</v>
      </c>
      <c r="E23" s="654">
        <f t="shared" si="2"/>
        <v>0</v>
      </c>
      <c r="F23" s="654">
        <f t="shared" si="2"/>
        <v>0</v>
      </c>
      <c r="G23" s="654">
        <f t="shared" si="2"/>
        <v>0</v>
      </c>
      <c r="H23" s="655">
        <f t="shared" si="2"/>
        <v>0</v>
      </c>
      <c r="I23" s="185"/>
      <c r="J23" s="185"/>
    </row>
    <row r="24" spans="1:14" ht="18" customHeight="1" x14ac:dyDescent="0.2">
      <c r="A24" s="186">
        <v>19</v>
      </c>
      <c r="B24" s="369" t="s">
        <v>602</v>
      </c>
      <c r="C24" s="652">
        <v>0</v>
      </c>
      <c r="D24" s="656" t="s">
        <v>496</v>
      </c>
      <c r="E24" s="652">
        <v>0</v>
      </c>
      <c r="F24" s="656" t="s">
        <v>496</v>
      </c>
      <c r="G24" s="675"/>
      <c r="H24" s="657" t="s">
        <v>496</v>
      </c>
      <c r="I24" s="185"/>
      <c r="J24" s="185"/>
    </row>
    <row r="25" spans="1:14" ht="18" customHeight="1" x14ac:dyDescent="0.2">
      <c r="A25" s="135">
        <v>20</v>
      </c>
      <c r="B25" s="369" t="s">
        <v>603</v>
      </c>
      <c r="C25" s="656" t="s">
        <v>496</v>
      </c>
      <c r="D25" s="652"/>
      <c r="E25" s="656" t="s">
        <v>496</v>
      </c>
      <c r="F25" s="652">
        <v>0</v>
      </c>
      <c r="G25" s="676" t="s">
        <v>496</v>
      </c>
      <c r="H25" s="653">
        <f>D25+F25</f>
        <v>0</v>
      </c>
      <c r="I25" s="185"/>
      <c r="J25" s="185"/>
    </row>
    <row r="26" spans="1:14" ht="18" customHeight="1" x14ac:dyDescent="0.2">
      <c r="A26" s="186">
        <v>21</v>
      </c>
      <c r="B26" s="370" t="s">
        <v>604</v>
      </c>
      <c r="C26" s="654">
        <f>SUM(C27:C31)</f>
        <v>73633.08</v>
      </c>
      <c r="D26" s="654">
        <f t="shared" ref="D26:H26" si="3">SUM(D27:D31)</f>
        <v>9556.2999999999993</v>
      </c>
      <c r="E26" s="654">
        <f t="shared" si="3"/>
        <v>100031.39</v>
      </c>
      <c r="F26" s="654">
        <f t="shared" si="3"/>
        <v>0</v>
      </c>
      <c r="G26" s="654">
        <f t="shared" si="3"/>
        <v>173664.47</v>
      </c>
      <c r="H26" s="654">
        <f t="shared" si="3"/>
        <v>9556.2999999999993</v>
      </c>
      <c r="I26" s="185"/>
      <c r="J26" s="185"/>
    </row>
    <row r="27" spans="1:14" ht="18" customHeight="1" x14ac:dyDescent="0.2">
      <c r="A27" s="135">
        <v>22</v>
      </c>
      <c r="B27" s="677" t="s">
        <v>605</v>
      </c>
      <c r="C27" s="652">
        <v>0</v>
      </c>
      <c r="D27" s="656" t="s">
        <v>496</v>
      </c>
      <c r="E27" s="652">
        <v>0</v>
      </c>
      <c r="F27" s="656" t="s">
        <v>496</v>
      </c>
      <c r="G27" s="675">
        <f>C27+E27</f>
        <v>0</v>
      </c>
      <c r="H27" s="657" t="s">
        <v>496</v>
      </c>
      <c r="I27" s="185"/>
      <c r="J27" s="185"/>
    </row>
    <row r="28" spans="1:14" ht="18" customHeight="1" x14ac:dyDescent="0.2">
      <c r="A28" s="186">
        <v>23</v>
      </c>
      <c r="B28" s="678" t="s">
        <v>996</v>
      </c>
      <c r="C28" s="656" t="s">
        <v>496</v>
      </c>
      <c r="D28" s="674">
        <v>893.59</v>
      </c>
      <c r="E28" s="656" t="s">
        <v>496</v>
      </c>
      <c r="F28" s="674">
        <v>0</v>
      </c>
      <c r="G28" s="676" t="s">
        <v>496</v>
      </c>
      <c r="H28" s="653">
        <f>D28+F28</f>
        <v>893.59</v>
      </c>
      <c r="I28" s="185"/>
      <c r="J28" s="185"/>
    </row>
    <row r="29" spans="1:14" ht="18" customHeight="1" x14ac:dyDescent="0.2">
      <c r="A29" s="186" t="s">
        <v>610</v>
      </c>
      <c r="B29" s="677" t="s">
        <v>997</v>
      </c>
      <c r="C29" s="679">
        <v>0</v>
      </c>
      <c r="D29" s="652" t="s">
        <v>496</v>
      </c>
      <c r="E29" s="679">
        <v>100031.39</v>
      </c>
      <c r="F29" s="652" t="s">
        <v>496</v>
      </c>
      <c r="G29" s="652">
        <f>E29+C29</f>
        <v>100031.39</v>
      </c>
      <c r="H29" s="680" t="s">
        <v>496</v>
      </c>
      <c r="I29" s="185"/>
      <c r="J29" s="185"/>
    </row>
    <row r="30" spans="1:14" ht="18" customHeight="1" x14ac:dyDescent="0.2">
      <c r="A30" s="186" t="s">
        <v>611</v>
      </c>
      <c r="B30" s="681" t="s">
        <v>998</v>
      </c>
      <c r="C30" s="679">
        <v>73633.08</v>
      </c>
      <c r="D30" s="652" t="s">
        <v>496</v>
      </c>
      <c r="E30" s="679">
        <v>0</v>
      </c>
      <c r="F30" s="652" t="s">
        <v>496</v>
      </c>
      <c r="G30" s="652">
        <f>C30+E30</f>
        <v>73633.08</v>
      </c>
      <c r="H30" s="680" t="s">
        <v>496</v>
      </c>
      <c r="I30" s="185"/>
      <c r="J30" s="185"/>
    </row>
    <row r="31" spans="1:14" ht="18" customHeight="1" x14ac:dyDescent="0.2">
      <c r="A31" s="186" t="s">
        <v>999</v>
      </c>
      <c r="B31" s="682" t="s">
        <v>1000</v>
      </c>
      <c r="C31" s="679" t="s">
        <v>496</v>
      </c>
      <c r="D31" s="652">
        <v>8662.7099999999991</v>
      </c>
      <c r="E31" s="679" t="s">
        <v>496</v>
      </c>
      <c r="F31" s="652">
        <v>0</v>
      </c>
      <c r="G31" s="652" t="s">
        <v>496</v>
      </c>
      <c r="H31" s="680">
        <f>D31+F31</f>
        <v>8662.7099999999991</v>
      </c>
      <c r="I31" s="185"/>
      <c r="J31" s="185"/>
    </row>
    <row r="32" spans="1:14" ht="18" customHeight="1" x14ac:dyDescent="0.2">
      <c r="A32" s="186"/>
      <c r="B32" s="369"/>
      <c r="C32" s="679"/>
      <c r="D32" s="652"/>
      <c r="E32" s="679"/>
      <c r="F32" s="652"/>
      <c r="G32" s="652"/>
      <c r="H32" s="680"/>
      <c r="I32" s="185"/>
      <c r="J32" s="185"/>
    </row>
    <row r="33" spans="1:10" ht="18" customHeight="1" x14ac:dyDescent="0.2">
      <c r="A33" s="186"/>
      <c r="B33" s="369"/>
      <c r="C33" s="679"/>
      <c r="D33" s="652"/>
      <c r="E33" s="679"/>
      <c r="F33" s="652"/>
      <c r="G33" s="652"/>
      <c r="H33" s="680"/>
      <c r="I33" s="185"/>
      <c r="J33" s="185"/>
    </row>
    <row r="34" spans="1:10" ht="18" customHeight="1" x14ac:dyDescent="0.2">
      <c r="A34" s="186"/>
      <c r="B34" s="369"/>
      <c r="C34" s="652"/>
      <c r="D34" s="652"/>
      <c r="E34" s="652"/>
      <c r="F34" s="652"/>
      <c r="G34" s="652"/>
      <c r="H34" s="680"/>
      <c r="I34" s="185"/>
      <c r="J34" s="185"/>
    </row>
    <row r="35" spans="1:10" ht="18" customHeight="1" thickBot="1" x14ac:dyDescent="0.25">
      <c r="A35" s="136">
        <v>24</v>
      </c>
      <c r="B35" s="371" t="s">
        <v>609</v>
      </c>
      <c r="C35" s="658">
        <f t="shared" ref="C35:H35" si="4">C18+C19</f>
        <v>5453926.6600000001</v>
      </c>
      <c r="D35" s="658">
        <f t="shared" si="4"/>
        <v>602553.16</v>
      </c>
      <c r="E35" s="658">
        <f t="shared" si="4"/>
        <v>5213043.5999999996</v>
      </c>
      <c r="F35" s="658">
        <f t="shared" si="4"/>
        <v>601530.84</v>
      </c>
      <c r="G35" s="658">
        <f t="shared" si="4"/>
        <v>10666970.26</v>
      </c>
      <c r="H35" s="659">
        <f t="shared" si="4"/>
        <v>1204084</v>
      </c>
      <c r="I35" s="185"/>
      <c r="J35" s="185"/>
    </row>
    <row r="36" spans="1:10" ht="31.5" x14ac:dyDescent="0.2">
      <c r="F36" s="717">
        <f>SUM(E35:F35)</f>
        <v>5814574.4399999995</v>
      </c>
      <c r="I36" s="16" t="s">
        <v>1065</v>
      </c>
    </row>
    <row r="37" spans="1:10" x14ac:dyDescent="0.2">
      <c r="A37" s="230" t="s">
        <v>561</v>
      </c>
      <c r="B37" s="231" t="s">
        <v>608</v>
      </c>
      <c r="C37" s="231"/>
      <c r="D37" s="231"/>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6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indexed="42"/>
    <pageSetUpPr fitToPage="1"/>
  </sheetPr>
  <dimension ref="A1:H24"/>
  <sheetViews>
    <sheetView zoomScaleNormal="100" workbookViewId="0">
      <pane xSplit="2" ySplit="4" topLeftCell="C5" activePane="bottomRight" state="frozen"/>
      <selection pane="topRight" activeCell="C1" sqref="C1"/>
      <selection pane="bottomLeft" activeCell="A5" sqref="A5"/>
      <selection pane="bottomRight" activeCell="F20" sqref="F20"/>
    </sheetView>
  </sheetViews>
  <sheetFormatPr defaultColWidth="9.140625" defaultRowHeight="15.75" x14ac:dyDescent="0.25"/>
  <cols>
    <col min="1" max="1" width="9.5703125" style="3" customWidth="1"/>
    <col min="2" max="2" width="58.42578125" style="1" customWidth="1"/>
    <col min="3" max="3" width="22.140625" style="13" customWidth="1"/>
    <col min="4" max="4" width="21.140625" style="13" customWidth="1"/>
    <col min="5" max="5" width="24.140625" style="13" customWidth="1"/>
    <col min="6" max="16384" width="9.140625" style="1"/>
  </cols>
  <sheetData>
    <row r="1" spans="1:8" s="259" customFormat="1" ht="80.25" customHeight="1" thickBot="1" x14ac:dyDescent="0.3">
      <c r="A1" s="976" t="s">
        <v>835</v>
      </c>
      <c r="B1" s="977"/>
      <c r="C1" s="977"/>
      <c r="D1" s="977"/>
      <c r="E1" s="978"/>
      <c r="F1" s="379"/>
    </row>
    <row r="2" spans="1:8" s="259" customFormat="1" ht="35.1" customHeight="1" x14ac:dyDescent="0.25">
      <c r="A2" s="789" t="s">
        <v>1062</v>
      </c>
      <c r="B2" s="790"/>
      <c r="C2" s="790"/>
      <c r="D2" s="790"/>
      <c r="E2" s="791"/>
      <c r="F2" s="379"/>
    </row>
    <row r="3" spans="1:8" s="260" customFormat="1" ht="46.9" customHeight="1" x14ac:dyDescent="0.25">
      <c r="A3" s="253" t="s">
        <v>80</v>
      </c>
      <c r="B3" s="237" t="s">
        <v>153</v>
      </c>
      <c r="C3" s="237" t="s">
        <v>134</v>
      </c>
      <c r="D3" s="237" t="s">
        <v>135</v>
      </c>
      <c r="E3" s="261" t="s">
        <v>81</v>
      </c>
    </row>
    <row r="4" spans="1:8" s="260" customFormat="1" ht="16.5" customHeight="1" x14ac:dyDescent="0.25">
      <c r="A4" s="253"/>
      <c r="B4" s="237"/>
      <c r="C4" s="237" t="s">
        <v>119</v>
      </c>
      <c r="D4" s="237" t="s">
        <v>120</v>
      </c>
      <c r="E4" s="261" t="s">
        <v>8</v>
      </c>
    </row>
    <row r="5" spans="1:8" s="8" customFormat="1" ht="17.45" customHeight="1" x14ac:dyDescent="0.25">
      <c r="A5" s="162"/>
      <c r="B5" s="380" t="s">
        <v>174</v>
      </c>
      <c r="C5" s="36"/>
      <c r="D5" s="36"/>
      <c r="E5" s="56"/>
    </row>
    <row r="6" spans="1:8" s="8" customFormat="1" ht="17.45" customHeight="1" x14ac:dyDescent="0.25">
      <c r="A6" s="55">
        <v>1</v>
      </c>
      <c r="B6" s="238" t="s">
        <v>197</v>
      </c>
      <c r="C6" s="694">
        <f>SUM(C7:C10)</f>
        <v>1997299.05</v>
      </c>
      <c r="D6" s="26">
        <f>SUM(D7:D10)</f>
        <v>0</v>
      </c>
      <c r="E6" s="695">
        <f>C6+D6</f>
        <v>1997299.05</v>
      </c>
    </row>
    <row r="7" spans="1:8" s="13" customFormat="1" x14ac:dyDescent="0.2">
      <c r="A7" s="19">
        <f>A6+1</f>
        <v>2</v>
      </c>
      <c r="B7" s="377" t="s">
        <v>47</v>
      </c>
      <c r="C7" s="530">
        <v>1967299.05</v>
      </c>
      <c r="D7" s="66">
        <v>0</v>
      </c>
      <c r="E7" s="695">
        <f>C7+D7</f>
        <v>1967299.05</v>
      </c>
      <c r="F7" s="13" t="s">
        <v>1081</v>
      </c>
    </row>
    <row r="8" spans="1:8" s="13" customFormat="1" x14ac:dyDescent="0.2">
      <c r="A8" s="19">
        <f>A7+1</f>
        <v>3</v>
      </c>
      <c r="B8" s="377" t="s">
        <v>195</v>
      </c>
      <c r="C8" s="28">
        <v>30000</v>
      </c>
      <c r="D8" s="28">
        <v>0</v>
      </c>
      <c r="E8" s="27">
        <f t="shared" ref="E8:E16" si="0">C8+D8</f>
        <v>30000</v>
      </c>
      <c r="F8" s="164" t="s">
        <v>1081</v>
      </c>
    </row>
    <row r="9" spans="1:8" s="13" customFormat="1" x14ac:dyDescent="0.2">
      <c r="A9" s="19">
        <f>A8+1</f>
        <v>4</v>
      </c>
      <c r="B9" s="377"/>
      <c r="C9" s="28"/>
      <c r="D9" s="28"/>
      <c r="E9" s="27"/>
    </row>
    <row r="10" spans="1:8" s="13" customFormat="1" x14ac:dyDescent="0.2">
      <c r="A10" s="19">
        <f>A9+1</f>
        <v>5</v>
      </c>
      <c r="B10" s="377"/>
      <c r="C10" s="28"/>
      <c r="D10" s="28"/>
      <c r="E10" s="27">
        <f t="shared" si="0"/>
        <v>0</v>
      </c>
    </row>
    <row r="11" spans="1:8" s="13" customFormat="1" ht="31.5" x14ac:dyDescent="0.2">
      <c r="A11" s="23"/>
      <c r="B11" s="380" t="s">
        <v>473</v>
      </c>
      <c r="C11" s="696"/>
      <c r="D11" s="696"/>
      <c r="E11" s="697"/>
    </row>
    <row r="12" spans="1:8" x14ac:dyDescent="0.25">
      <c r="A12" s="23">
        <v>6</v>
      </c>
      <c r="B12" s="377" t="s">
        <v>2</v>
      </c>
      <c r="C12" s="67">
        <v>1749</v>
      </c>
      <c r="D12" s="67">
        <v>0</v>
      </c>
      <c r="E12" s="27">
        <f t="shared" si="0"/>
        <v>1749</v>
      </c>
      <c r="F12" s="1" t="s">
        <v>1081</v>
      </c>
    </row>
    <row r="13" spans="1:8" x14ac:dyDescent="0.25">
      <c r="A13" s="23">
        <v>7</v>
      </c>
      <c r="B13" s="377" t="s">
        <v>3</v>
      </c>
      <c r="C13" s="28">
        <v>11350</v>
      </c>
      <c r="D13" s="28">
        <v>0</v>
      </c>
      <c r="E13" s="27">
        <f t="shared" si="0"/>
        <v>11350</v>
      </c>
      <c r="F13" s="1" t="s">
        <v>1081</v>
      </c>
    </row>
    <row r="14" spans="1:8" s="24" customFormat="1" x14ac:dyDescent="0.25">
      <c r="A14" s="23"/>
      <c r="B14" s="247"/>
      <c r="C14" s="698"/>
      <c r="D14" s="698"/>
      <c r="E14" s="697"/>
    </row>
    <row r="15" spans="1:8" x14ac:dyDescent="0.25">
      <c r="A15" s="23">
        <v>8</v>
      </c>
      <c r="B15" s="247" t="s">
        <v>198</v>
      </c>
      <c r="C15" s="68">
        <f>SUM(C16:C17)</f>
        <v>0</v>
      </c>
      <c r="D15" s="68">
        <f>SUM(D16:D17)</f>
        <v>0</v>
      </c>
      <c r="E15" s="27">
        <f t="shared" si="0"/>
        <v>0</v>
      </c>
    </row>
    <row r="16" spans="1:8" x14ac:dyDescent="0.25">
      <c r="A16" s="23" t="s">
        <v>196</v>
      </c>
      <c r="B16" s="340"/>
      <c r="C16" s="67">
        <v>0</v>
      </c>
      <c r="D16" s="67">
        <v>0</v>
      </c>
      <c r="E16" s="27">
        <f t="shared" si="0"/>
        <v>0</v>
      </c>
      <c r="H16" s="163"/>
    </row>
    <row r="17" spans="1:6" x14ac:dyDescent="0.25">
      <c r="A17" s="23"/>
      <c r="B17" s="247"/>
      <c r="C17" s="698"/>
      <c r="D17" s="698"/>
      <c r="E17" s="697"/>
    </row>
    <row r="18" spans="1:6" ht="16.5" thickBot="1" x14ac:dyDescent="0.3">
      <c r="A18" s="58">
        <v>9</v>
      </c>
      <c r="B18" s="381" t="s">
        <v>462</v>
      </c>
      <c r="C18" s="174">
        <f>C6+C12+C13+C15</f>
        <v>2010398.05</v>
      </c>
      <c r="D18" s="35">
        <f>D6+D12+D13+D15</f>
        <v>0</v>
      </c>
      <c r="E18" s="535">
        <f>E6+E12+E13+E15</f>
        <v>2010398.05</v>
      </c>
    </row>
    <row r="19" spans="1:6" x14ac:dyDescent="0.25">
      <c r="E19" s="16"/>
      <c r="F19" s="1" t="s">
        <v>1082</v>
      </c>
    </row>
    <row r="21" spans="1:6" x14ac:dyDescent="0.25">
      <c r="B21" s="111"/>
      <c r="C21" s="3"/>
    </row>
    <row r="22" spans="1:6" x14ac:dyDescent="0.25">
      <c r="B22" s="3"/>
      <c r="C22" s="3"/>
    </row>
    <row r="23" spans="1:6" x14ac:dyDescent="0.25">
      <c r="B23" s="3"/>
      <c r="C23" s="3"/>
    </row>
    <row r="24" spans="1:6" x14ac:dyDescent="0.25">
      <c r="D24" s="164"/>
    </row>
  </sheetData>
  <protectedRanges>
    <protectedRange sqref="C8:D10" name="Rozsah2_1_1"/>
    <protectedRange sqref="C11:D11" name="Rozsah2_2_1"/>
  </protectedRanges>
  <mergeCells count="2">
    <mergeCell ref="A1:E1"/>
    <mergeCell ref="A2:E2"/>
  </mergeCells>
  <phoneticPr fontId="5" type="noConversion"/>
  <pageMargins left="0.79" right="0.74803149606299213" top="0.98425196850393704" bottom="0.77" header="0.51181102362204722" footer="0.51181102362204722"/>
  <pageSetup paperSize="9" scale="9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L36"/>
  <sheetViews>
    <sheetView zoomScaleNormal="100" workbookViewId="0">
      <pane xSplit="2" ySplit="5" topLeftCell="C25" activePane="bottomRight" state="frozen"/>
      <selection pane="topRight" activeCell="C1" sqref="C1"/>
      <selection pane="bottomLeft" activeCell="A6" sqref="A6"/>
      <selection pane="bottomRight" activeCell="F36" sqref="F36"/>
    </sheetView>
  </sheetViews>
  <sheetFormatPr defaultColWidth="9.140625" defaultRowHeight="15.75" x14ac:dyDescent="0.2"/>
  <cols>
    <col min="1" max="1" width="9.140625" style="13"/>
    <col min="2" max="2" width="75.42578125" style="39" customWidth="1"/>
    <col min="3" max="6" width="17.28515625" style="13" customWidth="1"/>
    <col min="7" max="16384" width="9.140625" style="13"/>
  </cols>
  <sheetData>
    <row r="1" spans="1:6" s="255" customFormat="1" ht="35.1" customHeight="1" thickBot="1" x14ac:dyDescent="0.25">
      <c r="A1" s="786" t="s">
        <v>836</v>
      </c>
      <c r="B1" s="986"/>
      <c r="C1" s="986"/>
      <c r="D1" s="986"/>
      <c r="E1" s="986"/>
      <c r="F1" s="987"/>
    </row>
    <row r="2" spans="1:6" s="255" customFormat="1" ht="35.1" customHeight="1" x14ac:dyDescent="0.2">
      <c r="A2" s="813" t="s">
        <v>1057</v>
      </c>
      <c r="B2" s="896"/>
      <c r="C2" s="897" t="s">
        <v>765</v>
      </c>
      <c r="D2" s="897"/>
      <c r="E2" s="897"/>
      <c r="F2" s="898"/>
    </row>
    <row r="3" spans="1:6" s="255" customFormat="1" ht="22.9" customHeight="1" x14ac:dyDescent="0.2">
      <c r="A3" s="807" t="s">
        <v>80</v>
      </c>
      <c r="B3" s="849" t="s">
        <v>153</v>
      </c>
      <c r="C3" s="849">
        <v>2022</v>
      </c>
      <c r="D3" s="849"/>
      <c r="E3" s="849">
        <v>2023</v>
      </c>
      <c r="F3" s="912"/>
    </row>
    <row r="4" spans="1:6" s="255" customFormat="1" ht="75" customHeight="1" x14ac:dyDescent="0.2">
      <c r="A4" s="807"/>
      <c r="B4" s="849"/>
      <c r="C4" s="237" t="s">
        <v>13</v>
      </c>
      <c r="D4" s="237" t="s">
        <v>74</v>
      </c>
      <c r="E4" s="237" t="s">
        <v>13</v>
      </c>
      <c r="F4" s="261" t="s">
        <v>75</v>
      </c>
    </row>
    <row r="5" spans="1:6" s="255" customFormat="1" x14ac:dyDescent="0.2">
      <c r="A5" s="256"/>
      <c r="B5" s="382"/>
      <c r="C5" s="323" t="s">
        <v>119</v>
      </c>
      <c r="D5" s="323" t="s">
        <v>120</v>
      </c>
      <c r="E5" s="323" t="s">
        <v>121</v>
      </c>
      <c r="F5" s="328" t="s">
        <v>127</v>
      </c>
    </row>
    <row r="6" spans="1:6" ht="31.5" x14ac:dyDescent="0.2">
      <c r="A6" s="19">
        <v>1</v>
      </c>
      <c r="B6" s="339" t="s">
        <v>567</v>
      </c>
      <c r="C6" s="54">
        <f>C7+C10+C13+C16+C19+C22</f>
        <v>79736</v>
      </c>
      <c r="D6" s="54">
        <f>D7+D10+D13+D16+D19+D22</f>
        <v>358</v>
      </c>
      <c r="E6" s="54">
        <f>E7+E10+E13+E16+E19+E22</f>
        <v>63827</v>
      </c>
      <c r="F6" s="187">
        <f>F7+F10+F13+F16+F19+F22</f>
        <v>348</v>
      </c>
    </row>
    <row r="7" spans="1:6" x14ac:dyDescent="0.2">
      <c r="A7" s="19">
        <v>2</v>
      </c>
      <c r="B7" s="339" t="s">
        <v>568</v>
      </c>
      <c r="C7" s="54">
        <f>SUM(C8:C9)</f>
        <v>26550</v>
      </c>
      <c r="D7" s="54">
        <f>SUM(D8:D9)</f>
        <v>58</v>
      </c>
      <c r="E7" s="54">
        <f>SUM(E8:E9)</f>
        <v>12926</v>
      </c>
      <c r="F7" s="187">
        <f>SUM(F8:F9)</f>
        <v>23</v>
      </c>
    </row>
    <row r="8" spans="1:6" x14ac:dyDescent="0.2">
      <c r="A8" s="19">
        <v>3</v>
      </c>
      <c r="B8" s="246" t="s">
        <v>15</v>
      </c>
      <c r="C8" s="70">
        <v>26550</v>
      </c>
      <c r="D8" s="70">
        <v>58</v>
      </c>
      <c r="E8" s="70">
        <v>12926</v>
      </c>
      <c r="F8" s="80">
        <v>23</v>
      </c>
    </row>
    <row r="9" spans="1:6" ht="18.75" x14ac:dyDescent="0.2">
      <c r="A9" s="19">
        <v>4</v>
      </c>
      <c r="B9" s="246" t="s">
        <v>569</v>
      </c>
      <c r="C9" s="70"/>
      <c r="D9" s="70"/>
      <c r="E9" s="70"/>
      <c r="F9" s="80"/>
    </row>
    <row r="10" spans="1:6" ht="21" customHeight="1" x14ac:dyDescent="0.2">
      <c r="A10" s="19">
        <v>5</v>
      </c>
      <c r="B10" s="339" t="s">
        <v>518</v>
      </c>
      <c r="C10" s="54">
        <f>SUM(C11:C12)</f>
        <v>20250</v>
      </c>
      <c r="D10" s="54">
        <f>SUM(D11:D12)</f>
        <v>104</v>
      </c>
      <c r="E10" s="54">
        <f>SUM(E11:E12)</f>
        <v>27625</v>
      </c>
      <c r="F10" s="187">
        <f>SUM(F11:F12)</f>
        <v>118</v>
      </c>
    </row>
    <row r="11" spans="1:6" x14ac:dyDescent="0.2">
      <c r="A11" s="19">
        <v>6</v>
      </c>
      <c r="B11" s="246" t="s">
        <v>15</v>
      </c>
      <c r="C11" s="70">
        <v>20250</v>
      </c>
      <c r="D11" s="70">
        <v>104</v>
      </c>
      <c r="E11" s="70">
        <v>27625</v>
      </c>
      <c r="F11" s="80">
        <v>118</v>
      </c>
    </row>
    <row r="12" spans="1:6" ht="18.75" x14ac:dyDescent="0.2">
      <c r="A12" s="19">
        <v>7</v>
      </c>
      <c r="B12" s="246" t="s">
        <v>569</v>
      </c>
      <c r="C12" s="70"/>
      <c r="D12" s="70"/>
      <c r="E12" s="70"/>
      <c r="F12" s="80"/>
    </row>
    <row r="13" spans="1:6" x14ac:dyDescent="0.2">
      <c r="A13" s="19">
        <v>8</v>
      </c>
      <c r="B13" s="339" t="s">
        <v>519</v>
      </c>
      <c r="C13" s="54">
        <f>C14+C15</f>
        <v>18558</v>
      </c>
      <c r="D13" s="54">
        <f>D14+D15</f>
        <v>125</v>
      </c>
      <c r="E13" s="54">
        <f>E14+E15</f>
        <v>11210</v>
      </c>
      <c r="F13" s="187">
        <f>F14+F15</f>
        <v>102</v>
      </c>
    </row>
    <row r="14" spans="1:6" x14ac:dyDescent="0.2">
      <c r="A14" s="19">
        <v>9</v>
      </c>
      <c r="B14" s="246" t="s">
        <v>15</v>
      </c>
      <c r="C14" s="70">
        <v>18558</v>
      </c>
      <c r="D14" s="70">
        <v>125</v>
      </c>
      <c r="E14" s="70">
        <v>11210</v>
      </c>
      <c r="F14" s="80">
        <v>102</v>
      </c>
    </row>
    <row r="15" spans="1:6" ht="18.75" x14ac:dyDescent="0.2">
      <c r="A15" s="19">
        <v>10</v>
      </c>
      <c r="B15" s="246" t="s">
        <v>569</v>
      </c>
      <c r="C15" s="70"/>
      <c r="D15" s="70"/>
      <c r="E15" s="70"/>
      <c r="F15" s="80"/>
    </row>
    <row r="16" spans="1:6" x14ac:dyDescent="0.2">
      <c r="A16" s="19">
        <v>11</v>
      </c>
      <c r="B16" s="339" t="s">
        <v>570</v>
      </c>
      <c r="C16" s="54">
        <f>SUM(C17:C18)</f>
        <v>7051</v>
      </c>
      <c r="D16" s="54">
        <f>SUM(D17:D18)</f>
        <v>46</v>
      </c>
      <c r="E16" s="54">
        <f>SUM(E17:E18)</f>
        <v>5662</v>
      </c>
      <c r="F16" s="187">
        <f>SUM(F17:F18)</f>
        <v>74</v>
      </c>
    </row>
    <row r="17" spans="1:6" x14ac:dyDescent="0.2">
      <c r="A17" s="19">
        <v>12</v>
      </c>
      <c r="B17" s="246" t="s">
        <v>15</v>
      </c>
      <c r="C17" s="70">
        <v>7051</v>
      </c>
      <c r="D17" s="70">
        <v>46</v>
      </c>
      <c r="E17" s="70">
        <v>5662</v>
      </c>
      <c r="F17" s="80">
        <v>74</v>
      </c>
    </row>
    <row r="18" spans="1:6" ht="18.75" x14ac:dyDescent="0.2">
      <c r="A18" s="19">
        <v>13</v>
      </c>
      <c r="B18" s="246" t="s">
        <v>569</v>
      </c>
      <c r="C18" s="70"/>
      <c r="D18" s="70"/>
      <c r="E18" s="70"/>
      <c r="F18" s="80"/>
    </row>
    <row r="19" spans="1:6" x14ac:dyDescent="0.2">
      <c r="A19" s="19">
        <v>14</v>
      </c>
      <c r="B19" s="339" t="s">
        <v>571</v>
      </c>
      <c r="C19" s="54">
        <f>SUM(C20:C21)</f>
        <v>370</v>
      </c>
      <c r="D19" s="54">
        <f>SUM(D20:D21)</f>
        <v>2</v>
      </c>
      <c r="E19" s="54">
        <f>SUM(E20:E21)</f>
        <v>400</v>
      </c>
      <c r="F19" s="187">
        <f>SUM(F20:F21)</f>
        <v>1</v>
      </c>
    </row>
    <row r="20" spans="1:6" x14ac:dyDescent="0.2">
      <c r="A20" s="19">
        <v>15</v>
      </c>
      <c r="B20" s="246" t="s">
        <v>15</v>
      </c>
      <c r="C20" s="70">
        <v>370</v>
      </c>
      <c r="D20" s="70">
        <v>2</v>
      </c>
      <c r="E20" s="70">
        <v>400</v>
      </c>
      <c r="F20" s="80">
        <v>1</v>
      </c>
    </row>
    <row r="21" spans="1:6" ht="18.75" x14ac:dyDescent="0.2">
      <c r="A21" s="19">
        <v>16</v>
      </c>
      <c r="B21" s="383" t="s">
        <v>569</v>
      </c>
      <c r="C21" s="81"/>
      <c r="D21" s="81"/>
      <c r="E21" s="81"/>
      <c r="F21" s="82"/>
    </row>
    <row r="22" spans="1:6" x14ac:dyDescent="0.2">
      <c r="A22" s="19">
        <v>17</v>
      </c>
      <c r="B22" s="384" t="s">
        <v>550</v>
      </c>
      <c r="C22" s="54">
        <f>C23+C24</f>
        <v>6957</v>
      </c>
      <c r="D22" s="54">
        <f>D23+D24</f>
        <v>23</v>
      </c>
      <c r="E22" s="54">
        <f>E23+E24</f>
        <v>6004</v>
      </c>
      <c r="F22" s="187">
        <f>F23+F24</f>
        <v>30</v>
      </c>
    </row>
    <row r="23" spans="1:6" x14ac:dyDescent="0.2">
      <c r="A23" s="19">
        <v>18</v>
      </c>
      <c r="B23" s="246" t="s">
        <v>15</v>
      </c>
      <c r="C23" s="81">
        <v>6957</v>
      </c>
      <c r="D23" s="81">
        <v>23</v>
      </c>
      <c r="E23" s="81">
        <v>6004</v>
      </c>
      <c r="F23" s="82">
        <v>30</v>
      </c>
    </row>
    <row r="24" spans="1:6" ht="18.75" x14ac:dyDescent="0.2">
      <c r="A24" s="19">
        <v>19</v>
      </c>
      <c r="B24" s="383" t="s">
        <v>569</v>
      </c>
      <c r="C24" s="81"/>
      <c r="D24" s="81"/>
      <c r="E24" s="81"/>
      <c r="F24" s="82"/>
    </row>
    <row r="25" spans="1:6" ht="19.5" thickBot="1" x14ac:dyDescent="0.25">
      <c r="A25" s="20">
        <v>20</v>
      </c>
      <c r="B25" s="385" t="s">
        <v>742</v>
      </c>
      <c r="C25" s="699" t="s">
        <v>140</v>
      </c>
      <c r="D25" s="83">
        <v>358</v>
      </c>
      <c r="E25" s="699" t="s">
        <v>140</v>
      </c>
      <c r="F25" s="84">
        <v>348</v>
      </c>
    </row>
    <row r="26" spans="1:6" s="49" customFormat="1" x14ac:dyDescent="0.2">
      <c r="A26" s="165"/>
      <c r="B26" s="166"/>
      <c r="C26" s="167"/>
      <c r="D26" s="168"/>
      <c r="E26" s="167"/>
      <c r="F26" s="168"/>
    </row>
    <row r="27" spans="1:6" s="255" customFormat="1" ht="15.75" customHeight="1" x14ac:dyDescent="0.2">
      <c r="A27" s="980" t="s">
        <v>740</v>
      </c>
      <c r="B27" s="981"/>
      <c r="C27" s="981"/>
      <c r="D27" s="981"/>
      <c r="E27" s="981"/>
      <c r="F27" s="982"/>
    </row>
    <row r="28" spans="1:6" s="255" customFormat="1" ht="15.75" customHeight="1" x14ac:dyDescent="0.2">
      <c r="A28" s="983" t="s">
        <v>741</v>
      </c>
      <c r="B28" s="984"/>
      <c r="C28" s="984"/>
      <c r="D28" s="984"/>
      <c r="E28" s="984"/>
      <c r="F28" s="985"/>
    </row>
    <row r="29" spans="1:6" s="255" customFormat="1" ht="15.75" customHeight="1" x14ac:dyDescent="0.2">
      <c r="A29" s="979" t="s">
        <v>773</v>
      </c>
      <c r="B29" s="979"/>
      <c r="C29" s="979"/>
      <c r="D29" s="979"/>
      <c r="E29" s="979"/>
      <c r="F29" s="979"/>
    </row>
    <row r="31" spans="1:6" x14ac:dyDescent="0.2">
      <c r="F31" s="13" t="s">
        <v>1088</v>
      </c>
    </row>
    <row r="32" spans="1:6" ht="31.5" x14ac:dyDescent="0.2">
      <c r="F32" s="13" t="s">
        <v>1089</v>
      </c>
    </row>
    <row r="33" spans="2:12" x14ac:dyDescent="0.25">
      <c r="B33" s="24" t="s">
        <v>1095</v>
      </c>
      <c r="C33" s="757"/>
      <c r="D33" s="24"/>
      <c r="E33" s="24"/>
      <c r="F33" s="24"/>
      <c r="G33" s="24"/>
      <c r="H33" s="24"/>
      <c r="I33" s="24"/>
      <c r="J33" s="24"/>
      <c r="K33" s="24"/>
      <c r="L33" s="24"/>
    </row>
    <row r="34" spans="2:12" x14ac:dyDescent="0.25">
      <c r="B34" s="762"/>
      <c r="C34" s="118"/>
      <c r="D34" s="118"/>
    </row>
    <row r="35" spans="2:12" ht="126" x14ac:dyDescent="0.25">
      <c r="B35" s="764" t="s">
        <v>1093</v>
      </c>
      <c r="C35" s="763" t="s">
        <v>1092</v>
      </c>
      <c r="D35" s="763" t="s">
        <v>1096</v>
      </c>
    </row>
    <row r="36" spans="2:12" ht="63" x14ac:dyDescent="0.2">
      <c r="B36" s="39" t="s">
        <v>1091</v>
      </c>
      <c r="F36" s="768" t="s">
        <v>1103</v>
      </c>
    </row>
  </sheetData>
  <mergeCells count="10">
    <mergeCell ref="C2:F2"/>
    <mergeCell ref="A29:F29"/>
    <mergeCell ref="A27:F27"/>
    <mergeCell ref="A28:F28"/>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7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G16"/>
  <sheetViews>
    <sheetView zoomScaleNormal="100" workbookViewId="0">
      <pane xSplit="2" ySplit="5" topLeftCell="C6" activePane="bottomRight" state="frozen"/>
      <selection pane="topRight" activeCell="C1" sqref="C1"/>
      <selection pane="bottomLeft" activeCell="A5" sqref="A5"/>
      <selection pane="bottomRight" activeCell="D16" sqref="D16"/>
    </sheetView>
  </sheetViews>
  <sheetFormatPr defaultColWidth="9.140625" defaultRowHeight="18.75" x14ac:dyDescent="0.25"/>
  <cols>
    <col min="1" max="1" width="9.140625" style="123"/>
    <col min="2" max="2" width="67" style="134" customWidth="1"/>
    <col min="3" max="3" width="20.28515625" style="151" customWidth="1"/>
    <col min="4" max="4" width="23.5703125" style="151" customWidth="1"/>
    <col min="5" max="5" width="22.140625" style="151" customWidth="1"/>
    <col min="6" max="6" width="23.85546875" style="123" customWidth="1"/>
    <col min="7" max="16384" width="9.140625" style="123"/>
  </cols>
  <sheetData>
    <row r="1" spans="1:7" s="329" customFormat="1" ht="50.1" customHeight="1" thickBot="1" x14ac:dyDescent="0.3">
      <c r="A1" s="988" t="s">
        <v>837</v>
      </c>
      <c r="B1" s="989"/>
      <c r="C1" s="989"/>
      <c r="D1" s="990"/>
      <c r="E1" s="990"/>
      <c r="F1" s="991"/>
    </row>
    <row r="2" spans="1:7" s="329" customFormat="1" ht="35.1" customHeight="1" thickBot="1" x14ac:dyDescent="0.3">
      <c r="A2" s="992" t="s">
        <v>1057</v>
      </c>
      <c r="B2" s="993"/>
      <c r="C2" s="993"/>
      <c r="D2" s="994"/>
      <c r="E2" s="994"/>
      <c r="F2" s="995"/>
    </row>
    <row r="3" spans="1:7" s="329" customFormat="1" ht="33" customHeight="1" x14ac:dyDescent="0.25">
      <c r="A3" s="895" t="s">
        <v>80</v>
      </c>
      <c r="B3" s="1000" t="s">
        <v>153</v>
      </c>
      <c r="C3" s="999">
        <v>2022</v>
      </c>
      <c r="D3" s="999"/>
      <c r="E3" s="996">
        <v>2023</v>
      </c>
      <c r="F3" s="997"/>
    </row>
    <row r="4" spans="1:7" s="329" customFormat="1" ht="71.25" customHeight="1" x14ac:dyDescent="0.25">
      <c r="A4" s="807"/>
      <c r="B4" s="1001"/>
      <c r="C4" s="386" t="s">
        <v>529</v>
      </c>
      <c r="D4" s="386" t="s">
        <v>573</v>
      </c>
      <c r="E4" s="386" t="s">
        <v>529</v>
      </c>
      <c r="F4" s="387" t="s">
        <v>573</v>
      </c>
    </row>
    <row r="5" spans="1:7" s="329" customFormat="1" ht="15.75" customHeight="1" x14ac:dyDescent="0.25">
      <c r="A5" s="330"/>
      <c r="B5" s="331"/>
      <c r="C5" s="331" t="s">
        <v>119</v>
      </c>
      <c r="D5" s="331" t="s">
        <v>120</v>
      </c>
      <c r="E5" s="388" t="s">
        <v>121</v>
      </c>
      <c r="F5" s="389" t="s">
        <v>127</v>
      </c>
    </row>
    <row r="6" spans="1:7" s="148" customFormat="1" ht="34.5" customHeight="1" x14ac:dyDescent="0.2">
      <c r="A6" s="124">
        <v>1</v>
      </c>
      <c r="B6" s="390" t="s">
        <v>494</v>
      </c>
      <c r="C6" s="126"/>
      <c r="D6" s="126"/>
      <c r="E6" s="125">
        <f>C9</f>
        <v>0</v>
      </c>
      <c r="F6" s="175">
        <f>D9</f>
        <v>0</v>
      </c>
      <c r="G6" s="169"/>
    </row>
    <row r="7" spans="1:7" ht="36" customHeight="1" x14ac:dyDescent="0.25">
      <c r="A7" s="124">
        <v>2</v>
      </c>
      <c r="B7" s="390" t="s">
        <v>526</v>
      </c>
      <c r="C7" s="619">
        <v>132840</v>
      </c>
      <c r="D7" s="619">
        <v>318500</v>
      </c>
      <c r="E7" s="619">
        <v>143370</v>
      </c>
      <c r="F7" s="700">
        <v>328200</v>
      </c>
    </row>
    <row r="8" spans="1:7" ht="35.25" customHeight="1" x14ac:dyDescent="0.25">
      <c r="A8" s="124">
        <v>3</v>
      </c>
      <c r="B8" s="390" t="s">
        <v>495</v>
      </c>
      <c r="C8" s="619">
        <v>132840</v>
      </c>
      <c r="D8" s="619">
        <v>318500</v>
      </c>
      <c r="E8" s="619">
        <v>143370</v>
      </c>
      <c r="F8" s="700">
        <v>328200</v>
      </c>
    </row>
    <row r="9" spans="1:7" ht="39.75" customHeight="1" x14ac:dyDescent="0.25">
      <c r="A9" s="124">
        <v>4</v>
      </c>
      <c r="B9" s="390" t="s">
        <v>527</v>
      </c>
      <c r="C9" s="125">
        <f>C6+C7-C8</f>
        <v>0</v>
      </c>
      <c r="D9" s="125">
        <f>D6+D7-D8</f>
        <v>0</v>
      </c>
      <c r="E9" s="125">
        <f>E6+E7-E8</f>
        <v>0</v>
      </c>
      <c r="F9" s="175">
        <f>F6+F7-F8</f>
        <v>0</v>
      </c>
    </row>
    <row r="10" spans="1:7" ht="36" customHeight="1" thickBot="1" x14ac:dyDescent="0.3">
      <c r="A10" s="176">
        <v>5</v>
      </c>
      <c r="B10" s="391" t="s">
        <v>528</v>
      </c>
      <c r="C10" s="701">
        <v>162</v>
      </c>
      <c r="D10" s="701">
        <v>773</v>
      </c>
      <c r="E10" s="701">
        <v>164</v>
      </c>
      <c r="F10" s="702">
        <v>799</v>
      </c>
    </row>
    <row r="11" spans="1:7" ht="21" customHeight="1" x14ac:dyDescent="0.25">
      <c r="A11" s="149"/>
      <c r="B11" s="150"/>
      <c r="C11" s="123"/>
      <c r="D11" s="123"/>
      <c r="E11" s="123"/>
    </row>
    <row r="12" spans="1:7" ht="21" customHeight="1" x14ac:dyDescent="0.25">
      <c r="A12" s="998" t="s">
        <v>743</v>
      </c>
      <c r="B12" s="998"/>
      <c r="C12" s="998"/>
      <c r="D12" s="998"/>
      <c r="E12" s="998"/>
      <c r="F12" s="998"/>
    </row>
    <row r="13" spans="1:7" ht="18" x14ac:dyDescent="0.25">
      <c r="A13" s="470" t="s">
        <v>744</v>
      </c>
      <c r="B13" s="471"/>
      <c r="C13" s="472"/>
      <c r="D13" s="472"/>
      <c r="E13" s="472"/>
      <c r="F13" s="473"/>
    </row>
    <row r="14" spans="1:7" ht="18" x14ac:dyDescent="0.25">
      <c r="A14" s="470" t="s">
        <v>745</v>
      </c>
      <c r="B14" s="471"/>
      <c r="C14" s="472"/>
      <c r="D14" s="472"/>
      <c r="E14" s="472"/>
      <c r="F14" s="473"/>
    </row>
    <row r="16" spans="1:7" x14ac:dyDescent="0.25">
      <c r="C16" s="151" t="s">
        <v>56</v>
      </c>
      <c r="F16" s="123" t="s">
        <v>1087</v>
      </c>
    </row>
  </sheetData>
  <mergeCells count="7">
    <mergeCell ref="A1:F1"/>
    <mergeCell ref="A2:F2"/>
    <mergeCell ref="E3:F3"/>
    <mergeCell ref="A12:F12"/>
    <mergeCell ref="C3:D3"/>
    <mergeCell ref="B3:B4"/>
    <mergeCell ref="A3:A4"/>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3"/>
  <sheetViews>
    <sheetView topLeftCell="A10" zoomScaleNormal="100" workbookViewId="0">
      <selection activeCell="K16" sqref="K16"/>
    </sheetView>
  </sheetViews>
  <sheetFormatPr defaultColWidth="9.140625" defaultRowHeight="15.75" x14ac:dyDescent="0.2"/>
  <cols>
    <col min="1" max="1" width="8.140625" style="487" customWidth="1"/>
    <col min="2" max="2" width="93.140625" style="503" customWidth="1"/>
    <col min="3" max="3" width="15.7109375" style="487" customWidth="1"/>
    <col min="4" max="4" width="18.140625" style="487" customWidth="1"/>
    <col min="5" max="5" width="15.7109375" style="487" customWidth="1"/>
    <col min="6" max="6" width="18.140625" style="487" customWidth="1"/>
    <col min="7" max="9" width="15.7109375" style="487" customWidth="1"/>
    <col min="10" max="10" width="15.140625" style="487" customWidth="1"/>
    <col min="11" max="11" width="27.140625" style="487" customWidth="1"/>
    <col min="12" max="12" width="25.85546875" style="487" customWidth="1"/>
    <col min="13" max="16384" width="9.140625" style="487"/>
  </cols>
  <sheetData>
    <row r="1" spans="1:11" s="475" customFormat="1" ht="50.1" customHeight="1" thickBot="1" x14ac:dyDescent="0.25">
      <c r="A1" s="1004" t="s">
        <v>860</v>
      </c>
      <c r="B1" s="1005"/>
      <c r="C1" s="1005"/>
      <c r="D1" s="1005"/>
      <c r="E1" s="1005"/>
      <c r="F1" s="1005"/>
      <c r="G1" s="1005"/>
      <c r="H1" s="1005"/>
      <c r="I1" s="1005"/>
      <c r="J1" s="1006"/>
    </row>
    <row r="2" spans="1:11" s="475" customFormat="1" ht="62.45" customHeight="1" thickBot="1" x14ac:dyDescent="0.25">
      <c r="A2" s="1007" t="s">
        <v>1057</v>
      </c>
      <c r="B2" s="1008"/>
      <c r="C2" s="1009" t="s">
        <v>868</v>
      </c>
      <c r="D2" s="1010"/>
      <c r="E2" s="1009" t="s">
        <v>869</v>
      </c>
      <c r="F2" s="1010"/>
      <c r="G2" s="1011" t="s">
        <v>861</v>
      </c>
      <c r="H2" s="1012"/>
      <c r="I2" s="1011" t="s">
        <v>856</v>
      </c>
      <c r="J2" s="1012"/>
    </row>
    <row r="3" spans="1:11" s="475" customFormat="1" x14ac:dyDescent="0.2">
      <c r="A3" s="1014" t="s">
        <v>80</v>
      </c>
      <c r="B3" s="1016" t="s">
        <v>153</v>
      </c>
      <c r="C3" s="1017">
        <v>2023</v>
      </c>
      <c r="D3" s="1018"/>
      <c r="E3" s="1017">
        <v>2023</v>
      </c>
      <c r="F3" s="1018"/>
      <c r="G3" s="1002">
        <v>2023</v>
      </c>
      <c r="H3" s="1003"/>
      <c r="I3" s="1002">
        <v>2023</v>
      </c>
      <c r="J3" s="1003"/>
    </row>
    <row r="4" spans="1:11" s="475" customFormat="1" ht="78.75" x14ac:dyDescent="0.2">
      <c r="A4" s="1015"/>
      <c r="B4" s="1016"/>
      <c r="C4" s="476" t="s">
        <v>483</v>
      </c>
      <c r="D4" s="477" t="s">
        <v>624</v>
      </c>
      <c r="E4" s="476" t="s">
        <v>483</v>
      </c>
      <c r="F4" s="477" t="s">
        <v>624</v>
      </c>
      <c r="G4" s="476" t="s">
        <v>483</v>
      </c>
      <c r="H4" s="477" t="s">
        <v>624</v>
      </c>
      <c r="I4" s="476" t="s">
        <v>483</v>
      </c>
      <c r="J4" s="477" t="s">
        <v>624</v>
      </c>
    </row>
    <row r="5" spans="1:11" s="475" customFormat="1" x14ac:dyDescent="0.2">
      <c r="A5" s="478"/>
      <c r="B5" s="479"/>
      <c r="C5" s="480" t="s">
        <v>119</v>
      </c>
      <c r="D5" s="481" t="s">
        <v>120</v>
      </c>
      <c r="E5" s="480" t="s">
        <v>121</v>
      </c>
      <c r="F5" s="481" t="s">
        <v>127</v>
      </c>
      <c r="G5" s="480" t="s">
        <v>122</v>
      </c>
      <c r="H5" s="481" t="s">
        <v>123</v>
      </c>
      <c r="I5" s="480" t="s">
        <v>124</v>
      </c>
      <c r="J5" s="482" t="s">
        <v>125</v>
      </c>
    </row>
    <row r="6" spans="1:11" ht="38.25" customHeight="1" x14ac:dyDescent="0.2">
      <c r="A6" s="483">
        <v>1</v>
      </c>
      <c r="B6" s="484" t="s">
        <v>858</v>
      </c>
      <c r="C6" s="465" t="s">
        <v>140</v>
      </c>
      <c r="D6" s="485">
        <v>1164</v>
      </c>
      <c r="E6" s="465" t="s">
        <v>140</v>
      </c>
      <c r="F6" s="485">
        <v>137</v>
      </c>
      <c r="G6" s="465" t="s">
        <v>140</v>
      </c>
      <c r="H6" s="485">
        <v>4</v>
      </c>
      <c r="I6" s="465" t="s">
        <v>140</v>
      </c>
      <c r="J6" s="486">
        <v>12</v>
      </c>
    </row>
    <row r="7" spans="1:11" ht="38.25" customHeight="1" x14ac:dyDescent="0.2">
      <c r="A7" s="483">
        <v>2</v>
      </c>
      <c r="B7" s="484" t="s">
        <v>625</v>
      </c>
      <c r="C7" s="465" t="s">
        <v>140</v>
      </c>
      <c r="D7" s="485">
        <v>173</v>
      </c>
      <c r="E7" s="465" t="s">
        <v>140</v>
      </c>
      <c r="F7" s="485">
        <v>49</v>
      </c>
      <c r="G7" s="465" t="s">
        <v>140</v>
      </c>
      <c r="H7" s="485">
        <v>1</v>
      </c>
      <c r="I7" s="465" t="s">
        <v>140</v>
      </c>
      <c r="J7" s="486">
        <v>1</v>
      </c>
    </row>
    <row r="8" spans="1:11" ht="38.25" customHeight="1" x14ac:dyDescent="0.2">
      <c r="A8" s="483">
        <v>3</v>
      </c>
      <c r="B8" s="488" t="s">
        <v>874</v>
      </c>
      <c r="C8" s="485">
        <v>276000</v>
      </c>
      <c r="D8" s="465" t="s">
        <v>140</v>
      </c>
      <c r="E8" s="485">
        <v>33000</v>
      </c>
      <c r="F8" s="465" t="s">
        <v>140</v>
      </c>
      <c r="G8" s="464">
        <v>0</v>
      </c>
      <c r="H8" s="465" t="s">
        <v>140</v>
      </c>
      <c r="I8" s="464">
        <v>0</v>
      </c>
      <c r="J8" s="489" t="s">
        <v>140</v>
      </c>
    </row>
    <row r="9" spans="1:11" ht="76.5" customHeight="1" x14ac:dyDescent="0.2">
      <c r="A9" s="483">
        <v>4</v>
      </c>
      <c r="B9" s="490" t="s">
        <v>876</v>
      </c>
      <c r="C9" s="485">
        <f>276000+249000</f>
        <v>525000</v>
      </c>
      <c r="D9" s="465" t="s">
        <v>140</v>
      </c>
      <c r="E9" s="485">
        <f>33000+114000</f>
        <v>147000</v>
      </c>
      <c r="F9" s="465" t="s">
        <v>140</v>
      </c>
      <c r="G9" s="464">
        <v>4000</v>
      </c>
      <c r="H9" s="465" t="s">
        <v>140</v>
      </c>
      <c r="I9" s="465" t="s">
        <v>140</v>
      </c>
      <c r="J9" s="489" t="s">
        <v>140</v>
      </c>
      <c r="K9" s="761" t="s">
        <v>1041</v>
      </c>
    </row>
    <row r="10" spans="1:11" ht="83.25" customHeight="1" x14ac:dyDescent="0.2">
      <c r="A10" s="483">
        <v>5</v>
      </c>
      <c r="B10" s="491" t="s">
        <v>857</v>
      </c>
      <c r="C10" s="465" t="s">
        <v>140</v>
      </c>
      <c r="D10" s="465" t="s">
        <v>140</v>
      </c>
      <c r="E10" s="465" t="s">
        <v>140</v>
      </c>
      <c r="F10" s="465" t="s">
        <v>140</v>
      </c>
      <c r="G10" s="465" t="s">
        <v>140</v>
      </c>
      <c r="H10" s="465" t="s">
        <v>140</v>
      </c>
      <c r="I10" s="703">
        <v>16150</v>
      </c>
      <c r="J10" s="489" t="s">
        <v>140</v>
      </c>
      <c r="K10" s="761" t="s">
        <v>1042</v>
      </c>
    </row>
    <row r="11" spans="1:11" ht="117" customHeight="1" x14ac:dyDescent="0.2">
      <c r="A11" s="483">
        <v>6</v>
      </c>
      <c r="B11" s="484" t="s">
        <v>859</v>
      </c>
      <c r="C11" s="485">
        <v>349200</v>
      </c>
      <c r="D11" s="465" t="s">
        <v>140</v>
      </c>
      <c r="E11" s="485">
        <v>41100</v>
      </c>
      <c r="F11" s="465" t="s">
        <v>140</v>
      </c>
      <c r="G11" s="485">
        <v>0</v>
      </c>
      <c r="H11" s="465" t="s">
        <v>140</v>
      </c>
      <c r="I11" s="704">
        <v>12112.5</v>
      </c>
      <c r="J11" s="489" t="s">
        <v>140</v>
      </c>
      <c r="K11" s="760" t="s">
        <v>1100</v>
      </c>
    </row>
    <row r="12" spans="1:11" ht="38.25" customHeight="1" x14ac:dyDescent="0.2">
      <c r="A12" s="483">
        <v>7</v>
      </c>
      <c r="B12" s="492" t="s">
        <v>880</v>
      </c>
      <c r="C12" s="493">
        <v>6000</v>
      </c>
      <c r="D12" s="465" t="s">
        <v>140</v>
      </c>
      <c r="E12" s="493">
        <v>900</v>
      </c>
      <c r="F12" s="465" t="s">
        <v>140</v>
      </c>
      <c r="G12" s="493"/>
      <c r="H12" s="465" t="s">
        <v>140</v>
      </c>
      <c r="I12" s="493"/>
      <c r="J12" s="489" t="s">
        <v>140</v>
      </c>
    </row>
    <row r="13" spans="1:11" ht="46.5" customHeight="1" x14ac:dyDescent="0.2">
      <c r="A13" s="483">
        <v>8</v>
      </c>
      <c r="B13" s="490" t="s">
        <v>881</v>
      </c>
      <c r="C13" s="494">
        <f>C8+C9-C11-C12</f>
        <v>445800</v>
      </c>
      <c r="D13" s="465" t="s">
        <v>140</v>
      </c>
      <c r="E13" s="494">
        <f>E8+E9-E11-E12</f>
        <v>138000</v>
      </c>
      <c r="F13" s="465" t="s">
        <v>140</v>
      </c>
      <c r="G13" s="494">
        <f>G8+G9-G11-G12</f>
        <v>4000</v>
      </c>
      <c r="H13" s="465" t="s">
        <v>140</v>
      </c>
      <c r="I13" s="705">
        <f>I8+I10-I11-I12</f>
        <v>4037.5</v>
      </c>
      <c r="J13" s="489" t="s">
        <v>140</v>
      </c>
    </row>
    <row r="14" spans="1:11" ht="118.5" customHeight="1" x14ac:dyDescent="0.2">
      <c r="A14" s="483">
        <v>9</v>
      </c>
      <c r="B14" s="495" t="s">
        <v>882</v>
      </c>
      <c r="C14" s="496">
        <v>126000</v>
      </c>
      <c r="D14" s="497" t="s">
        <v>140</v>
      </c>
      <c r="E14" s="496">
        <v>48600</v>
      </c>
      <c r="F14" s="497" t="s">
        <v>140</v>
      </c>
      <c r="G14" s="496">
        <v>1600</v>
      </c>
      <c r="H14" s="497" t="s">
        <v>140</v>
      </c>
      <c r="I14" s="706">
        <v>807.5</v>
      </c>
      <c r="J14" s="489" t="s">
        <v>140</v>
      </c>
      <c r="K14" s="760" t="s">
        <v>1101</v>
      </c>
    </row>
    <row r="15" spans="1:11" ht="114.75" customHeight="1" thickBot="1" x14ac:dyDescent="0.25">
      <c r="A15" s="516">
        <v>10</v>
      </c>
      <c r="B15" s="517" t="s">
        <v>883</v>
      </c>
      <c r="C15" s="518">
        <v>108000</v>
      </c>
      <c r="D15" s="519" t="s">
        <v>140</v>
      </c>
      <c r="E15" s="518">
        <v>13200</v>
      </c>
      <c r="F15" s="519" t="s">
        <v>140</v>
      </c>
      <c r="G15" s="518">
        <v>0</v>
      </c>
      <c r="H15" s="519" t="s">
        <v>140</v>
      </c>
      <c r="I15" s="707">
        <v>3230</v>
      </c>
      <c r="J15" s="515" t="s">
        <v>140</v>
      </c>
      <c r="K15" s="760" t="s">
        <v>1102</v>
      </c>
    </row>
    <row r="16" spans="1:11" x14ac:dyDescent="0.2">
      <c r="B16" s="498"/>
      <c r="E16" s="499"/>
    </row>
    <row r="17" spans="1:7" x14ac:dyDescent="0.2">
      <c r="B17" s="498"/>
      <c r="E17" s="499"/>
    </row>
    <row r="18" spans="1:7" x14ac:dyDescent="0.2">
      <c r="A18" s="1013" t="s">
        <v>866</v>
      </c>
      <c r="B18" s="1013"/>
      <c r="C18" s="1013"/>
      <c r="D18" s="1013"/>
      <c r="E18" s="1013"/>
      <c r="G18" s="500"/>
    </row>
    <row r="19" spans="1:7" x14ac:dyDescent="0.2">
      <c r="A19" s="501" t="s">
        <v>867</v>
      </c>
      <c r="B19" s="501"/>
      <c r="C19" s="501"/>
      <c r="D19" s="501"/>
      <c r="E19" s="502"/>
      <c r="G19" s="500"/>
    </row>
    <row r="21" spans="1:7" ht="94.5" x14ac:dyDescent="0.2">
      <c r="B21" s="503" t="s">
        <v>1013</v>
      </c>
      <c r="C21" s="487" t="s">
        <v>1014</v>
      </c>
      <c r="E21" s="487" t="s">
        <v>1015</v>
      </c>
      <c r="G21" s="487" t="s">
        <v>1016</v>
      </c>
    </row>
    <row r="22" spans="1:7" ht="78.75" x14ac:dyDescent="0.2">
      <c r="B22" s="708" t="s">
        <v>1030</v>
      </c>
      <c r="C22" s="487" t="s">
        <v>1017</v>
      </c>
      <c r="E22" s="487" t="s">
        <v>1018</v>
      </c>
    </row>
    <row r="23" spans="1:7" x14ac:dyDescent="0.2">
      <c r="B23" s="503" t="s">
        <v>1019</v>
      </c>
    </row>
    <row r="42" spans="2:2" x14ac:dyDescent="0.2">
      <c r="B42" s="503" t="s">
        <v>1020</v>
      </c>
    </row>
    <row r="63" spans="2:2" x14ac:dyDescent="0.2">
      <c r="B63" s="755" t="s">
        <v>1074</v>
      </c>
    </row>
  </sheetData>
  <mergeCells count="13">
    <mergeCell ref="A18:E18"/>
    <mergeCell ref="A3:A4"/>
    <mergeCell ref="B3:B4"/>
    <mergeCell ref="C3:D3"/>
    <mergeCell ref="E3:F3"/>
    <mergeCell ref="G3:H3"/>
    <mergeCell ref="I3:J3"/>
    <mergeCell ref="A1:J1"/>
    <mergeCell ref="A2:B2"/>
    <mergeCell ref="C2:D2"/>
    <mergeCell ref="E2:F2"/>
    <mergeCell ref="G2:H2"/>
    <mergeCell ref="I2:J2"/>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3"/>
  <sheetViews>
    <sheetView topLeftCell="A5" zoomScaleNormal="100" workbookViewId="0">
      <selection activeCell="B14" sqref="B14"/>
    </sheetView>
  </sheetViews>
  <sheetFormatPr defaultColWidth="8.85546875" defaultRowHeight="12.75" x14ac:dyDescent="0.2"/>
  <cols>
    <col min="1" max="1" width="8.140625" style="508" customWidth="1"/>
    <col min="2" max="2" width="93.140625" style="508" customWidth="1"/>
    <col min="3" max="3" width="15.7109375" style="508" customWidth="1"/>
    <col min="4" max="4" width="18.140625" style="508" customWidth="1"/>
    <col min="5" max="6" width="17.85546875" style="508" customWidth="1"/>
    <col min="7" max="16384" width="8.85546875" style="508"/>
  </cols>
  <sheetData>
    <row r="1" spans="1:6" s="504" customFormat="1" ht="50.1" customHeight="1" thickBot="1" x14ac:dyDescent="0.25">
      <c r="A1" s="1004" t="s">
        <v>838</v>
      </c>
      <c r="B1" s="1005"/>
      <c r="C1" s="1005"/>
      <c r="D1" s="1005"/>
      <c r="E1" s="1005"/>
      <c r="F1" s="1006"/>
    </row>
    <row r="2" spans="1:6" s="504" customFormat="1" ht="46.15" customHeight="1" x14ac:dyDescent="0.2">
      <c r="A2" s="1007" t="s">
        <v>1057</v>
      </c>
      <c r="B2" s="1008"/>
      <c r="C2" s="1009" t="s">
        <v>870</v>
      </c>
      <c r="D2" s="1010"/>
      <c r="E2" s="1009" t="s">
        <v>780</v>
      </c>
      <c r="F2" s="1010"/>
    </row>
    <row r="3" spans="1:6" s="504" customFormat="1" ht="15.75" x14ac:dyDescent="0.2">
      <c r="A3" s="1014" t="s">
        <v>80</v>
      </c>
      <c r="B3" s="1026" t="s">
        <v>153</v>
      </c>
      <c r="C3" s="1017">
        <v>2023</v>
      </c>
      <c r="D3" s="1018"/>
      <c r="E3" s="1017">
        <v>2023</v>
      </c>
      <c r="F3" s="1018"/>
    </row>
    <row r="4" spans="1:6" s="504" customFormat="1" ht="88.15" customHeight="1" x14ac:dyDescent="0.2">
      <c r="A4" s="1025"/>
      <c r="B4" s="1027"/>
      <c r="C4" s="505" t="s">
        <v>483</v>
      </c>
      <c r="D4" s="506" t="s">
        <v>624</v>
      </c>
      <c r="E4" s="505" t="s">
        <v>483</v>
      </c>
      <c r="F4" s="506" t="s">
        <v>624</v>
      </c>
    </row>
    <row r="5" spans="1:6" s="504" customFormat="1" ht="15.75" x14ac:dyDescent="0.2">
      <c r="A5" s="507"/>
      <c r="B5" s="479"/>
      <c r="C5" s="480" t="s">
        <v>119</v>
      </c>
      <c r="D5" s="482" t="s">
        <v>120</v>
      </c>
      <c r="E5" s="480" t="s">
        <v>121</v>
      </c>
      <c r="F5" s="482" t="s">
        <v>127</v>
      </c>
    </row>
    <row r="6" spans="1:6" ht="37.5" x14ac:dyDescent="0.2">
      <c r="A6" s="483">
        <v>1</v>
      </c>
      <c r="B6" s="484" t="s">
        <v>641</v>
      </c>
      <c r="C6" s="465" t="s">
        <v>140</v>
      </c>
      <c r="D6" s="486">
        <v>0</v>
      </c>
      <c r="E6" s="465" t="s">
        <v>140</v>
      </c>
      <c r="F6" s="486">
        <v>0</v>
      </c>
    </row>
    <row r="7" spans="1:6" ht="37.5" x14ac:dyDescent="0.2">
      <c r="A7" s="483">
        <v>2</v>
      </c>
      <c r="B7" s="484" t="s">
        <v>642</v>
      </c>
      <c r="C7" s="465" t="s">
        <v>140</v>
      </c>
      <c r="D7" s="486">
        <v>0</v>
      </c>
      <c r="E7" s="465" t="s">
        <v>140</v>
      </c>
      <c r="F7" s="486">
        <v>0</v>
      </c>
    </row>
    <row r="8" spans="1:6" ht="31.5" x14ac:dyDescent="0.2">
      <c r="A8" s="483">
        <v>3</v>
      </c>
      <c r="B8" s="488" t="s">
        <v>875</v>
      </c>
      <c r="C8" s="509">
        <v>0</v>
      </c>
      <c r="D8" s="489" t="s">
        <v>140</v>
      </c>
      <c r="E8" s="509">
        <v>0</v>
      </c>
      <c r="F8" s="489" t="s">
        <v>140</v>
      </c>
    </row>
    <row r="9" spans="1:6" ht="31.15" customHeight="1" x14ac:dyDescent="0.2">
      <c r="A9" s="483">
        <v>4</v>
      </c>
      <c r="B9" s="484" t="s">
        <v>643</v>
      </c>
      <c r="C9" s="509">
        <v>0</v>
      </c>
      <c r="D9" s="489" t="s">
        <v>140</v>
      </c>
      <c r="E9" s="509">
        <v>0</v>
      </c>
      <c r="F9" s="489" t="s">
        <v>140</v>
      </c>
    </row>
    <row r="10" spans="1:6" ht="31.5" x14ac:dyDescent="0.2">
      <c r="A10" s="483">
        <v>5</v>
      </c>
      <c r="B10" s="484" t="s">
        <v>884</v>
      </c>
      <c r="C10" s="510">
        <v>0</v>
      </c>
      <c r="D10" s="489" t="s">
        <v>140</v>
      </c>
      <c r="E10" s="510">
        <v>0</v>
      </c>
      <c r="F10" s="489" t="s">
        <v>140</v>
      </c>
    </row>
    <row r="11" spans="1:6" ht="34.5" customHeight="1" x14ac:dyDescent="0.2">
      <c r="A11" s="483">
        <v>6</v>
      </c>
      <c r="B11" s="492" t="s">
        <v>880</v>
      </c>
      <c r="C11" s="511"/>
      <c r="D11" s="489" t="s">
        <v>140</v>
      </c>
      <c r="E11" s="511">
        <v>0</v>
      </c>
      <c r="F11" s="489"/>
    </row>
    <row r="12" spans="1:6" ht="31.15" customHeight="1" x14ac:dyDescent="0.2">
      <c r="A12" s="483">
        <v>7</v>
      </c>
      <c r="B12" s="490" t="s">
        <v>885</v>
      </c>
      <c r="C12" s="512">
        <f>C8+C9-C10-C11</f>
        <v>0</v>
      </c>
      <c r="D12" s="489" t="s">
        <v>140</v>
      </c>
      <c r="E12" s="512">
        <f>E8+E9-E10-E11</f>
        <v>0</v>
      </c>
      <c r="F12" s="489" t="s">
        <v>140</v>
      </c>
    </row>
    <row r="13" spans="1:6" ht="31.15" customHeight="1" x14ac:dyDescent="0.2">
      <c r="A13" s="483">
        <v>8</v>
      </c>
      <c r="B13" s="495" t="s">
        <v>882</v>
      </c>
      <c r="C13" s="509">
        <v>0</v>
      </c>
      <c r="D13" s="489" t="s">
        <v>140</v>
      </c>
      <c r="E13" s="509">
        <v>0</v>
      </c>
      <c r="F13" s="489" t="s">
        <v>140</v>
      </c>
    </row>
    <row r="14" spans="1:6" ht="31.15" customHeight="1" thickBot="1" x14ac:dyDescent="0.25">
      <c r="A14" s="483">
        <v>9</v>
      </c>
      <c r="B14" s="517" t="s">
        <v>883</v>
      </c>
      <c r="C14" s="509">
        <v>0</v>
      </c>
      <c r="D14" s="489" t="s">
        <v>140</v>
      </c>
      <c r="E14" s="509">
        <v>0</v>
      </c>
      <c r="F14" s="489" t="s">
        <v>140</v>
      </c>
    </row>
    <row r="15" spans="1:6" ht="31.15" customHeight="1" thickBot="1" x14ac:dyDescent="0.25">
      <c r="A15" s="516">
        <v>10</v>
      </c>
      <c r="B15" s="513" t="s">
        <v>886</v>
      </c>
      <c r="C15" s="514">
        <f>IF(C10=0,0,C10/D6)</f>
        <v>0</v>
      </c>
      <c r="D15" s="515" t="s">
        <v>140</v>
      </c>
      <c r="E15" s="514">
        <f>IF(E10=0,0,E10/F6)</f>
        <v>0</v>
      </c>
      <c r="F15" s="515" t="s">
        <v>140</v>
      </c>
    </row>
    <row r="16" spans="1:6" ht="15.75" x14ac:dyDescent="0.2">
      <c r="A16" s="487"/>
      <c r="B16" s="498"/>
      <c r="C16" s="487"/>
      <c r="D16" s="487"/>
    </row>
    <row r="17" spans="1:4" ht="15" x14ac:dyDescent="0.2">
      <c r="A17" s="1019" t="s">
        <v>746</v>
      </c>
      <c r="B17" s="1020"/>
      <c r="C17" s="1020"/>
      <c r="D17" s="1021"/>
    </row>
    <row r="18" spans="1:4" ht="31.5" customHeight="1" x14ac:dyDescent="0.2">
      <c r="A18" s="1022" t="s">
        <v>640</v>
      </c>
      <c r="B18" s="1023"/>
      <c r="C18" s="1023"/>
      <c r="D18" s="1024"/>
    </row>
    <row r="20" spans="1:4" x14ac:dyDescent="0.2">
      <c r="B20" s="508" t="s">
        <v>1021</v>
      </c>
    </row>
    <row r="23" spans="1:4" x14ac:dyDescent="0.2">
      <c r="B23" s="756" t="s">
        <v>1074</v>
      </c>
    </row>
  </sheetData>
  <mergeCells count="10">
    <mergeCell ref="A17:D17"/>
    <mergeCell ref="A18:D18"/>
    <mergeCell ref="A1:F1"/>
    <mergeCell ref="A2:B2"/>
    <mergeCell ref="C2:D2"/>
    <mergeCell ref="E2:F2"/>
    <mergeCell ref="A3:A4"/>
    <mergeCell ref="B3:B4"/>
    <mergeCell ref="C3:D3"/>
    <mergeCell ref="E3:F3"/>
  </mergeCells>
  <pageMargins left="0.70866141732283472" right="0.70866141732283472" top="0.74803149606299213" bottom="0.74803149606299213" header="0.31496062992125984" footer="0.31496062992125984"/>
  <pageSetup paperSize="9" scale="7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tabColor indexed="42"/>
    <pageSetUpPr fitToPage="1"/>
  </sheetPr>
  <dimension ref="A1:N14"/>
  <sheetViews>
    <sheetView zoomScaleNormal="100" workbookViewId="0">
      <pane xSplit="1" ySplit="5" topLeftCell="D6" activePane="bottomRight" state="frozen"/>
      <selection pane="topRight" activeCell="B1" sqref="B1"/>
      <selection pane="bottomLeft" activeCell="A6" sqref="A6"/>
      <selection pane="bottomRight" activeCell="I10" sqref="I10"/>
    </sheetView>
  </sheetViews>
  <sheetFormatPr defaultColWidth="9.140625" defaultRowHeight="15.75" x14ac:dyDescent="0.2"/>
  <cols>
    <col min="1" max="1" width="8.85546875" style="40" customWidth="1"/>
    <col min="2" max="2" width="20.5703125" style="40" customWidth="1"/>
    <col min="3" max="3" width="18.28515625" style="40" customWidth="1"/>
    <col min="4" max="4" width="15.85546875" style="40" customWidth="1"/>
    <col min="5" max="5" width="15.7109375" style="40" customWidth="1"/>
    <col min="6" max="6" width="14.5703125" style="40" customWidth="1"/>
    <col min="7" max="7" width="18.7109375" style="40" customWidth="1"/>
    <col min="8" max="8" width="20.28515625" style="40" customWidth="1"/>
    <col min="9" max="9" width="18" style="40" customWidth="1"/>
    <col min="10" max="10" width="18.140625" style="40" customWidth="1"/>
    <col min="11" max="11" width="16.85546875" style="40" customWidth="1"/>
    <col min="12" max="12" width="17.140625" style="40" customWidth="1"/>
    <col min="13" max="13" width="17.7109375" style="40" customWidth="1"/>
    <col min="14" max="14" width="22.28515625" style="40" customWidth="1"/>
    <col min="15" max="16384" width="9.140625" style="40"/>
  </cols>
  <sheetData>
    <row r="1" spans="1:14" s="392" customFormat="1" ht="35.1" customHeight="1" thickBot="1" x14ac:dyDescent="0.25">
      <c r="A1" s="1028" t="s">
        <v>839</v>
      </c>
      <c r="B1" s="1029"/>
      <c r="C1" s="1029"/>
      <c r="D1" s="1029"/>
      <c r="E1" s="1029"/>
      <c r="F1" s="1029"/>
      <c r="G1" s="1029"/>
      <c r="H1" s="1029"/>
      <c r="I1" s="1029"/>
      <c r="J1" s="1029"/>
      <c r="K1" s="1029"/>
      <c r="L1" s="1029"/>
      <c r="M1" s="1030"/>
    </row>
    <row r="2" spans="1:14" s="392" customFormat="1" ht="42.75" customHeight="1" x14ac:dyDescent="0.2">
      <c r="A2" s="813" t="s">
        <v>1061</v>
      </c>
      <c r="B2" s="814"/>
      <c r="C2" s="814"/>
      <c r="D2" s="814"/>
      <c r="E2" s="814"/>
      <c r="F2" s="814"/>
      <c r="G2" s="814"/>
      <c r="H2" s="814"/>
      <c r="I2" s="814"/>
      <c r="J2" s="814"/>
      <c r="K2" s="814"/>
      <c r="L2" s="814"/>
      <c r="M2" s="815"/>
    </row>
    <row r="3" spans="1:14" s="392" customFormat="1" ht="45.75" customHeight="1" x14ac:dyDescent="0.2">
      <c r="A3" s="1035" t="s">
        <v>80</v>
      </c>
      <c r="B3" s="1037" t="s">
        <v>840</v>
      </c>
      <c r="C3" s="1037"/>
      <c r="D3" s="1037"/>
      <c r="E3" s="1037"/>
      <c r="F3" s="1037"/>
      <c r="G3" s="1037"/>
      <c r="H3" s="1037" t="s">
        <v>841</v>
      </c>
      <c r="I3" s="1037"/>
      <c r="J3" s="1037"/>
      <c r="K3" s="1037"/>
      <c r="L3" s="1037"/>
      <c r="M3" s="1038"/>
    </row>
    <row r="4" spans="1:14" s="396" customFormat="1" ht="171.75" customHeight="1" x14ac:dyDescent="0.2">
      <c r="A4" s="1036"/>
      <c r="B4" s="393" t="s">
        <v>491</v>
      </c>
      <c r="C4" s="393" t="s">
        <v>492</v>
      </c>
      <c r="D4" s="393" t="s">
        <v>85</v>
      </c>
      <c r="E4" s="393" t="s">
        <v>27</v>
      </c>
      <c r="F4" s="393" t="s">
        <v>766</v>
      </c>
      <c r="G4" s="393" t="s">
        <v>78</v>
      </c>
      <c r="H4" s="393" t="s">
        <v>491</v>
      </c>
      <c r="I4" s="393" t="s">
        <v>492</v>
      </c>
      <c r="J4" s="393" t="s">
        <v>85</v>
      </c>
      <c r="K4" s="393" t="s">
        <v>27</v>
      </c>
      <c r="L4" s="394" t="s">
        <v>767</v>
      </c>
      <c r="M4" s="395" t="s">
        <v>78</v>
      </c>
    </row>
    <row r="5" spans="1:14" s="392" customFormat="1" x14ac:dyDescent="0.2">
      <c r="A5" s="397"/>
      <c r="B5" s="394" t="s">
        <v>119</v>
      </c>
      <c r="C5" s="394" t="s">
        <v>120</v>
      </c>
      <c r="D5" s="394" t="s">
        <v>121</v>
      </c>
      <c r="E5" s="394" t="s">
        <v>127</v>
      </c>
      <c r="F5" s="394" t="s">
        <v>122</v>
      </c>
      <c r="G5" s="394" t="s">
        <v>466</v>
      </c>
      <c r="H5" s="394" t="s">
        <v>124</v>
      </c>
      <c r="I5" s="394" t="s">
        <v>125</v>
      </c>
      <c r="J5" s="394" t="s">
        <v>126</v>
      </c>
      <c r="K5" s="394" t="s">
        <v>467</v>
      </c>
      <c r="L5" s="396" t="s">
        <v>468</v>
      </c>
      <c r="M5" s="395" t="s">
        <v>517</v>
      </c>
    </row>
    <row r="6" spans="1:14" ht="91.5" customHeight="1" thickBot="1" x14ac:dyDescent="0.25">
      <c r="A6" s="46">
        <v>1</v>
      </c>
      <c r="B6" s="112">
        <f>17696813.52</f>
        <v>17696813.52</v>
      </c>
      <c r="C6" s="112">
        <f>23034575.4</f>
        <v>23034575.399999999</v>
      </c>
      <c r="D6" s="112">
        <f>5659737.64</f>
        <v>5659737.6399999997</v>
      </c>
      <c r="E6" s="112">
        <f>2177515.31</f>
        <v>2177515.31</v>
      </c>
      <c r="F6" s="112">
        <f>2605484.87</f>
        <v>2605484.87</v>
      </c>
      <c r="G6" s="113">
        <f>SUM(B6:F6)</f>
        <v>51174126.740000002</v>
      </c>
      <c r="H6" s="112">
        <f>17614346.5</f>
        <v>17614346.5</v>
      </c>
      <c r="I6" s="112">
        <f>27042614.48</f>
        <v>27042614.48</v>
      </c>
      <c r="J6" s="112">
        <f>2618816.27+2359425.04</f>
        <v>4978241.3100000005</v>
      </c>
      <c r="K6" s="112">
        <v>2481215</v>
      </c>
      <c r="L6" s="112">
        <f>48657.86+325721.76+182040.36+2130359.26+40057.09+2383.92</f>
        <v>2729220.2499999995</v>
      </c>
      <c r="M6" s="114">
        <f>SUM(H6:L6)</f>
        <v>54845637.540000007</v>
      </c>
      <c r="N6" s="738" t="s">
        <v>1043</v>
      </c>
    </row>
    <row r="7" spans="1:14" x14ac:dyDescent="0.2">
      <c r="H7" s="194">
        <f>B6+'T11-Zdroje KV'!D15-'T5 - Analýza nákladov'!E92-8146.03</f>
        <v>17614346.5</v>
      </c>
      <c r="I7" s="194">
        <f>C6+'T11-Zdroje KV'!D16-'T5 - Analýza nákladov'!E94</f>
        <v>27042614.48</v>
      </c>
    </row>
    <row r="8" spans="1:14" x14ac:dyDescent="0.2">
      <c r="H8" s="194">
        <f>H6-H7</f>
        <v>0</v>
      </c>
      <c r="I8" s="718">
        <f>I6-I7</f>
        <v>0</v>
      </c>
    </row>
    <row r="9" spans="1:14" ht="60.75" customHeight="1" x14ac:dyDescent="0.2">
      <c r="B9" s="173" t="s">
        <v>506</v>
      </c>
      <c r="C9" s="173"/>
      <c r="H9" s="738" t="s">
        <v>1043</v>
      </c>
      <c r="I9" s="716"/>
    </row>
    <row r="10" spans="1:14" x14ac:dyDescent="0.2">
      <c r="M10" s="40" t="s">
        <v>1087</v>
      </c>
    </row>
    <row r="11" spans="1:14" x14ac:dyDescent="0.2">
      <c r="B11" s="173" t="s">
        <v>478</v>
      </c>
      <c r="C11" s="173"/>
    </row>
    <row r="13" spans="1:14" x14ac:dyDescent="0.2">
      <c r="B13" s="1031" t="s">
        <v>774</v>
      </c>
      <c r="C13" s="1032"/>
      <c r="D13" s="1032"/>
      <c r="E13" s="1033"/>
    </row>
    <row r="14" spans="1:14" x14ac:dyDescent="0.2">
      <c r="B14" s="1034"/>
      <c r="C14" s="1034"/>
      <c r="D14" s="1034"/>
      <c r="E14" s="1034"/>
    </row>
  </sheetData>
  <mergeCells count="7">
    <mergeCell ref="A1:M1"/>
    <mergeCell ref="A2:M2"/>
    <mergeCell ref="B13:E13"/>
    <mergeCell ref="B14:E14"/>
    <mergeCell ref="A3:A4"/>
    <mergeCell ref="B3:G3"/>
    <mergeCell ref="H3:M3"/>
  </mergeCells>
  <phoneticPr fontId="21" type="noConversion"/>
  <pageMargins left="0.4" right="0.27" top="0.98425196850393704" bottom="0.98425196850393704" header="0.51181102362204722" footer="0.51181102362204722"/>
  <pageSetup paperSize="9" scale="65" orientation="landscape" r:id="rId1"/>
  <headerFooter alignWithMargins="0"/>
  <ignoredErrors>
    <ignoredError sqref="G6"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5"/>
  <sheetViews>
    <sheetView zoomScaleNormal="100" workbookViewId="0">
      <pane xSplit="3" ySplit="3" topLeftCell="D25" activePane="bottomRight" state="frozen"/>
      <selection pane="topRight" activeCell="D1" sqref="D1"/>
      <selection pane="bottomLeft" activeCell="A4" sqref="A4"/>
      <selection pane="bottomRight" sqref="A1:F1"/>
    </sheetView>
  </sheetViews>
  <sheetFormatPr defaultColWidth="9.140625" defaultRowHeight="15.75" x14ac:dyDescent="0.2"/>
  <cols>
    <col min="1" max="1" width="7.28515625" style="86" customWidth="1"/>
    <col min="2" max="2" width="39.85546875" style="86" customWidth="1"/>
    <col min="3" max="3" width="9.42578125" style="86" customWidth="1"/>
    <col min="4" max="4" width="18.42578125" style="86" customWidth="1"/>
    <col min="5" max="5" width="16.7109375" style="86" customWidth="1"/>
    <col min="6" max="6" width="15.42578125" style="86" customWidth="1"/>
    <col min="7" max="7" width="10" style="86" bestFit="1" customWidth="1"/>
    <col min="8" max="16384" width="9.140625" style="86"/>
  </cols>
  <sheetData>
    <row r="1" spans="1:6" s="398" customFormat="1" ht="50.1" customHeight="1" thickBot="1" x14ac:dyDescent="0.25">
      <c r="A1" s="1045" t="s">
        <v>842</v>
      </c>
      <c r="B1" s="1046"/>
      <c r="C1" s="1046"/>
      <c r="D1" s="1046"/>
      <c r="E1" s="1046"/>
      <c r="F1" s="1047"/>
    </row>
    <row r="2" spans="1:6" s="398" customFormat="1" ht="36.75" customHeight="1" thickBot="1" x14ac:dyDescent="0.25">
      <c r="A2" s="1048" t="s">
        <v>1063</v>
      </c>
      <c r="B2" s="1049"/>
      <c r="C2" s="1049"/>
      <c r="D2" s="1049"/>
      <c r="E2" s="1049"/>
      <c r="F2" s="1050"/>
    </row>
    <row r="3" spans="1:6" s="402" customFormat="1" ht="69" customHeight="1" thickBot="1" x14ac:dyDescent="0.25">
      <c r="A3" s="191" t="s">
        <v>325</v>
      </c>
      <c r="B3" s="191" t="s">
        <v>199</v>
      </c>
      <c r="C3" s="399" t="s">
        <v>80</v>
      </c>
      <c r="D3" s="399" t="s">
        <v>843</v>
      </c>
      <c r="E3" s="400" t="s">
        <v>844</v>
      </c>
      <c r="F3" s="401" t="s">
        <v>810</v>
      </c>
    </row>
    <row r="4" spans="1:6" s="402" customFormat="1" x14ac:dyDescent="0.2">
      <c r="A4" s="403"/>
      <c r="B4" s="190"/>
      <c r="C4" s="404"/>
      <c r="D4" s="404" t="s">
        <v>119</v>
      </c>
      <c r="E4" s="405" t="s">
        <v>120</v>
      </c>
      <c r="F4" s="406" t="s">
        <v>121</v>
      </c>
    </row>
    <row r="5" spans="1:6" customFormat="1" ht="15.75" customHeight="1" x14ac:dyDescent="0.25">
      <c r="A5" s="423">
        <v>601</v>
      </c>
      <c r="B5" s="407" t="s">
        <v>393</v>
      </c>
      <c r="C5" s="424" t="s">
        <v>394</v>
      </c>
      <c r="D5" s="101">
        <v>467720.82</v>
      </c>
      <c r="E5" s="101">
        <v>594545.97</v>
      </c>
      <c r="F5" s="105">
        <f>E5-D5</f>
        <v>126825.14999999997</v>
      </c>
    </row>
    <row r="6" spans="1:6" customFormat="1" ht="15.75" customHeight="1" x14ac:dyDescent="0.25">
      <c r="A6" s="425">
        <v>602</v>
      </c>
      <c r="B6" s="408" t="s">
        <v>395</v>
      </c>
      <c r="C6" s="426" t="s">
        <v>396</v>
      </c>
      <c r="D6" s="102">
        <v>855192.49</v>
      </c>
      <c r="E6" s="102">
        <v>996406.56</v>
      </c>
      <c r="F6" s="105">
        <f t="shared" ref="F6:F39" si="0">E6-D6</f>
        <v>141214.07000000007</v>
      </c>
    </row>
    <row r="7" spans="1:6" customFormat="1" ht="15.75" customHeight="1" x14ac:dyDescent="0.25">
      <c r="A7" s="425">
        <v>604</v>
      </c>
      <c r="B7" s="409" t="s">
        <v>397</v>
      </c>
      <c r="C7" s="426" t="s">
        <v>398</v>
      </c>
      <c r="D7" s="102"/>
      <c r="E7" s="102"/>
      <c r="F7" s="105">
        <f t="shared" si="0"/>
        <v>0</v>
      </c>
    </row>
    <row r="8" spans="1:6" customFormat="1" ht="15.75" customHeight="1" x14ac:dyDescent="0.25">
      <c r="A8" s="425">
        <v>611</v>
      </c>
      <c r="B8" s="408" t="s">
        <v>747</v>
      </c>
      <c r="C8" s="426" t="s">
        <v>399</v>
      </c>
      <c r="D8" s="102"/>
      <c r="E8" s="102"/>
      <c r="F8" s="105">
        <f t="shared" si="0"/>
        <v>0</v>
      </c>
    </row>
    <row r="9" spans="1:6" customFormat="1" ht="15.75" customHeight="1" x14ac:dyDescent="0.25">
      <c r="A9" s="425">
        <v>612</v>
      </c>
      <c r="B9" s="408" t="s">
        <v>400</v>
      </c>
      <c r="C9" s="426" t="s">
        <v>401</v>
      </c>
      <c r="D9" s="102"/>
      <c r="E9" s="102"/>
      <c r="F9" s="105">
        <f t="shared" si="0"/>
        <v>0</v>
      </c>
    </row>
    <row r="10" spans="1:6" customFormat="1" ht="15.75" customHeight="1" x14ac:dyDescent="0.25">
      <c r="A10" s="425">
        <v>613</v>
      </c>
      <c r="B10" s="408" t="s">
        <v>402</v>
      </c>
      <c r="C10" s="426" t="s">
        <v>403</v>
      </c>
      <c r="D10" s="102"/>
      <c r="E10" s="102"/>
      <c r="F10" s="105">
        <f t="shared" si="0"/>
        <v>0</v>
      </c>
    </row>
    <row r="11" spans="1:6" customFormat="1" ht="15.75" customHeight="1" x14ac:dyDescent="0.25">
      <c r="A11" s="425">
        <v>614</v>
      </c>
      <c r="B11" s="408" t="s">
        <v>404</v>
      </c>
      <c r="C11" s="426" t="s">
        <v>405</v>
      </c>
      <c r="D11" s="102"/>
      <c r="E11" s="102"/>
      <c r="F11" s="105">
        <f t="shared" si="0"/>
        <v>0</v>
      </c>
    </row>
    <row r="12" spans="1:6" customFormat="1" ht="15.75" customHeight="1" x14ac:dyDescent="0.25">
      <c r="A12" s="425">
        <v>621</v>
      </c>
      <c r="B12" s="408" t="s">
        <v>406</v>
      </c>
      <c r="C12" s="426" t="s">
        <v>407</v>
      </c>
      <c r="D12" s="102"/>
      <c r="E12" s="102"/>
      <c r="F12" s="105">
        <f t="shared" si="0"/>
        <v>0</v>
      </c>
    </row>
    <row r="13" spans="1:6" customFormat="1" ht="15.75" customHeight="1" x14ac:dyDescent="0.25">
      <c r="A13" s="425">
        <v>622</v>
      </c>
      <c r="B13" s="408" t="s">
        <v>408</v>
      </c>
      <c r="C13" s="426" t="s">
        <v>409</v>
      </c>
      <c r="D13" s="102"/>
      <c r="E13" s="102"/>
      <c r="F13" s="105">
        <f t="shared" si="0"/>
        <v>0</v>
      </c>
    </row>
    <row r="14" spans="1:6" customFormat="1" ht="15.75" customHeight="1" x14ac:dyDescent="0.25">
      <c r="A14" s="425">
        <v>623</v>
      </c>
      <c r="B14" s="408" t="s">
        <v>749</v>
      </c>
      <c r="C14" s="426" t="s">
        <v>410</v>
      </c>
      <c r="D14" s="102"/>
      <c r="E14" s="102"/>
      <c r="F14" s="105">
        <f t="shared" si="0"/>
        <v>0</v>
      </c>
    </row>
    <row r="15" spans="1:6" customFormat="1" ht="15.75" customHeight="1" x14ac:dyDescent="0.25">
      <c r="A15" s="425">
        <v>624</v>
      </c>
      <c r="B15" s="408" t="s">
        <v>750</v>
      </c>
      <c r="C15" s="426" t="s">
        <v>411</v>
      </c>
      <c r="D15" s="102"/>
      <c r="E15" s="102"/>
      <c r="F15" s="105">
        <f t="shared" si="0"/>
        <v>0</v>
      </c>
    </row>
    <row r="16" spans="1:6" customFormat="1" ht="15.75" customHeight="1" x14ac:dyDescent="0.25">
      <c r="A16" s="425">
        <v>641</v>
      </c>
      <c r="B16" s="408" t="s">
        <v>355</v>
      </c>
      <c r="C16" s="426" t="s">
        <v>412</v>
      </c>
      <c r="D16" s="102"/>
      <c r="E16" s="102"/>
      <c r="F16" s="105">
        <f t="shared" si="0"/>
        <v>0</v>
      </c>
    </row>
    <row r="17" spans="1:7" customFormat="1" ht="15.75" customHeight="1" x14ac:dyDescent="0.25">
      <c r="A17" s="425">
        <v>642</v>
      </c>
      <c r="B17" s="408" t="s">
        <v>357</v>
      </c>
      <c r="C17" s="426" t="s">
        <v>413</v>
      </c>
      <c r="D17" s="102"/>
      <c r="E17" s="102"/>
      <c r="F17" s="105">
        <f t="shared" si="0"/>
        <v>0</v>
      </c>
    </row>
    <row r="18" spans="1:7" customFormat="1" ht="15.75" customHeight="1" x14ac:dyDescent="0.25">
      <c r="A18" s="425">
        <v>643</v>
      </c>
      <c r="B18" s="408" t="s">
        <v>414</v>
      </c>
      <c r="C18" s="426" t="s">
        <v>415</v>
      </c>
      <c r="D18" s="102"/>
      <c r="E18" s="102"/>
      <c r="F18" s="105">
        <f t="shared" si="0"/>
        <v>0</v>
      </c>
    </row>
    <row r="19" spans="1:7" customFormat="1" ht="15.75" customHeight="1" x14ac:dyDescent="0.25">
      <c r="A19" s="425">
        <v>644</v>
      </c>
      <c r="B19" s="408" t="s">
        <v>361</v>
      </c>
      <c r="C19" s="426" t="s">
        <v>416</v>
      </c>
      <c r="D19" s="102"/>
      <c r="E19" s="102"/>
      <c r="F19" s="105">
        <f t="shared" si="0"/>
        <v>0</v>
      </c>
    </row>
    <row r="20" spans="1:7" customFormat="1" ht="15.75" customHeight="1" x14ac:dyDescent="0.25">
      <c r="A20" s="425">
        <v>645</v>
      </c>
      <c r="B20" s="408" t="s">
        <v>417</v>
      </c>
      <c r="C20" s="426" t="s">
        <v>418</v>
      </c>
      <c r="D20" s="102"/>
      <c r="E20" s="102"/>
      <c r="F20" s="105">
        <f t="shared" si="0"/>
        <v>0</v>
      </c>
    </row>
    <row r="21" spans="1:7" customFormat="1" ht="15.75" customHeight="1" x14ac:dyDescent="0.25">
      <c r="A21" s="425">
        <v>646</v>
      </c>
      <c r="B21" s="408" t="s">
        <v>419</v>
      </c>
      <c r="C21" s="426" t="s">
        <v>420</v>
      </c>
      <c r="D21" s="102"/>
      <c r="E21" s="102"/>
      <c r="F21" s="105">
        <f t="shared" si="0"/>
        <v>0</v>
      </c>
    </row>
    <row r="22" spans="1:7" customFormat="1" ht="15.75" customHeight="1" x14ac:dyDescent="0.25">
      <c r="A22" s="425">
        <v>647</v>
      </c>
      <c r="B22" s="408" t="s">
        <v>421</v>
      </c>
      <c r="C22" s="426" t="s">
        <v>422</v>
      </c>
      <c r="D22" s="102"/>
      <c r="E22" s="102"/>
      <c r="F22" s="105">
        <f t="shared" si="0"/>
        <v>0</v>
      </c>
      <c r="G22" s="172"/>
    </row>
    <row r="23" spans="1:7" customFormat="1" ht="15.75" customHeight="1" x14ac:dyDescent="0.25">
      <c r="A23" s="425">
        <v>648</v>
      </c>
      <c r="B23" s="410" t="s">
        <v>888</v>
      </c>
      <c r="C23" s="426" t="s">
        <v>423</v>
      </c>
      <c r="D23" s="719">
        <f>'T4-Výnosy zo školného'!C25</f>
        <v>85985.06</v>
      </c>
      <c r="E23" s="719">
        <f>'T4-Výnosy zo školného'!D25</f>
        <v>50698.78</v>
      </c>
      <c r="F23" s="105">
        <f t="shared" si="0"/>
        <v>-35286.28</v>
      </c>
    </row>
    <row r="24" spans="1:7" customFormat="1" ht="15.75" customHeight="1" x14ac:dyDescent="0.25">
      <c r="A24" s="425">
        <v>649</v>
      </c>
      <c r="B24" s="408" t="s">
        <v>424</v>
      </c>
      <c r="C24" s="426" t="s">
        <v>425</v>
      </c>
      <c r="D24" s="102">
        <v>9429.9500000000007</v>
      </c>
      <c r="E24" s="102">
        <v>4539.6499999999996</v>
      </c>
      <c r="F24" s="105">
        <f t="shared" si="0"/>
        <v>-4890.3000000000011</v>
      </c>
    </row>
    <row r="25" spans="1:7" customFormat="1" ht="15.75" customHeight="1" x14ac:dyDescent="0.25">
      <c r="A25" s="425">
        <v>651</v>
      </c>
      <c r="B25" s="408" t="s">
        <v>889</v>
      </c>
      <c r="C25" s="426" t="s">
        <v>426</v>
      </c>
      <c r="D25" s="102"/>
      <c r="E25" s="102"/>
      <c r="F25" s="105">
        <f t="shared" si="0"/>
        <v>0</v>
      </c>
    </row>
    <row r="26" spans="1:7" customFormat="1" ht="15.75" customHeight="1" x14ac:dyDescent="0.25">
      <c r="A26" s="425">
        <v>652</v>
      </c>
      <c r="B26" s="408" t="s">
        <v>751</v>
      </c>
      <c r="C26" s="426" t="s">
        <v>427</v>
      </c>
      <c r="D26" s="102"/>
      <c r="E26" s="102"/>
      <c r="F26" s="105">
        <f t="shared" si="0"/>
        <v>0</v>
      </c>
    </row>
    <row r="27" spans="1:7" customFormat="1" ht="15.75" customHeight="1" x14ac:dyDescent="0.25">
      <c r="A27" s="425">
        <v>653</v>
      </c>
      <c r="B27" s="408" t="s">
        <v>428</v>
      </c>
      <c r="C27" s="426" t="s">
        <v>429</v>
      </c>
      <c r="D27" s="102"/>
      <c r="E27" s="102"/>
      <c r="F27" s="105">
        <f t="shared" si="0"/>
        <v>0</v>
      </c>
    </row>
    <row r="28" spans="1:7" customFormat="1" ht="15.75" customHeight="1" x14ac:dyDescent="0.25">
      <c r="A28" s="425">
        <v>654</v>
      </c>
      <c r="B28" s="408" t="s">
        <v>430</v>
      </c>
      <c r="C28" s="426" t="s">
        <v>431</v>
      </c>
      <c r="D28" s="102"/>
      <c r="E28" s="102"/>
      <c r="F28" s="105">
        <f t="shared" si="0"/>
        <v>0</v>
      </c>
    </row>
    <row r="29" spans="1:7" customFormat="1" ht="15.75" customHeight="1" x14ac:dyDescent="0.25">
      <c r="A29" s="425">
        <v>655</v>
      </c>
      <c r="B29" s="408" t="s">
        <v>752</v>
      </c>
      <c r="C29" s="426" t="s">
        <v>432</v>
      </c>
      <c r="D29" s="102"/>
      <c r="E29" s="102"/>
      <c r="F29" s="105">
        <f t="shared" si="0"/>
        <v>0</v>
      </c>
    </row>
    <row r="30" spans="1:7" customFormat="1" ht="15.75" customHeight="1" x14ac:dyDescent="0.25">
      <c r="A30" s="427">
        <v>656</v>
      </c>
      <c r="B30" s="408" t="s">
        <v>433</v>
      </c>
      <c r="C30" s="426" t="s">
        <v>434</v>
      </c>
      <c r="D30" s="719">
        <f>'T3-Výnosy'!C64</f>
        <v>89072.9</v>
      </c>
      <c r="E30" s="719">
        <f>'T3-Výnosy'!E64</f>
        <v>63827</v>
      </c>
      <c r="F30" s="105">
        <f t="shared" si="0"/>
        <v>-25245.899999999994</v>
      </c>
    </row>
    <row r="31" spans="1:7" customFormat="1" ht="15.75" customHeight="1" x14ac:dyDescent="0.25">
      <c r="A31" s="427">
        <v>657</v>
      </c>
      <c r="B31" s="408" t="s">
        <v>435</v>
      </c>
      <c r="C31" s="426" t="s">
        <v>436</v>
      </c>
      <c r="D31" s="102"/>
      <c r="E31" s="102"/>
      <c r="F31" s="105">
        <f t="shared" si="0"/>
        <v>0</v>
      </c>
    </row>
    <row r="32" spans="1:7" customFormat="1" ht="15.75" customHeight="1" x14ac:dyDescent="0.25">
      <c r="A32" s="427">
        <v>658</v>
      </c>
      <c r="B32" s="408" t="s">
        <v>437</v>
      </c>
      <c r="C32" s="426" t="s">
        <v>438</v>
      </c>
      <c r="D32" s="102"/>
      <c r="E32" s="102"/>
      <c r="F32" s="105">
        <f t="shared" si="0"/>
        <v>0</v>
      </c>
    </row>
    <row r="33" spans="1:7" customFormat="1" ht="15.75" customHeight="1" x14ac:dyDescent="0.25">
      <c r="A33" s="427">
        <v>661</v>
      </c>
      <c r="B33" s="408" t="s">
        <v>439</v>
      </c>
      <c r="C33" s="426" t="s">
        <v>440</v>
      </c>
      <c r="D33" s="102"/>
      <c r="E33" s="102"/>
      <c r="F33" s="105">
        <f t="shared" si="0"/>
        <v>0</v>
      </c>
      <c r="G33" s="172"/>
    </row>
    <row r="34" spans="1:7" customFormat="1" ht="15.75" customHeight="1" x14ac:dyDescent="0.25">
      <c r="A34" s="427">
        <v>662</v>
      </c>
      <c r="B34" s="408" t="s">
        <v>890</v>
      </c>
      <c r="C34" s="426" t="s">
        <v>441</v>
      </c>
      <c r="D34" s="102"/>
      <c r="E34" s="102"/>
      <c r="F34" s="105">
        <f t="shared" si="0"/>
        <v>0</v>
      </c>
    </row>
    <row r="35" spans="1:7" customFormat="1" ht="15.75" customHeight="1" x14ac:dyDescent="0.25">
      <c r="A35" s="427">
        <v>663</v>
      </c>
      <c r="B35" s="408" t="s">
        <v>442</v>
      </c>
      <c r="C35" s="426" t="s">
        <v>443</v>
      </c>
      <c r="D35" s="102"/>
      <c r="E35" s="102"/>
      <c r="F35" s="105">
        <f t="shared" si="0"/>
        <v>0</v>
      </c>
    </row>
    <row r="36" spans="1:7" customFormat="1" ht="15.75" customHeight="1" x14ac:dyDescent="0.25">
      <c r="A36" s="427">
        <v>664</v>
      </c>
      <c r="B36" s="408" t="s">
        <v>444</v>
      </c>
      <c r="C36" s="426" t="s">
        <v>445</v>
      </c>
      <c r="D36" s="103"/>
      <c r="E36" s="103"/>
      <c r="F36" s="105">
        <f t="shared" si="0"/>
        <v>0</v>
      </c>
      <c r="G36" s="172"/>
    </row>
    <row r="37" spans="1:7" customFormat="1" ht="15.75" customHeight="1" x14ac:dyDescent="0.25">
      <c r="A37" s="427">
        <v>665</v>
      </c>
      <c r="B37" s="408" t="s">
        <v>446</v>
      </c>
      <c r="C37" s="426" t="s">
        <v>447</v>
      </c>
      <c r="D37" s="103"/>
      <c r="E37" s="103"/>
      <c r="F37" s="105">
        <f t="shared" si="0"/>
        <v>0</v>
      </c>
    </row>
    <row r="38" spans="1:7" ht="15.75" customHeight="1" x14ac:dyDescent="0.25">
      <c r="A38" s="427">
        <v>667</v>
      </c>
      <c r="B38" s="408" t="s">
        <v>448</v>
      </c>
      <c r="C38" s="426" t="s">
        <v>449</v>
      </c>
      <c r="D38" s="103"/>
      <c r="E38" s="103"/>
      <c r="F38" s="105">
        <f t="shared" si="0"/>
        <v>0</v>
      </c>
      <c r="G38" s="172"/>
    </row>
    <row r="39" spans="1:7" ht="15.75" customHeight="1" x14ac:dyDescent="0.25">
      <c r="A39" s="427">
        <v>691</v>
      </c>
      <c r="B39" s="408" t="s">
        <v>450</v>
      </c>
      <c r="C39" s="426" t="s">
        <v>451</v>
      </c>
      <c r="D39" s="103">
        <f>1286608.34+5031</f>
        <v>1291639.3400000001</v>
      </c>
      <c r="E39" s="103">
        <f>1718293.27</f>
        <v>1718293.27</v>
      </c>
      <c r="F39" s="105">
        <f t="shared" si="0"/>
        <v>426653.92999999993</v>
      </c>
    </row>
    <row r="40" spans="1:7" x14ac:dyDescent="0.2">
      <c r="A40" s="1039" t="s">
        <v>452</v>
      </c>
      <c r="B40" s="1040"/>
      <c r="C40" s="428" t="s">
        <v>453</v>
      </c>
      <c r="D40" s="100">
        <f>SUM(D5:D39)</f>
        <v>2799040.56</v>
      </c>
      <c r="E40" s="104">
        <f>SUM(E5:E39)</f>
        <v>3428311.23</v>
      </c>
      <c r="F40" s="105">
        <f>SUM(F5:F39)</f>
        <v>629270.66999999993</v>
      </c>
    </row>
    <row r="41" spans="1:7" x14ac:dyDescent="0.2">
      <c r="A41" s="1041" t="s">
        <v>454</v>
      </c>
      <c r="B41" s="1042"/>
      <c r="C41" s="429" t="s">
        <v>455</v>
      </c>
      <c r="D41" s="26">
        <f>D40-T23_Náklady_soc_oblasť!D42</f>
        <v>-272994.79999999981</v>
      </c>
      <c r="E41" s="117">
        <f>E40-T23_Náklady_soc_oblasť!E42</f>
        <v>80938.700000000186</v>
      </c>
      <c r="F41" s="105">
        <f>F40-T23_Náklady_soc_oblasť!F42</f>
        <v>353933.49999999988</v>
      </c>
    </row>
    <row r="42" spans="1:7" x14ac:dyDescent="0.25">
      <c r="A42" s="427">
        <v>591</v>
      </c>
      <c r="B42" s="408" t="s">
        <v>456</v>
      </c>
      <c r="C42" s="426" t="s">
        <v>457</v>
      </c>
      <c r="D42" s="97"/>
      <c r="E42" s="102"/>
      <c r="F42" s="105">
        <f>E42-D42</f>
        <v>0</v>
      </c>
    </row>
    <row r="43" spans="1:7" x14ac:dyDescent="0.25">
      <c r="A43" s="427">
        <v>595</v>
      </c>
      <c r="B43" s="408" t="s">
        <v>458</v>
      </c>
      <c r="C43" s="426" t="s">
        <v>459</v>
      </c>
      <c r="D43" s="97"/>
      <c r="E43" s="102"/>
      <c r="F43" s="105">
        <f>E43-D43</f>
        <v>0</v>
      </c>
    </row>
    <row r="44" spans="1:7" ht="16.5" thickBot="1" x14ac:dyDescent="0.25">
      <c r="A44" s="1043" t="s">
        <v>460</v>
      </c>
      <c r="B44" s="1044"/>
      <c r="C44" s="430" t="s">
        <v>461</v>
      </c>
      <c r="D44" s="157">
        <f>D41-D42-D43</f>
        <v>-272994.79999999981</v>
      </c>
      <c r="E44" s="157">
        <f>E41-E42-E43</f>
        <v>80938.700000000186</v>
      </c>
      <c r="F44" s="156">
        <f>E44-D44</f>
        <v>353933.5</v>
      </c>
    </row>
    <row r="45" spans="1:7" x14ac:dyDescent="0.2">
      <c r="G45" s="86" t="s">
        <v>1065</v>
      </c>
    </row>
  </sheetData>
  <mergeCells count="5">
    <mergeCell ref="A40:B40"/>
    <mergeCell ref="A41:B41"/>
    <mergeCell ref="A44:B44"/>
    <mergeCell ref="A1:F1"/>
    <mergeCell ref="A2:F2"/>
  </mergeCells>
  <pageMargins left="0.55118110236220474" right="0.47244094488188981" top="0.59055118110236227" bottom="0.47244094488188981" header="0.15748031496062992" footer="0.15748031496062992"/>
  <pageSetup paperSize="9" scale="88" orientation="portrait" r:id="rId1"/>
  <headerFooter alignWithMargins="0"/>
  <ignoredErrors>
    <ignoredError sqref="C5:C44"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3"/>
  <sheetViews>
    <sheetView zoomScaleNormal="100" workbookViewId="0">
      <pane xSplit="3" ySplit="3" topLeftCell="D23" activePane="bottomRight" state="frozen"/>
      <selection pane="topRight" activeCell="D1" sqref="D1"/>
      <selection pane="bottomLeft" activeCell="A4" sqref="A4"/>
      <selection pane="bottomRight" activeCell="M23" sqref="M23"/>
    </sheetView>
  </sheetViews>
  <sheetFormatPr defaultRowHeight="12.75" x14ac:dyDescent="0.2"/>
  <cols>
    <col min="1" max="1" width="8.28515625" customWidth="1"/>
    <col min="2" max="2" width="42.7109375" customWidth="1"/>
    <col min="3" max="3" width="10.140625" customWidth="1"/>
    <col min="4" max="4" width="17.42578125" customWidth="1"/>
    <col min="5" max="5" width="17.140625" customWidth="1"/>
    <col min="6" max="6" width="16.5703125" customWidth="1"/>
    <col min="7" max="7" width="30.42578125" customWidth="1"/>
  </cols>
  <sheetData>
    <row r="1" spans="1:6" s="375" customFormat="1" ht="50.1" customHeight="1" thickBot="1" x14ac:dyDescent="0.25">
      <c r="A1" s="1054" t="s">
        <v>845</v>
      </c>
      <c r="B1" s="1055"/>
      <c r="C1" s="1055"/>
      <c r="D1" s="1055"/>
      <c r="E1" s="1055"/>
      <c r="F1" s="1056"/>
    </row>
    <row r="2" spans="1:6" s="375" customFormat="1" ht="47.25" customHeight="1" thickBot="1" x14ac:dyDescent="0.25">
      <c r="A2" s="1051" t="s">
        <v>1064</v>
      </c>
      <c r="B2" s="1052"/>
      <c r="C2" s="1052"/>
      <c r="D2" s="1052"/>
      <c r="E2" s="1052"/>
      <c r="F2" s="1053"/>
    </row>
    <row r="3" spans="1:6" s="375" customFormat="1" ht="64.5" customHeight="1" thickBot="1" x14ac:dyDescent="0.25">
      <c r="A3" s="191" t="s">
        <v>325</v>
      </c>
      <c r="B3" s="191" t="s">
        <v>199</v>
      </c>
      <c r="C3" s="192" t="s">
        <v>80</v>
      </c>
      <c r="D3" s="399" t="s">
        <v>622</v>
      </c>
      <c r="E3" s="400" t="s">
        <v>846</v>
      </c>
      <c r="F3" s="401" t="s">
        <v>810</v>
      </c>
    </row>
    <row r="4" spans="1:6" s="375" customFormat="1" ht="15.75" x14ac:dyDescent="0.2">
      <c r="A4" s="403"/>
      <c r="B4" s="190"/>
      <c r="C4" s="190"/>
      <c r="D4" s="404" t="s">
        <v>119</v>
      </c>
      <c r="E4" s="405" t="s">
        <v>120</v>
      </c>
      <c r="F4" s="406" t="s">
        <v>121</v>
      </c>
    </row>
    <row r="5" spans="1:6" ht="15.75" customHeight="1" x14ac:dyDescent="0.25">
      <c r="A5" s="411">
        <v>501</v>
      </c>
      <c r="B5" s="412" t="s">
        <v>326</v>
      </c>
      <c r="C5" s="413" t="s">
        <v>327</v>
      </c>
      <c r="D5" s="721">
        <v>678784.43</v>
      </c>
      <c r="E5" s="101">
        <v>490348.16</v>
      </c>
      <c r="F5" s="105">
        <f>E5-D5</f>
        <v>-188436.27000000008</v>
      </c>
    </row>
    <row r="6" spans="1:6" ht="15.75" customHeight="1" x14ac:dyDescent="0.25">
      <c r="A6" s="414">
        <v>502</v>
      </c>
      <c r="B6" s="415" t="s">
        <v>328</v>
      </c>
      <c r="C6" s="416" t="s">
        <v>329</v>
      </c>
      <c r="D6" s="720">
        <v>438690.81</v>
      </c>
      <c r="E6" s="102">
        <v>715159.52</v>
      </c>
      <c r="F6" s="158">
        <f t="shared" ref="F6:F41" si="0">E6-D6</f>
        <v>276468.71000000002</v>
      </c>
    </row>
    <row r="7" spans="1:6" ht="15.75" customHeight="1" x14ac:dyDescent="0.25">
      <c r="A7" s="414">
        <v>504</v>
      </c>
      <c r="B7" s="415" t="s">
        <v>330</v>
      </c>
      <c r="C7" s="416" t="s">
        <v>331</v>
      </c>
      <c r="D7" s="720">
        <v>2693.4</v>
      </c>
      <c r="E7" s="102">
        <v>2146.31</v>
      </c>
      <c r="F7" s="158">
        <f t="shared" si="0"/>
        <v>-547.09000000000015</v>
      </c>
    </row>
    <row r="8" spans="1:6" ht="15.75" customHeight="1" x14ac:dyDescent="0.25">
      <c r="A8" s="414">
        <v>511</v>
      </c>
      <c r="B8" s="415" t="s">
        <v>332</v>
      </c>
      <c r="C8" s="416" t="s">
        <v>333</v>
      </c>
      <c r="D8" s="720">
        <v>67598.600000000006</v>
      </c>
      <c r="E8" s="102">
        <v>72241.98</v>
      </c>
      <c r="F8" s="158">
        <f t="shared" si="0"/>
        <v>4643.3799999999901</v>
      </c>
    </row>
    <row r="9" spans="1:6" ht="15.75" customHeight="1" x14ac:dyDescent="0.25">
      <c r="A9" s="414">
        <v>512</v>
      </c>
      <c r="B9" s="415" t="s">
        <v>334</v>
      </c>
      <c r="C9" s="416" t="s">
        <v>335</v>
      </c>
      <c r="D9" s="720">
        <v>0</v>
      </c>
      <c r="E9" s="102">
        <v>0</v>
      </c>
      <c r="F9" s="158">
        <f t="shared" si="0"/>
        <v>0</v>
      </c>
    </row>
    <row r="10" spans="1:6" ht="15.75" customHeight="1" x14ac:dyDescent="0.25">
      <c r="A10" s="414">
        <v>513</v>
      </c>
      <c r="B10" s="415" t="s">
        <v>336</v>
      </c>
      <c r="C10" s="416" t="s">
        <v>337</v>
      </c>
      <c r="D10" s="720">
        <v>76.599999999999994</v>
      </c>
      <c r="E10" s="102">
        <v>154.6</v>
      </c>
      <c r="F10" s="158">
        <f t="shared" si="0"/>
        <v>78</v>
      </c>
    </row>
    <row r="11" spans="1:6" ht="15.75" customHeight="1" x14ac:dyDescent="0.25">
      <c r="A11" s="414">
        <v>518</v>
      </c>
      <c r="B11" s="415" t="s">
        <v>338</v>
      </c>
      <c r="C11" s="416" t="s">
        <v>339</v>
      </c>
      <c r="D11" s="720">
        <v>107423.44</v>
      </c>
      <c r="E11" s="102">
        <v>114247.21</v>
      </c>
      <c r="F11" s="158">
        <f t="shared" si="0"/>
        <v>6823.7700000000041</v>
      </c>
    </row>
    <row r="12" spans="1:6" ht="15.75" customHeight="1" x14ac:dyDescent="0.25">
      <c r="A12" s="414">
        <v>521</v>
      </c>
      <c r="B12" s="415" t="s">
        <v>340</v>
      </c>
      <c r="C12" s="416" t="s">
        <v>341</v>
      </c>
      <c r="D12" s="720">
        <v>1075375.68</v>
      </c>
      <c r="E12" s="102">
        <v>1223207.0900000001</v>
      </c>
      <c r="F12" s="158">
        <f t="shared" si="0"/>
        <v>147831.41000000015</v>
      </c>
    </row>
    <row r="13" spans="1:6" ht="15.75" customHeight="1" x14ac:dyDescent="0.25">
      <c r="A13" s="414">
        <v>524</v>
      </c>
      <c r="B13" s="415" t="s">
        <v>748</v>
      </c>
      <c r="C13" s="416" t="s">
        <v>342</v>
      </c>
      <c r="D13" s="720">
        <v>377897.56</v>
      </c>
      <c r="E13" s="102">
        <v>428736.17</v>
      </c>
      <c r="F13" s="158">
        <f t="shared" si="0"/>
        <v>50838.609999999986</v>
      </c>
    </row>
    <row r="14" spans="1:6" ht="15.75" customHeight="1" x14ac:dyDescent="0.25">
      <c r="A14" s="414">
        <v>525</v>
      </c>
      <c r="B14" s="415" t="s">
        <v>343</v>
      </c>
      <c r="C14" s="416" t="s">
        <v>344</v>
      </c>
      <c r="D14" s="720">
        <v>19977.88</v>
      </c>
      <c r="E14" s="102">
        <v>27497.599999999999</v>
      </c>
      <c r="F14" s="158">
        <f t="shared" si="0"/>
        <v>7519.7199999999975</v>
      </c>
    </row>
    <row r="15" spans="1:6" ht="15.75" customHeight="1" x14ac:dyDescent="0.25">
      <c r="A15" s="414">
        <v>527</v>
      </c>
      <c r="B15" s="415" t="s">
        <v>345</v>
      </c>
      <c r="C15" s="416" t="s">
        <v>346</v>
      </c>
      <c r="D15" s="720">
        <v>70136.539999999994</v>
      </c>
      <c r="E15" s="102">
        <v>81311.289999999994</v>
      </c>
      <c r="F15" s="158">
        <f t="shared" si="0"/>
        <v>11174.75</v>
      </c>
    </row>
    <row r="16" spans="1:6" ht="15.75" customHeight="1" x14ac:dyDescent="0.25">
      <c r="A16" s="414">
        <v>528</v>
      </c>
      <c r="B16" s="415" t="s">
        <v>347</v>
      </c>
      <c r="C16" s="416" t="s">
        <v>348</v>
      </c>
      <c r="D16" s="720">
        <v>0</v>
      </c>
      <c r="E16" s="102">
        <v>0</v>
      </c>
      <c r="F16" s="158">
        <f t="shared" si="0"/>
        <v>0</v>
      </c>
    </row>
    <row r="17" spans="1:7" ht="15.75" customHeight="1" x14ac:dyDescent="0.25">
      <c r="A17" s="414">
        <v>531</v>
      </c>
      <c r="B17" s="415" t="s">
        <v>349</v>
      </c>
      <c r="C17" s="416" t="s">
        <v>350</v>
      </c>
      <c r="D17" s="720">
        <v>0</v>
      </c>
      <c r="E17" s="102">
        <v>0</v>
      </c>
      <c r="F17" s="158">
        <f t="shared" si="0"/>
        <v>0</v>
      </c>
    </row>
    <row r="18" spans="1:7" ht="15.75" customHeight="1" x14ac:dyDescent="0.25">
      <c r="A18" s="414">
        <v>532</v>
      </c>
      <c r="B18" s="415" t="s">
        <v>351</v>
      </c>
      <c r="C18" s="416" t="s">
        <v>352</v>
      </c>
      <c r="D18" s="720">
        <v>31785.82</v>
      </c>
      <c r="E18" s="102">
        <v>31785.82</v>
      </c>
      <c r="F18" s="158">
        <f t="shared" si="0"/>
        <v>0</v>
      </c>
    </row>
    <row r="19" spans="1:7" ht="15.75" customHeight="1" x14ac:dyDescent="0.25">
      <c r="A19" s="414">
        <v>538</v>
      </c>
      <c r="B19" s="415" t="s">
        <v>353</v>
      </c>
      <c r="C19" s="416" t="s">
        <v>354</v>
      </c>
      <c r="D19" s="720">
        <v>50</v>
      </c>
      <c r="E19" s="102">
        <v>200</v>
      </c>
      <c r="F19" s="158">
        <f t="shared" si="0"/>
        <v>150</v>
      </c>
    </row>
    <row r="20" spans="1:7" ht="15.75" customHeight="1" x14ac:dyDescent="0.25">
      <c r="A20" s="414">
        <v>541</v>
      </c>
      <c r="B20" s="415" t="s">
        <v>355</v>
      </c>
      <c r="C20" s="416" t="s">
        <v>356</v>
      </c>
      <c r="D20" s="720"/>
      <c r="E20" s="102"/>
      <c r="F20" s="158">
        <f t="shared" si="0"/>
        <v>0</v>
      </c>
    </row>
    <row r="21" spans="1:7" ht="15.75" customHeight="1" x14ac:dyDescent="0.25">
      <c r="A21" s="414">
        <v>542</v>
      </c>
      <c r="B21" s="415" t="s">
        <v>357</v>
      </c>
      <c r="C21" s="416" t="s">
        <v>358</v>
      </c>
      <c r="D21" s="720"/>
      <c r="E21" s="102"/>
      <c r="F21" s="158">
        <f t="shared" si="0"/>
        <v>0</v>
      </c>
    </row>
    <row r="22" spans="1:7" ht="15.75" customHeight="1" x14ac:dyDescent="0.25">
      <c r="A22" s="414">
        <v>543</v>
      </c>
      <c r="B22" s="415" t="s">
        <v>359</v>
      </c>
      <c r="C22" s="416" t="s">
        <v>360</v>
      </c>
      <c r="D22" s="720"/>
      <c r="E22" s="102"/>
      <c r="F22" s="158">
        <f t="shared" si="0"/>
        <v>0</v>
      </c>
    </row>
    <row r="23" spans="1:7" ht="15.75" customHeight="1" x14ac:dyDescent="0.25">
      <c r="A23" s="414">
        <v>544</v>
      </c>
      <c r="B23" s="415" t="s">
        <v>361</v>
      </c>
      <c r="C23" s="416" t="s">
        <v>362</v>
      </c>
      <c r="D23" s="720"/>
      <c r="E23" s="102"/>
      <c r="F23" s="158">
        <f t="shared" si="0"/>
        <v>0</v>
      </c>
    </row>
    <row r="24" spans="1:7" ht="15.75" customHeight="1" x14ac:dyDescent="0.25">
      <c r="A24" s="414">
        <v>545</v>
      </c>
      <c r="B24" s="415" t="s">
        <v>363</v>
      </c>
      <c r="C24" s="416" t="s">
        <v>364</v>
      </c>
      <c r="D24" s="720"/>
      <c r="E24" s="102"/>
      <c r="F24" s="158">
        <f t="shared" si="0"/>
        <v>0</v>
      </c>
    </row>
    <row r="25" spans="1:7" ht="15.75" customHeight="1" x14ac:dyDescent="0.25">
      <c r="A25" s="414">
        <v>546</v>
      </c>
      <c r="B25" s="415" t="s">
        <v>365</v>
      </c>
      <c r="C25" s="416" t="s">
        <v>366</v>
      </c>
      <c r="D25" s="720"/>
      <c r="E25" s="102"/>
      <c r="F25" s="158">
        <f t="shared" si="0"/>
        <v>0</v>
      </c>
    </row>
    <row r="26" spans="1:7" ht="15.75" customHeight="1" x14ac:dyDescent="0.25">
      <c r="A26" s="414">
        <v>547</v>
      </c>
      <c r="B26" s="415" t="s">
        <v>367</v>
      </c>
      <c r="C26" s="416" t="s">
        <v>368</v>
      </c>
      <c r="D26" s="720"/>
      <c r="E26" s="102"/>
      <c r="F26" s="158">
        <f t="shared" si="0"/>
        <v>0</v>
      </c>
    </row>
    <row r="27" spans="1:7" ht="15.75" customHeight="1" x14ac:dyDescent="0.25">
      <c r="A27" s="414">
        <v>548</v>
      </c>
      <c r="B27" s="415" t="s">
        <v>369</v>
      </c>
      <c r="C27" s="416" t="s">
        <v>370</v>
      </c>
      <c r="D27" s="720"/>
      <c r="E27" s="102"/>
      <c r="F27" s="158">
        <f t="shared" si="0"/>
        <v>0</v>
      </c>
    </row>
    <row r="28" spans="1:7" ht="94.5" customHeight="1" x14ac:dyDescent="0.25">
      <c r="A28" s="414">
        <v>549</v>
      </c>
      <c r="B28" s="415" t="s">
        <v>371</v>
      </c>
      <c r="C28" s="416" t="s">
        <v>372</v>
      </c>
      <c r="D28" s="719">
        <v>89072.9</v>
      </c>
      <c r="E28" s="719">
        <f>'T5 - Analýza nákladov'!E87</f>
        <v>63827</v>
      </c>
      <c r="F28" s="158">
        <f t="shared" si="0"/>
        <v>-25245.899999999994</v>
      </c>
      <c r="G28" s="722" t="s">
        <v>1036</v>
      </c>
    </row>
    <row r="29" spans="1:7" ht="15.75" customHeight="1" x14ac:dyDescent="0.25">
      <c r="A29" s="414">
        <v>551</v>
      </c>
      <c r="B29" s="415" t="s">
        <v>373</v>
      </c>
      <c r="C29" s="416" t="s">
        <v>374</v>
      </c>
      <c r="D29" s="720">
        <v>26486.639999999999</v>
      </c>
      <c r="E29" s="102">
        <v>45811</v>
      </c>
      <c r="F29" s="158">
        <f t="shared" si="0"/>
        <v>19324.36</v>
      </c>
    </row>
    <row r="30" spans="1:7" ht="15.75" customHeight="1" x14ac:dyDescent="0.25">
      <c r="A30" s="417">
        <v>552</v>
      </c>
      <c r="B30" s="415" t="s">
        <v>472</v>
      </c>
      <c r="C30" s="416" t="s">
        <v>375</v>
      </c>
      <c r="D30" s="97"/>
      <c r="E30" s="102"/>
      <c r="F30" s="158">
        <f t="shared" si="0"/>
        <v>0</v>
      </c>
    </row>
    <row r="31" spans="1:7" ht="15.75" customHeight="1" x14ac:dyDescent="0.25">
      <c r="A31" s="417">
        <v>553</v>
      </c>
      <c r="B31" s="415" t="s">
        <v>376</v>
      </c>
      <c r="C31" s="416" t="s">
        <v>377</v>
      </c>
      <c r="D31" s="97"/>
      <c r="E31" s="102"/>
      <c r="F31" s="158">
        <f t="shared" si="0"/>
        <v>0</v>
      </c>
    </row>
    <row r="32" spans="1:7" ht="15.75" customHeight="1" x14ac:dyDescent="0.25">
      <c r="A32" s="417">
        <v>554</v>
      </c>
      <c r="B32" s="415" t="s">
        <v>378</v>
      </c>
      <c r="C32" s="416" t="s">
        <v>379</v>
      </c>
      <c r="D32" s="97"/>
      <c r="E32" s="102"/>
      <c r="F32" s="158">
        <f t="shared" si="0"/>
        <v>0</v>
      </c>
    </row>
    <row r="33" spans="1:7" ht="15.75" customHeight="1" x14ac:dyDescent="0.25">
      <c r="A33" s="417">
        <v>555</v>
      </c>
      <c r="B33" s="415" t="s">
        <v>757</v>
      </c>
      <c r="C33" s="416" t="s">
        <v>380</v>
      </c>
      <c r="D33" s="97"/>
      <c r="E33" s="102"/>
      <c r="F33" s="158">
        <f t="shared" si="0"/>
        <v>0</v>
      </c>
      <c r="G33" s="172"/>
    </row>
    <row r="34" spans="1:7" ht="15.75" customHeight="1" x14ac:dyDescent="0.25">
      <c r="A34" s="417">
        <v>556</v>
      </c>
      <c r="B34" s="415" t="s">
        <v>381</v>
      </c>
      <c r="C34" s="416" t="s">
        <v>382</v>
      </c>
      <c r="D34" s="719">
        <f>'T5 - Analýza nákladov'!C98</f>
        <v>85985.06</v>
      </c>
      <c r="E34" s="719">
        <f>'T5 - Analýza nákladov'!E98</f>
        <v>50698.78</v>
      </c>
      <c r="F34" s="158">
        <f t="shared" si="0"/>
        <v>-35286.28</v>
      </c>
    </row>
    <row r="35" spans="1:7" ht="15.75" customHeight="1" x14ac:dyDescent="0.25">
      <c r="A35" s="417">
        <v>557</v>
      </c>
      <c r="B35" s="415" t="s">
        <v>383</v>
      </c>
      <c r="C35" s="416" t="s">
        <v>384</v>
      </c>
      <c r="D35" s="97"/>
      <c r="E35" s="102"/>
      <c r="F35" s="158">
        <f t="shared" si="0"/>
        <v>0</v>
      </c>
    </row>
    <row r="36" spans="1:7" ht="15.75" customHeight="1" x14ac:dyDescent="0.25">
      <c r="A36" s="417">
        <v>558</v>
      </c>
      <c r="B36" s="415" t="s">
        <v>756</v>
      </c>
      <c r="C36" s="416" t="s">
        <v>385</v>
      </c>
      <c r="D36" s="97"/>
      <c r="E36" s="102"/>
      <c r="F36" s="158">
        <f t="shared" si="0"/>
        <v>0</v>
      </c>
    </row>
    <row r="37" spans="1:7" ht="15.75" customHeight="1" x14ac:dyDescent="0.25">
      <c r="A37" s="417">
        <v>561</v>
      </c>
      <c r="B37" s="415" t="s">
        <v>755</v>
      </c>
      <c r="C37" s="416" t="s">
        <v>386</v>
      </c>
      <c r="D37" s="97"/>
      <c r="E37" s="102"/>
      <c r="F37" s="158">
        <f t="shared" si="0"/>
        <v>0</v>
      </c>
      <c r="G37" s="172"/>
    </row>
    <row r="38" spans="1:7" ht="15.75" customHeight="1" x14ac:dyDescent="0.25">
      <c r="A38" s="417">
        <v>562</v>
      </c>
      <c r="B38" s="415" t="s">
        <v>754</v>
      </c>
      <c r="C38" s="416" t="s">
        <v>387</v>
      </c>
      <c r="D38" s="97"/>
      <c r="E38" s="102"/>
      <c r="F38" s="158">
        <f t="shared" si="0"/>
        <v>0</v>
      </c>
    </row>
    <row r="39" spans="1:7" ht="15.75" customHeight="1" x14ac:dyDescent="0.25">
      <c r="A39" s="417">
        <v>563</v>
      </c>
      <c r="B39" s="415" t="s">
        <v>753</v>
      </c>
      <c r="C39" s="416" t="s">
        <v>388</v>
      </c>
      <c r="D39" s="97"/>
      <c r="E39" s="102"/>
      <c r="F39" s="158">
        <f t="shared" si="0"/>
        <v>0</v>
      </c>
    </row>
    <row r="40" spans="1:7" ht="15.75" customHeight="1" x14ac:dyDescent="0.25">
      <c r="A40" s="418">
        <v>565</v>
      </c>
      <c r="B40" s="419" t="s">
        <v>471</v>
      </c>
      <c r="C40" s="416" t="s">
        <v>389</v>
      </c>
      <c r="D40" s="99"/>
      <c r="E40" s="103"/>
      <c r="F40" s="158">
        <f t="shared" si="0"/>
        <v>0</v>
      </c>
      <c r="G40" s="172"/>
    </row>
    <row r="41" spans="1:7" ht="15.75" customHeight="1" thickBot="1" x14ac:dyDescent="0.3">
      <c r="A41" s="418">
        <v>567</v>
      </c>
      <c r="B41" s="420" t="s">
        <v>390</v>
      </c>
      <c r="C41" s="421" t="s">
        <v>391</v>
      </c>
      <c r="D41" s="99"/>
      <c r="E41" s="103"/>
      <c r="F41" s="159">
        <f t="shared" si="0"/>
        <v>0</v>
      </c>
      <c r="G41" s="172"/>
    </row>
    <row r="42" spans="1:7" ht="24.75" customHeight="1" thickBot="1" x14ac:dyDescent="0.25">
      <c r="A42" s="1057" t="s">
        <v>490</v>
      </c>
      <c r="B42" s="1058"/>
      <c r="C42" s="422" t="s">
        <v>392</v>
      </c>
      <c r="D42" s="98">
        <f>SUM(D5:D41)</f>
        <v>3072035.36</v>
      </c>
      <c r="E42" s="155">
        <f>SUM(E5:E41)</f>
        <v>3347372.53</v>
      </c>
      <c r="F42" s="160">
        <f>SUM(F5:F41)</f>
        <v>275337.17000000004</v>
      </c>
    </row>
    <row r="43" spans="1:7" x14ac:dyDescent="0.2">
      <c r="B43" s="87"/>
      <c r="C43" s="87"/>
      <c r="D43" s="87"/>
      <c r="E43" s="87"/>
      <c r="G43" t="s">
        <v>1065</v>
      </c>
    </row>
  </sheetData>
  <mergeCells count="3">
    <mergeCell ref="A2:F2"/>
    <mergeCell ref="A1:F1"/>
    <mergeCell ref="A42:B42"/>
  </mergeCells>
  <pageMargins left="0.39370078740157483" right="0.23622047244094491" top="0.59055118110236227" bottom="0.74803149606299213" header="0.31496062992125984" footer="0.31496062992125984"/>
  <pageSetup paperSize="9" scale="88" orientation="portrait" r:id="rId1"/>
  <ignoredErrors>
    <ignoredError sqref="C5:C42"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L17"/>
  <sheetViews>
    <sheetView tabSelected="1" topLeftCell="A6" zoomScaleNormal="100" workbookViewId="0">
      <selection activeCell="B20" sqref="B20"/>
    </sheetView>
  </sheetViews>
  <sheetFormatPr defaultRowHeight="12.75" x14ac:dyDescent="0.2"/>
  <cols>
    <col min="1" max="1" width="8.140625" customWidth="1"/>
    <col min="2" max="2" width="62.5703125" customWidth="1"/>
    <col min="3" max="3" width="15.7109375" customWidth="1"/>
    <col min="4" max="5" width="17.140625" customWidth="1"/>
    <col min="6" max="6" width="15.7109375" customWidth="1"/>
    <col min="7" max="10" width="16.85546875" customWidth="1"/>
    <col min="11" max="11" width="15.7109375" customWidth="1"/>
    <col min="12" max="12" width="21.42578125" customWidth="1"/>
  </cols>
  <sheetData>
    <row r="1" spans="1:12" ht="49.9" customHeight="1" thickBot="1" x14ac:dyDescent="0.25">
      <c r="A1" s="976" t="s">
        <v>847</v>
      </c>
      <c r="B1" s="977"/>
      <c r="C1" s="977"/>
      <c r="D1" s="977"/>
      <c r="E1" s="977"/>
      <c r="F1" s="977"/>
      <c r="G1" s="977"/>
      <c r="H1" s="977"/>
      <c r="I1" s="977"/>
      <c r="J1" s="977"/>
      <c r="K1" s="978"/>
    </row>
    <row r="2" spans="1:12" ht="15.75" x14ac:dyDescent="0.2">
      <c r="A2" s="813" t="s">
        <v>1057</v>
      </c>
      <c r="B2" s="896"/>
      <c r="C2" s="1065" t="s">
        <v>781</v>
      </c>
      <c r="D2" s="1066"/>
      <c r="E2" s="1066"/>
      <c r="F2" s="1066"/>
      <c r="G2" s="1066"/>
      <c r="H2" s="1066"/>
      <c r="I2" s="1066"/>
      <c r="J2" s="1066"/>
      <c r="K2" s="1067"/>
    </row>
    <row r="3" spans="1:12" ht="15.6" customHeight="1" x14ac:dyDescent="0.2">
      <c r="A3" s="894" t="s">
        <v>80</v>
      </c>
      <c r="B3" s="892" t="s">
        <v>779</v>
      </c>
      <c r="C3" s="1061" t="s">
        <v>848</v>
      </c>
      <c r="D3" s="1061" t="s">
        <v>849</v>
      </c>
      <c r="E3" s="1061" t="s">
        <v>850</v>
      </c>
      <c r="F3" s="1061" t="s">
        <v>782</v>
      </c>
      <c r="G3" s="1061" t="s">
        <v>783</v>
      </c>
      <c r="H3" s="1061" t="s">
        <v>851</v>
      </c>
      <c r="I3" s="1061" t="s">
        <v>852</v>
      </c>
      <c r="J3" s="1068" t="s">
        <v>853</v>
      </c>
      <c r="K3" s="1063" t="s">
        <v>854</v>
      </c>
    </row>
    <row r="4" spans="1:12" ht="84" customHeight="1" x14ac:dyDescent="0.2">
      <c r="A4" s="895"/>
      <c r="B4" s="893"/>
      <c r="C4" s="1062"/>
      <c r="D4" s="1062"/>
      <c r="E4" s="1062"/>
      <c r="F4" s="1062"/>
      <c r="G4" s="1062"/>
      <c r="H4" s="1062"/>
      <c r="I4" s="1062"/>
      <c r="J4" s="1069"/>
      <c r="K4" s="1064"/>
    </row>
    <row r="5" spans="1:12" ht="18.600000000000001" customHeight="1" x14ac:dyDescent="0.2">
      <c r="A5" s="1059"/>
      <c r="B5" s="1060"/>
      <c r="C5" s="458" t="s">
        <v>119</v>
      </c>
      <c r="D5" s="458" t="s">
        <v>120</v>
      </c>
      <c r="E5" s="458" t="s">
        <v>121</v>
      </c>
      <c r="F5" s="458" t="s">
        <v>127</v>
      </c>
      <c r="G5" s="458" t="s">
        <v>122</v>
      </c>
      <c r="H5" s="458" t="s">
        <v>123</v>
      </c>
      <c r="I5" s="458" t="s">
        <v>124</v>
      </c>
      <c r="J5" s="458" t="s">
        <v>125</v>
      </c>
      <c r="K5" s="440" t="s">
        <v>126</v>
      </c>
    </row>
    <row r="6" spans="1:12" ht="34.5" customHeight="1" x14ac:dyDescent="0.2">
      <c r="A6" s="19">
        <v>1</v>
      </c>
      <c r="B6" s="460" t="s">
        <v>1022</v>
      </c>
      <c r="C6" s="613">
        <v>44990</v>
      </c>
      <c r="D6" s="613"/>
      <c r="E6" s="532">
        <f>C6-D6</f>
        <v>44990</v>
      </c>
      <c r="F6" s="613"/>
      <c r="G6" s="613">
        <v>5751.24</v>
      </c>
      <c r="H6" s="532">
        <f>F6-G6+E6</f>
        <v>39238.76</v>
      </c>
      <c r="I6" s="613">
        <v>0</v>
      </c>
      <c r="J6" s="613">
        <v>700</v>
      </c>
      <c r="K6" s="531">
        <f>I6-J6+H6</f>
        <v>38538.76</v>
      </c>
    </row>
    <row r="7" spans="1:12" ht="35.25" customHeight="1" x14ac:dyDescent="0.2">
      <c r="A7" s="19">
        <f>A6+1</f>
        <v>2</v>
      </c>
      <c r="B7" s="460" t="s">
        <v>1023</v>
      </c>
      <c r="C7" s="613">
        <v>2674943</v>
      </c>
      <c r="D7" s="613"/>
      <c r="E7" s="532">
        <f t="shared" ref="E7:E10" si="0">C7-D7</f>
        <v>2674943</v>
      </c>
      <c r="F7" s="613"/>
      <c r="G7" s="613">
        <v>1400285.02</v>
      </c>
      <c r="H7" s="532">
        <f t="shared" ref="H7:H10" si="1">F7-G7+E7</f>
        <v>1274657.98</v>
      </c>
      <c r="I7" s="613">
        <v>636.70000000000005</v>
      </c>
      <c r="J7" s="613">
        <v>1172804.52</v>
      </c>
      <c r="K7" s="531">
        <f t="shared" ref="K7:K12" si="2">I7-J7+H7</f>
        <v>102490.15999999992</v>
      </c>
    </row>
    <row r="8" spans="1:12" ht="17.25" customHeight="1" x14ac:dyDescent="0.2">
      <c r="A8" s="19">
        <f>A7+1</f>
        <v>3</v>
      </c>
      <c r="B8" s="460" t="s">
        <v>1024</v>
      </c>
      <c r="C8" s="613">
        <v>200000</v>
      </c>
      <c r="D8" s="613"/>
      <c r="E8" s="532">
        <f t="shared" si="0"/>
        <v>200000</v>
      </c>
      <c r="F8" s="613"/>
      <c r="G8" s="613">
        <v>53572.81</v>
      </c>
      <c r="H8" s="532">
        <f t="shared" si="1"/>
        <v>146427.19</v>
      </c>
      <c r="I8" s="613">
        <v>37761.9</v>
      </c>
      <c r="J8" s="613">
        <v>166907.09</v>
      </c>
      <c r="K8" s="531">
        <f t="shared" si="2"/>
        <v>17282</v>
      </c>
    </row>
    <row r="9" spans="1:12" ht="16.5" customHeight="1" x14ac:dyDescent="0.2">
      <c r="A9" s="19">
        <v>4</v>
      </c>
      <c r="B9" s="460" t="s">
        <v>1025</v>
      </c>
      <c r="C9" s="613">
        <v>290036</v>
      </c>
      <c r="D9" s="613"/>
      <c r="E9" s="532">
        <f t="shared" si="0"/>
        <v>290036</v>
      </c>
      <c r="F9" s="613"/>
      <c r="G9" s="613">
        <v>91174.83</v>
      </c>
      <c r="H9" s="532">
        <f t="shared" si="1"/>
        <v>198861.16999999998</v>
      </c>
      <c r="I9" s="613">
        <v>0</v>
      </c>
      <c r="J9" s="613">
        <v>198861.17</v>
      </c>
      <c r="K9" s="531">
        <f t="shared" si="2"/>
        <v>0</v>
      </c>
    </row>
    <row r="10" spans="1:12" ht="36" customHeight="1" x14ac:dyDescent="0.2">
      <c r="A10" s="19">
        <v>5</v>
      </c>
      <c r="B10" s="460" t="s">
        <v>1026</v>
      </c>
      <c r="C10" s="613"/>
      <c r="D10" s="613"/>
      <c r="E10" s="532">
        <f t="shared" si="0"/>
        <v>0</v>
      </c>
      <c r="F10" s="613">
        <v>20000</v>
      </c>
      <c r="G10" s="613">
        <v>12500</v>
      </c>
      <c r="H10" s="532">
        <f t="shared" si="1"/>
        <v>7500</v>
      </c>
      <c r="I10" s="613">
        <v>0</v>
      </c>
      <c r="J10" s="613">
        <v>7500</v>
      </c>
      <c r="K10" s="531">
        <f t="shared" si="2"/>
        <v>0</v>
      </c>
      <c r="L10" s="53" t="s">
        <v>1029</v>
      </c>
    </row>
    <row r="11" spans="1:12" ht="22.5" customHeight="1" x14ac:dyDescent="0.2">
      <c r="A11" s="439">
        <v>6</v>
      </c>
      <c r="B11" s="673" t="s">
        <v>1027</v>
      </c>
      <c r="C11" s="709"/>
      <c r="D11" s="709"/>
      <c r="E11" s="532"/>
      <c r="F11" s="709"/>
      <c r="G11" s="709"/>
      <c r="H11" s="532"/>
      <c r="I11" s="709">
        <v>249663</v>
      </c>
      <c r="J11" s="709">
        <v>24483.35</v>
      </c>
      <c r="K11" s="531">
        <f t="shared" si="2"/>
        <v>225179.65</v>
      </c>
    </row>
    <row r="12" spans="1:12" ht="22.5" customHeight="1" x14ac:dyDescent="0.2">
      <c r="A12" s="439">
        <v>7</v>
      </c>
      <c r="B12" s="673" t="s">
        <v>1028</v>
      </c>
      <c r="C12" s="709"/>
      <c r="D12" s="709"/>
      <c r="E12" s="532"/>
      <c r="F12" s="709"/>
      <c r="G12" s="709"/>
      <c r="H12" s="532"/>
      <c r="I12" s="709">
        <v>49969</v>
      </c>
      <c r="J12" s="709">
        <v>0</v>
      </c>
      <c r="K12" s="531">
        <f t="shared" si="2"/>
        <v>49969</v>
      </c>
    </row>
    <row r="13" spans="1:12" ht="22.15" customHeight="1" thickBot="1" x14ac:dyDescent="0.25">
      <c r="A13" s="20" t="s">
        <v>78</v>
      </c>
      <c r="B13" s="322"/>
      <c r="C13" s="710">
        <f>C6+C7+C8+C9+C10+C12</f>
        <v>3209969</v>
      </c>
      <c r="D13" s="710">
        <f>D6+D7+D8+D9+D10+D12</f>
        <v>0</v>
      </c>
      <c r="E13" s="174">
        <f t="shared" ref="E13" si="3">C13-D13</f>
        <v>3209969</v>
      </c>
      <c r="F13" s="710">
        <f>F6+F7+F8+F9+F10+F12</f>
        <v>20000</v>
      </c>
      <c r="G13" s="710">
        <f>G6+G7+G8+G9+G10+G12</f>
        <v>1563283.9000000001</v>
      </c>
      <c r="H13" s="174">
        <f t="shared" ref="H13" si="4">F13-G13+E13</f>
        <v>1666685.0999999999</v>
      </c>
      <c r="I13" s="710">
        <f>I6+I7+I8+I9+I10+I12+I11</f>
        <v>338030.6</v>
      </c>
      <c r="J13" s="710">
        <f>J6+J7+J8+J9+J10+J12+J11</f>
        <v>1571256.1300000001</v>
      </c>
      <c r="K13" s="535">
        <f t="shared" ref="K13" si="5">I13-J13+H13</f>
        <v>433459.5699999996</v>
      </c>
    </row>
    <row r="14" spans="1:12" ht="15.75" x14ac:dyDescent="0.2">
      <c r="A14" s="13"/>
      <c r="B14" s="15"/>
      <c r="C14" s="13"/>
      <c r="D14" s="13"/>
      <c r="E14" s="13"/>
      <c r="F14" s="13"/>
      <c r="G14" s="13"/>
      <c r="H14" s="13"/>
      <c r="I14" s="13"/>
      <c r="J14" s="13"/>
      <c r="K14" s="13"/>
    </row>
    <row r="15" spans="1:12" ht="15" x14ac:dyDescent="0.2">
      <c r="B15" s="1031" t="s">
        <v>855</v>
      </c>
      <c r="C15" s="1032"/>
      <c r="D15" s="1032"/>
      <c r="E15" s="1033"/>
    </row>
    <row r="17" spans="2:2" x14ac:dyDescent="0.2">
      <c r="B17" s="171"/>
    </row>
  </sheetData>
  <mergeCells count="16">
    <mergeCell ref="A5:B5"/>
    <mergeCell ref="C3:C4"/>
    <mergeCell ref="K3:K4"/>
    <mergeCell ref="B15:E15"/>
    <mergeCell ref="A1:K1"/>
    <mergeCell ref="A2:B2"/>
    <mergeCell ref="C2:K2"/>
    <mergeCell ref="A3:A4"/>
    <mergeCell ref="B3:B4"/>
    <mergeCell ref="G3:G4"/>
    <mergeCell ref="D3:D4"/>
    <mergeCell ref="F3:F4"/>
    <mergeCell ref="J3:J4"/>
    <mergeCell ref="E3:E4"/>
    <mergeCell ref="H3:H4"/>
    <mergeCell ref="I3:I4"/>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sqref="A1:F1"/>
    </sheetView>
  </sheetViews>
  <sheetFormatPr defaultRowHeight="12.75" x14ac:dyDescent="0.2"/>
  <cols>
    <col min="1" max="1" width="60.85546875" customWidth="1"/>
    <col min="2" max="2" width="8.85546875" customWidth="1"/>
    <col min="3" max="3" width="13.140625" customWidth="1"/>
    <col min="4" max="4" width="14.7109375" customWidth="1"/>
    <col min="5" max="5" width="14.28515625" customWidth="1"/>
    <col min="6" max="6" width="13.7109375" customWidth="1"/>
  </cols>
  <sheetData>
    <row r="1" spans="1:6" ht="45.75" customHeight="1" x14ac:dyDescent="0.2">
      <c r="A1" s="1071" t="s">
        <v>322</v>
      </c>
      <c r="B1" s="1072"/>
      <c r="C1" s="1072"/>
      <c r="D1" s="1072"/>
      <c r="E1" s="1072"/>
      <c r="F1" s="1073"/>
    </row>
    <row r="2" spans="1:6" ht="19.5" customHeight="1" x14ac:dyDescent="0.25">
      <c r="A2" s="1070" t="s">
        <v>193</v>
      </c>
      <c r="B2" s="1070"/>
      <c r="C2" s="1070"/>
      <c r="D2" s="1070"/>
      <c r="E2" s="1070"/>
      <c r="F2" s="1070"/>
    </row>
    <row r="3" spans="1:6" ht="42" customHeight="1" x14ac:dyDescent="0.2">
      <c r="A3" s="88" t="s">
        <v>200</v>
      </c>
      <c r="B3" s="89" t="s">
        <v>201</v>
      </c>
      <c r="C3" s="96" t="s">
        <v>324</v>
      </c>
      <c r="D3" s="89" t="s">
        <v>319</v>
      </c>
      <c r="E3" s="89" t="s">
        <v>320</v>
      </c>
      <c r="F3" s="89" t="s">
        <v>321</v>
      </c>
    </row>
    <row r="4" spans="1:6" ht="15.75" x14ac:dyDescent="0.25">
      <c r="A4" s="90" t="s">
        <v>202</v>
      </c>
      <c r="B4" s="90" t="s">
        <v>203</v>
      </c>
      <c r="C4" s="91"/>
      <c r="D4" s="91"/>
      <c r="E4" s="91"/>
      <c r="F4" s="91"/>
    </row>
    <row r="5" spans="1:6" ht="15.75" x14ac:dyDescent="0.25">
      <c r="A5" s="95" t="s">
        <v>204</v>
      </c>
      <c r="B5" s="90" t="s">
        <v>205</v>
      </c>
      <c r="C5" s="91"/>
      <c r="D5" s="91"/>
      <c r="E5" s="91"/>
      <c r="F5" s="91"/>
    </row>
    <row r="6" spans="1:6" ht="15.75" x14ac:dyDescent="0.25">
      <c r="A6" s="90" t="s">
        <v>206</v>
      </c>
      <c r="B6" s="90" t="s">
        <v>207</v>
      </c>
      <c r="C6" s="91"/>
      <c r="D6" s="91"/>
      <c r="E6" s="91"/>
      <c r="F6" s="91"/>
    </row>
    <row r="7" spans="1:6" ht="15.75" x14ac:dyDescent="0.25">
      <c r="A7" s="90" t="s">
        <v>208</v>
      </c>
      <c r="B7" s="90" t="s">
        <v>209</v>
      </c>
      <c r="C7" s="91"/>
      <c r="D7" s="91"/>
      <c r="E7" s="91"/>
      <c r="F7" s="91"/>
    </row>
    <row r="8" spans="1:6" ht="15.75" x14ac:dyDescent="0.25">
      <c r="A8" s="94" t="s">
        <v>323</v>
      </c>
      <c r="B8" s="90" t="s">
        <v>210</v>
      </c>
      <c r="C8" s="91"/>
      <c r="D8" s="91"/>
      <c r="E8" s="91"/>
      <c r="F8" s="91"/>
    </row>
    <row r="9" spans="1:6" ht="15.75" x14ac:dyDescent="0.25">
      <c r="A9" s="90" t="s">
        <v>211</v>
      </c>
      <c r="B9" s="90" t="s">
        <v>212</v>
      </c>
      <c r="C9" s="91"/>
      <c r="D9" s="91"/>
      <c r="E9" s="91"/>
      <c r="F9" s="91"/>
    </row>
    <row r="10" spans="1:6" ht="15.75" x14ac:dyDescent="0.25">
      <c r="A10" s="90" t="s">
        <v>213</v>
      </c>
      <c r="B10" s="90" t="s">
        <v>214</v>
      </c>
      <c r="C10" s="91"/>
      <c r="D10" s="91"/>
      <c r="E10" s="91"/>
      <c r="F10" s="91"/>
    </row>
    <row r="11" spans="1:6" ht="15.75" x14ac:dyDescent="0.25">
      <c r="A11" s="90" t="s">
        <v>215</v>
      </c>
      <c r="B11" s="90" t="s">
        <v>216</v>
      </c>
      <c r="C11" s="91"/>
      <c r="D11" s="91"/>
      <c r="E11" s="91"/>
      <c r="F11" s="91"/>
    </row>
    <row r="12" spans="1:6" ht="15.75" x14ac:dyDescent="0.25">
      <c r="A12" s="95" t="s">
        <v>217</v>
      </c>
      <c r="B12" s="90" t="s">
        <v>218</v>
      </c>
      <c r="C12" s="91"/>
      <c r="D12" s="91"/>
      <c r="E12" s="91"/>
      <c r="F12" s="91"/>
    </row>
    <row r="13" spans="1:6" ht="15.75" x14ac:dyDescent="0.25">
      <c r="A13" s="90" t="s">
        <v>219</v>
      </c>
      <c r="B13" s="90" t="s">
        <v>220</v>
      </c>
      <c r="C13" s="91"/>
      <c r="D13" s="91"/>
      <c r="E13" s="91"/>
      <c r="F13" s="91"/>
    </row>
    <row r="14" spans="1:6" ht="15.75" x14ac:dyDescent="0.25">
      <c r="A14" s="90" t="s">
        <v>221</v>
      </c>
      <c r="B14" s="90" t="s">
        <v>222</v>
      </c>
      <c r="C14" s="91"/>
      <c r="D14" s="91"/>
      <c r="E14" s="91"/>
      <c r="F14" s="91"/>
    </row>
    <row r="15" spans="1:6" ht="15.75" x14ac:dyDescent="0.25">
      <c r="A15" s="90" t="s">
        <v>223</v>
      </c>
      <c r="B15" s="90" t="s">
        <v>224</v>
      </c>
      <c r="C15" s="91"/>
      <c r="D15" s="91"/>
      <c r="E15" s="91"/>
      <c r="F15" s="91"/>
    </row>
    <row r="16" spans="1:6" ht="15.75" x14ac:dyDescent="0.25">
      <c r="A16" s="90" t="s">
        <v>225</v>
      </c>
      <c r="B16" s="90" t="s">
        <v>226</v>
      </c>
      <c r="C16" s="91"/>
      <c r="D16" s="91"/>
      <c r="E16" s="91"/>
      <c r="F16" s="91"/>
    </row>
    <row r="17" spans="1:6" ht="15.75" x14ac:dyDescent="0.25">
      <c r="A17" s="90" t="s">
        <v>227</v>
      </c>
      <c r="B17" s="90" t="s">
        <v>228</v>
      </c>
      <c r="C17" s="91"/>
      <c r="D17" s="91"/>
      <c r="E17" s="91"/>
      <c r="F17" s="91"/>
    </row>
    <row r="18" spans="1:6" ht="15.75" x14ac:dyDescent="0.25">
      <c r="A18" s="90" t="s">
        <v>229</v>
      </c>
      <c r="B18" s="90" t="s">
        <v>230</v>
      </c>
      <c r="C18" s="91"/>
      <c r="D18" s="91"/>
      <c r="E18" s="91"/>
      <c r="F18" s="91"/>
    </row>
    <row r="19" spans="1:6" ht="15.75" x14ac:dyDescent="0.25">
      <c r="A19" s="90" t="s">
        <v>231</v>
      </c>
      <c r="B19" s="90" t="s">
        <v>232</v>
      </c>
      <c r="C19" s="91"/>
      <c r="D19" s="91"/>
      <c r="E19" s="91"/>
      <c r="F19" s="91"/>
    </row>
    <row r="20" spans="1:6" ht="15.75" x14ac:dyDescent="0.25">
      <c r="A20" s="90" t="s">
        <v>233</v>
      </c>
      <c r="B20" s="90" t="s">
        <v>234</v>
      </c>
      <c r="C20" s="91"/>
      <c r="D20" s="91"/>
      <c r="E20" s="91"/>
      <c r="F20" s="91"/>
    </row>
    <row r="21" spans="1:6" ht="15.75" x14ac:dyDescent="0.25">
      <c r="A21" s="90" t="s">
        <v>235</v>
      </c>
      <c r="B21" s="90" t="s">
        <v>236</v>
      </c>
      <c r="C21" s="91"/>
      <c r="D21" s="91"/>
      <c r="E21" s="91"/>
      <c r="F21" s="91"/>
    </row>
    <row r="22" spans="1:6" ht="15.75" x14ac:dyDescent="0.25">
      <c r="A22" s="90" t="s">
        <v>237</v>
      </c>
      <c r="B22" s="90" t="s">
        <v>238</v>
      </c>
      <c r="C22" s="91"/>
      <c r="D22" s="91"/>
      <c r="E22" s="91"/>
      <c r="F22" s="91"/>
    </row>
    <row r="23" spans="1:6" ht="15.75" x14ac:dyDescent="0.25">
      <c r="A23" s="90" t="s">
        <v>239</v>
      </c>
      <c r="B23" s="90" t="s">
        <v>240</v>
      </c>
      <c r="C23" s="91"/>
      <c r="D23" s="91"/>
      <c r="E23" s="91"/>
      <c r="F23" s="91"/>
    </row>
    <row r="24" spans="1:6" ht="15.75" x14ac:dyDescent="0.25">
      <c r="A24" s="95" t="s">
        <v>241</v>
      </c>
      <c r="B24" s="90" t="s">
        <v>242</v>
      </c>
      <c r="C24" s="91"/>
      <c r="D24" s="91"/>
      <c r="E24" s="91"/>
      <c r="F24" s="91"/>
    </row>
    <row r="25" spans="1:6" ht="15.75" x14ac:dyDescent="0.25">
      <c r="A25" s="90" t="s">
        <v>243</v>
      </c>
      <c r="B25" s="90" t="s">
        <v>244</v>
      </c>
      <c r="C25" s="91"/>
      <c r="D25" s="91"/>
      <c r="E25" s="91"/>
      <c r="F25" s="91"/>
    </row>
    <row r="26" spans="1:6" ht="15.75" x14ac:dyDescent="0.25">
      <c r="A26" s="90" t="s">
        <v>245</v>
      </c>
      <c r="B26" s="90" t="s">
        <v>246</v>
      </c>
      <c r="C26" s="91"/>
      <c r="D26" s="91"/>
      <c r="E26" s="91"/>
      <c r="F26" s="91"/>
    </row>
    <row r="27" spans="1:6" ht="15.75" x14ac:dyDescent="0.25">
      <c r="A27" s="90" t="s">
        <v>247</v>
      </c>
      <c r="B27" s="90" t="s">
        <v>248</v>
      </c>
      <c r="C27" s="91"/>
      <c r="D27" s="91"/>
      <c r="E27" s="91"/>
      <c r="F27" s="91"/>
    </row>
    <row r="28" spans="1:6" ht="15.75" x14ac:dyDescent="0.25">
      <c r="A28" s="90" t="s">
        <v>249</v>
      </c>
      <c r="B28" s="90" t="s">
        <v>250</v>
      </c>
      <c r="C28" s="91"/>
      <c r="D28" s="91"/>
      <c r="E28" s="91"/>
      <c r="F28" s="91"/>
    </row>
    <row r="29" spans="1:6" ht="15.75" x14ac:dyDescent="0.25">
      <c r="A29" s="90" t="s">
        <v>251</v>
      </c>
      <c r="B29" s="90" t="s">
        <v>252</v>
      </c>
      <c r="C29" s="91"/>
      <c r="D29" s="91"/>
      <c r="E29" s="91"/>
      <c r="F29" s="91"/>
    </row>
    <row r="30" spans="1:6" ht="15.75" x14ac:dyDescent="0.25">
      <c r="A30" s="90" t="s">
        <v>253</v>
      </c>
      <c r="B30" s="90" t="s">
        <v>254</v>
      </c>
      <c r="C30" s="91"/>
      <c r="D30" s="91"/>
      <c r="E30" s="91"/>
      <c r="F30" s="91"/>
    </row>
    <row r="31" spans="1:6" ht="15.75" x14ac:dyDescent="0.25">
      <c r="A31" s="90" t="s">
        <v>255</v>
      </c>
      <c r="B31" s="90" t="s">
        <v>256</v>
      </c>
      <c r="C31" s="91"/>
      <c r="D31" s="91"/>
      <c r="E31" s="91"/>
      <c r="F31" s="91"/>
    </row>
    <row r="32" spans="1:6" ht="15.75" x14ac:dyDescent="0.25">
      <c r="A32" s="90" t="s">
        <v>257</v>
      </c>
      <c r="B32" s="90" t="s">
        <v>258</v>
      </c>
      <c r="C32" s="91"/>
      <c r="D32" s="91"/>
      <c r="E32" s="91"/>
      <c r="F32" s="91"/>
    </row>
    <row r="33" spans="1:6" ht="15.75" x14ac:dyDescent="0.25">
      <c r="A33" s="95" t="s">
        <v>259</v>
      </c>
      <c r="B33" s="90" t="s">
        <v>260</v>
      </c>
      <c r="C33" s="91"/>
      <c r="D33" s="91"/>
      <c r="E33" s="91"/>
      <c r="F33" s="91"/>
    </row>
    <row r="34" spans="1:6" ht="15.75" x14ac:dyDescent="0.25">
      <c r="A34" s="90" t="s">
        <v>261</v>
      </c>
      <c r="B34" s="90" t="s">
        <v>262</v>
      </c>
      <c r="C34" s="91"/>
      <c r="D34" s="91"/>
      <c r="E34" s="91"/>
      <c r="F34" s="91"/>
    </row>
    <row r="35" spans="1:6" ht="15.75" x14ac:dyDescent="0.25">
      <c r="A35" s="90" t="s">
        <v>263</v>
      </c>
      <c r="B35" s="90" t="s">
        <v>264</v>
      </c>
      <c r="C35" s="91"/>
      <c r="D35" s="91"/>
      <c r="E35" s="91"/>
      <c r="F35" s="91"/>
    </row>
    <row r="36" spans="1:6" ht="15.75" x14ac:dyDescent="0.25">
      <c r="A36" s="90" t="s">
        <v>265</v>
      </c>
      <c r="B36" s="90" t="s">
        <v>266</v>
      </c>
      <c r="C36" s="91"/>
      <c r="D36" s="91"/>
      <c r="E36" s="91"/>
      <c r="F36" s="91"/>
    </row>
    <row r="37" spans="1:6" ht="15.75" x14ac:dyDescent="0.25">
      <c r="A37" s="90" t="s">
        <v>267</v>
      </c>
      <c r="B37" s="90" t="s">
        <v>268</v>
      </c>
      <c r="C37" s="91"/>
      <c r="D37" s="91"/>
      <c r="E37" s="91"/>
      <c r="F37" s="91"/>
    </row>
    <row r="38" spans="1:6" ht="15.75" x14ac:dyDescent="0.25">
      <c r="A38" s="90" t="s">
        <v>269</v>
      </c>
      <c r="B38" s="90" t="s">
        <v>270</v>
      </c>
      <c r="C38" s="91"/>
      <c r="D38" s="91"/>
      <c r="E38" s="91"/>
      <c r="F38" s="91"/>
    </row>
    <row r="39" spans="1:6" ht="15.75" x14ac:dyDescent="0.25">
      <c r="A39" s="90" t="s">
        <v>271</v>
      </c>
      <c r="B39" s="90" t="s">
        <v>272</v>
      </c>
      <c r="C39" s="91"/>
      <c r="D39" s="91"/>
      <c r="E39" s="91"/>
      <c r="F39" s="91"/>
    </row>
    <row r="40" spans="1:6" ht="15.75" x14ac:dyDescent="0.25">
      <c r="A40" s="95" t="s">
        <v>273</v>
      </c>
      <c r="B40" s="90" t="s">
        <v>274</v>
      </c>
      <c r="C40" s="91"/>
      <c r="D40" s="91"/>
      <c r="E40" s="91"/>
      <c r="F40" s="91"/>
    </row>
    <row r="41" spans="1:6" ht="15.75" x14ac:dyDescent="0.25">
      <c r="A41" s="90" t="s">
        <v>275</v>
      </c>
      <c r="B41" s="90" t="s">
        <v>276</v>
      </c>
      <c r="C41" s="91"/>
      <c r="D41" s="91"/>
      <c r="E41" s="91"/>
      <c r="F41" s="91"/>
    </row>
    <row r="42" spans="1:6" ht="15.75" x14ac:dyDescent="0.25">
      <c r="A42" s="90" t="s">
        <v>277</v>
      </c>
      <c r="B42" s="90" t="s">
        <v>278</v>
      </c>
      <c r="C42" s="91"/>
      <c r="D42" s="91"/>
      <c r="E42" s="91"/>
      <c r="F42" s="91"/>
    </row>
    <row r="43" spans="1:6" ht="15.75" x14ac:dyDescent="0.25">
      <c r="A43" s="90" t="s">
        <v>279</v>
      </c>
      <c r="B43" s="90" t="s">
        <v>280</v>
      </c>
      <c r="C43" s="91"/>
      <c r="D43" s="91"/>
      <c r="E43" s="91"/>
      <c r="F43" s="91"/>
    </row>
    <row r="44" spans="1:6" ht="15.75" x14ac:dyDescent="0.25">
      <c r="A44" s="90" t="s">
        <v>281</v>
      </c>
      <c r="B44" s="90" t="s">
        <v>282</v>
      </c>
      <c r="C44" s="91"/>
      <c r="D44" s="91"/>
      <c r="E44" s="91"/>
      <c r="F44" s="91"/>
    </row>
    <row r="45" spans="1:6" ht="15.75" x14ac:dyDescent="0.25">
      <c r="A45" s="95" t="s">
        <v>283</v>
      </c>
      <c r="B45" s="90" t="s">
        <v>284</v>
      </c>
      <c r="C45" s="91"/>
      <c r="D45" s="91"/>
      <c r="E45" s="91"/>
      <c r="F45" s="91"/>
    </row>
    <row r="46" spans="1:6" ht="15.75" x14ac:dyDescent="0.25">
      <c r="A46" s="90" t="s">
        <v>285</v>
      </c>
      <c r="B46" s="90" t="s">
        <v>286</v>
      </c>
      <c r="C46" s="91"/>
      <c r="D46" s="91"/>
      <c r="E46" s="91"/>
      <c r="F46" s="91"/>
    </row>
    <row r="47" spans="1:6" ht="15.75" x14ac:dyDescent="0.25">
      <c r="A47" s="90" t="s">
        <v>277</v>
      </c>
      <c r="B47" s="90" t="s">
        <v>287</v>
      </c>
      <c r="C47" s="91"/>
      <c r="D47" s="91"/>
      <c r="E47" s="91"/>
      <c r="F47" s="91"/>
    </row>
    <row r="48" spans="1:6" ht="15.75" x14ac:dyDescent="0.25">
      <c r="A48" s="90" t="s">
        <v>288</v>
      </c>
      <c r="B48" s="90" t="s">
        <v>289</v>
      </c>
      <c r="C48" s="91"/>
      <c r="D48" s="91"/>
      <c r="E48" s="91"/>
      <c r="F48" s="91"/>
    </row>
    <row r="49" spans="1:6" ht="15.75" x14ac:dyDescent="0.25">
      <c r="A49" s="90" t="s">
        <v>290</v>
      </c>
      <c r="B49" s="90" t="s">
        <v>291</v>
      </c>
      <c r="C49" s="91"/>
      <c r="D49" s="91"/>
      <c r="E49" s="91"/>
      <c r="F49" s="91"/>
    </row>
    <row r="50" spans="1:6" ht="15.75" x14ac:dyDescent="0.25">
      <c r="A50" s="90" t="s">
        <v>292</v>
      </c>
      <c r="B50" s="90" t="s">
        <v>293</v>
      </c>
      <c r="C50" s="91"/>
      <c r="D50" s="91"/>
      <c r="E50" s="91"/>
      <c r="F50" s="91"/>
    </row>
    <row r="51" spans="1:6" ht="15.75" x14ac:dyDescent="0.25">
      <c r="A51" s="90" t="s">
        <v>279</v>
      </c>
      <c r="B51" s="90" t="s">
        <v>294</v>
      </c>
      <c r="C51" s="91"/>
      <c r="D51" s="91"/>
      <c r="E51" s="91"/>
      <c r="F51" s="91"/>
    </row>
    <row r="52" spans="1:6" ht="15.75" x14ac:dyDescent="0.25">
      <c r="A52" s="90" t="s">
        <v>295</v>
      </c>
      <c r="B52" s="90" t="s">
        <v>296</v>
      </c>
      <c r="C52" s="91"/>
      <c r="D52" s="91"/>
      <c r="E52" s="91"/>
      <c r="F52" s="91"/>
    </row>
    <row r="53" spans="1:6" ht="15.75" x14ac:dyDescent="0.25">
      <c r="A53" s="90" t="s">
        <v>281</v>
      </c>
      <c r="B53" s="90" t="s">
        <v>297</v>
      </c>
      <c r="C53" s="91"/>
      <c r="D53" s="91"/>
      <c r="E53" s="91"/>
      <c r="F53" s="91"/>
    </row>
    <row r="54" spans="1:6" ht="15.75" x14ac:dyDescent="0.25">
      <c r="A54" s="95" t="s">
        <v>298</v>
      </c>
      <c r="B54" s="90" t="s">
        <v>299</v>
      </c>
      <c r="C54" s="91"/>
      <c r="D54" s="91"/>
      <c r="E54" s="91"/>
      <c r="F54" s="91"/>
    </row>
    <row r="55" spans="1:6" ht="15.75" x14ac:dyDescent="0.25">
      <c r="A55" s="90" t="s">
        <v>300</v>
      </c>
      <c r="B55" s="90" t="s">
        <v>301</v>
      </c>
      <c r="C55" s="91"/>
      <c r="D55" s="91"/>
      <c r="E55" s="91"/>
      <c r="F55" s="91"/>
    </row>
    <row r="56" spans="1:6" ht="15.75" x14ac:dyDescent="0.25">
      <c r="A56" s="90" t="s">
        <v>302</v>
      </c>
      <c r="B56" s="90" t="s">
        <v>303</v>
      </c>
      <c r="C56" s="91"/>
      <c r="D56" s="91"/>
      <c r="E56" s="91"/>
      <c r="F56" s="91"/>
    </row>
    <row r="57" spans="1:6" ht="15.75" x14ac:dyDescent="0.25">
      <c r="A57" s="90" t="s">
        <v>304</v>
      </c>
      <c r="B57" s="90" t="s">
        <v>305</v>
      </c>
      <c r="C57" s="91"/>
      <c r="D57" s="91"/>
      <c r="E57" s="91"/>
      <c r="F57" s="91"/>
    </row>
    <row r="58" spans="1:6" ht="15.75" x14ac:dyDescent="0.25">
      <c r="A58" s="90" t="s">
        <v>306</v>
      </c>
      <c r="B58" s="90" t="s">
        <v>307</v>
      </c>
      <c r="C58" s="91"/>
      <c r="D58" s="91"/>
      <c r="E58" s="91"/>
      <c r="F58" s="91"/>
    </row>
    <row r="59" spans="1:6" ht="15.75" x14ac:dyDescent="0.25">
      <c r="A59" s="90" t="s">
        <v>308</v>
      </c>
      <c r="B59" s="90" t="s">
        <v>309</v>
      </c>
      <c r="C59" s="91"/>
      <c r="D59" s="91"/>
      <c r="E59" s="91"/>
      <c r="F59" s="91"/>
    </row>
    <row r="60" spans="1:6" ht="15.75" x14ac:dyDescent="0.25">
      <c r="A60" s="90" t="s">
        <v>310</v>
      </c>
      <c r="B60" s="90" t="s">
        <v>311</v>
      </c>
      <c r="C60" s="91"/>
      <c r="D60" s="91"/>
      <c r="E60" s="91"/>
      <c r="F60" s="91"/>
    </row>
    <row r="61" spans="1:6" ht="15.75" x14ac:dyDescent="0.25">
      <c r="A61" s="95" t="s">
        <v>312</v>
      </c>
      <c r="B61" s="90" t="s">
        <v>313</v>
      </c>
      <c r="C61" s="91"/>
      <c r="D61" s="91"/>
      <c r="E61" s="91"/>
      <c r="F61" s="91"/>
    </row>
    <row r="62" spans="1:6" ht="15.75" x14ac:dyDescent="0.25">
      <c r="A62" s="90" t="s">
        <v>314</v>
      </c>
      <c r="B62" s="90" t="s">
        <v>315</v>
      </c>
      <c r="C62" s="91"/>
      <c r="D62" s="91"/>
      <c r="E62" s="91"/>
      <c r="F62" s="91"/>
    </row>
    <row r="63" spans="1:6" ht="15.75" x14ac:dyDescent="0.25">
      <c r="A63" s="90" t="s">
        <v>316</v>
      </c>
      <c r="B63" s="90" t="s">
        <v>317</v>
      </c>
      <c r="C63" s="91"/>
      <c r="D63" s="91"/>
      <c r="E63" s="91"/>
      <c r="F63" s="91"/>
    </row>
    <row r="64" spans="1:6" ht="15.75" x14ac:dyDescent="0.25">
      <c r="A64" s="92" t="s">
        <v>318</v>
      </c>
      <c r="B64" s="93"/>
      <c r="C64" s="91"/>
      <c r="D64" s="91"/>
      <c r="E64" s="91"/>
      <c r="F64" s="91"/>
    </row>
    <row r="65" spans="1:6" ht="15.75" x14ac:dyDescent="0.25">
      <c r="A65" s="45"/>
      <c r="B65" s="45"/>
      <c r="C65" s="45"/>
      <c r="D65" s="45"/>
      <c r="E65" s="45"/>
      <c r="F65" s="45"/>
    </row>
    <row r="66" spans="1:6" ht="15.75" x14ac:dyDescent="0.25">
      <c r="A66" s="45"/>
      <c r="B66" s="45"/>
      <c r="C66" s="45"/>
      <c r="D66" s="45"/>
      <c r="E66" s="45"/>
      <c r="F66" s="45"/>
    </row>
    <row r="67" spans="1:6" ht="15.75" x14ac:dyDescent="0.25">
      <c r="A67" s="45"/>
      <c r="B67" s="45"/>
      <c r="C67" s="45"/>
      <c r="D67" s="45"/>
      <c r="E67" s="45"/>
      <c r="F67" s="45"/>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8802F3-CAF1-414B-986B-3ACC0176C017}">
  <ds:schemaRef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E69B052-6B58-40C2-8603-8925FD4879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29</vt:i4>
      </vt:variant>
      <vt:variant>
        <vt:lpstr>Pomenované rozsahy</vt:lpstr>
      </vt:variant>
      <vt:variant>
        <vt:i4>28</vt:i4>
      </vt:variant>
    </vt:vector>
  </HeadingPairs>
  <TitlesOfParts>
    <vt:vector size="57" baseType="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T8a-Teh_štipendiá</vt:lpstr>
      <vt:lpstr>T9_ŠD </vt:lpstr>
      <vt:lpstr>T10-ŠJ </vt:lpstr>
      <vt:lpstr>T11-Zdroje KV</vt:lpstr>
      <vt:lpstr>T12-KV</vt:lpstr>
      <vt:lpstr>T13-Fondy</vt:lpstr>
      <vt:lpstr>T14-Príjmy VVŠ z POO</vt:lpstr>
      <vt:lpstr>T15-Príjmy VVŠ z RP_11UA</vt:lpstr>
      <vt:lpstr>T16 - Štruktúra hotovosti</vt:lpstr>
      <vt:lpstr>T17-Dotácie zo ŠF EU-nová</vt:lpstr>
      <vt:lpstr>T18-Ostatné dotácie z kap MŠ SR</vt:lpstr>
      <vt:lpstr>T19-Štip_ z vlastných </vt:lpstr>
      <vt:lpstr>T20_motivačné štipendiá</vt:lpstr>
      <vt:lpstr>T20a-štipendiá z POO</vt:lpstr>
      <vt:lpstr>T20b-štipendiá z RP_11UA</vt:lpstr>
      <vt:lpstr>T21-štruktúra_384</vt:lpstr>
      <vt:lpstr>T22_Výnosy_soc_oblasť</vt:lpstr>
      <vt:lpstr>T23_Náklady_soc_oblasť</vt:lpstr>
      <vt:lpstr>T24_čerpanie rozvoj</vt:lpstr>
      <vt:lpstr>T24__Aktíva</vt:lpstr>
      <vt:lpstr>'T10-ŠJ '!Oblasť_tlače</vt:lpstr>
      <vt:lpstr>'T11-Zdroje KV'!Oblasť_tlače</vt:lpstr>
      <vt:lpstr>'T12-KV'!Oblasť_tlače</vt:lpstr>
      <vt:lpstr>'T13-Fondy'!Oblasť_tlače</vt:lpstr>
      <vt:lpstr>'T14-Príjmy VVŠ z POO'!Oblasť_tlače</vt:lpstr>
      <vt:lpstr>'T15-Príjmy VVŠ z RP_11UA'!Oblasť_tlače</vt:lpstr>
      <vt:lpstr>'T16 - Štruktúra hotovosti'!Oblasť_tlače</vt:lpstr>
      <vt:lpstr>'T17-Dotácie zo ŠF EU-nová'!Oblasť_tlače</vt:lpstr>
      <vt:lpstr>'T18-Ostatné dotácie z kap MŠ SR'!Oblasť_tlače</vt:lpstr>
      <vt:lpstr>'T19-Štip_ z vlastných '!Oblasť_tlače</vt:lpstr>
      <vt:lpstr>'T1-Dotácie podľa DZ'!Oblasť_tlače</vt:lpstr>
      <vt:lpstr>'T20_motivačné štipendiá'!Oblasť_tlače</vt:lpstr>
      <vt:lpstr>'T20a-štipendiá z POO'!Oblasť_tlače</vt:lpstr>
      <vt:lpstr>'T20b-štipendiá z RP_11UA'!Oblasť_tlače</vt:lpstr>
      <vt:lpstr>'T21-štruktúra_384'!Oblasť_tlače</vt:lpstr>
      <vt:lpstr>T22_Výnosy_soc_oblasť!Oblasť_tlače</vt:lpstr>
      <vt:lpstr>T23_Náklady_soc_oblasť!Oblasť_tlače</vt:lpstr>
      <vt:lpstr>'T24_čerpanie rozvoj'!Oblasť_tlače</vt:lpstr>
      <vt:lpstr>'T2-Ostatné dot mimo MŠ SR'!Oblasť_tlače</vt:lpstr>
      <vt:lpstr>'T3-Výnosy'!Oblasť_tlače</vt:lpstr>
      <vt:lpstr>'T4-Výnosy zo školného'!Oblasť_tlače</vt:lpstr>
      <vt:lpstr>'T5 - Analýza nákladov'!Oblasť_tlače</vt:lpstr>
      <vt:lpstr>'T6a-Zamestnanci_a_mzdy (ženy)'!Oblasť_tlače</vt:lpstr>
      <vt:lpstr>'T6-Zamestnanci_a_mzdy'!Oblasť_tlače</vt:lpstr>
      <vt:lpstr>'T7_Doktorandi '!Oblasť_tlače</vt:lpstr>
      <vt:lpstr>'T8a-Teh_štipendiá'!Oblasť_tlače</vt:lpstr>
      <vt:lpstr>'T8-Soc_štipendiá'!Oblasť_tlače</vt:lpstr>
      <vt:lpstr>'T9_ŠD '!Oblasť_tlače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Andrej Horsky</dc:creator>
  <cp:lastModifiedBy>PC</cp:lastModifiedBy>
  <cp:lastPrinted>2024-05-21T14:10:07Z</cp:lastPrinted>
  <dcterms:created xsi:type="dcterms:W3CDTF">2002-06-05T18:53:25Z</dcterms:created>
  <dcterms:modified xsi:type="dcterms:W3CDTF">2024-06-10T14:40:45Z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y fmtid="{D5CDD505-2E9C-101B-9397-08002B2CF9AE}" pid="3" name="BExAnalyzer_OldName">
    <vt:lpwstr>Upr_tab_VS_VVŠ_za 2019.xlsx</vt:lpwstr>
  </property>
</Properties>
</file>